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'!$A$1:$G$60</definedName>
    <definedName name="_xlnm.Print_Area" localSheetId="1">'прил 5,'!$A$1:$H$2263</definedName>
    <definedName name="_xlnm.Print_Area" localSheetId="2">'прил 6.'!$A$1:$N$1521</definedName>
  </definedNames>
  <calcPr calcId="124519" iterate="1"/>
</workbook>
</file>

<file path=xl/calcChain.xml><?xml version="1.0" encoding="utf-8"?>
<calcChain xmlns="http://schemas.openxmlformats.org/spreadsheetml/2006/main">
  <c r="H1512" i="3"/>
  <c r="H1509"/>
  <c r="H1502"/>
  <c r="H1500" s="1"/>
  <c r="H1501"/>
  <c r="I1501"/>
  <c r="J1501"/>
  <c r="K1501"/>
  <c r="L1501"/>
  <c r="M1501"/>
  <c r="N1501"/>
  <c r="H1489"/>
  <c r="H1487"/>
  <c r="I1487"/>
  <c r="J1487"/>
  <c r="K1487"/>
  <c r="L1487"/>
  <c r="M1487"/>
  <c r="N1487"/>
  <c r="H1484"/>
  <c r="H1481"/>
  <c r="H1480" s="1"/>
  <c r="H1478"/>
  <c r="H1472"/>
  <c r="H1463"/>
  <c r="H1462" s="1"/>
  <c r="H1465"/>
  <c r="H1464" s="1"/>
  <c r="H1397"/>
  <c r="H1382"/>
  <c r="H1380"/>
  <c r="H1372"/>
  <c r="H1371" s="1"/>
  <c r="H1354"/>
  <c r="H1350"/>
  <c r="H1349" s="1"/>
  <c r="H1335"/>
  <c r="H1191"/>
  <c r="H1177"/>
  <c r="H1160"/>
  <c r="I1160"/>
  <c r="J1160"/>
  <c r="K1160"/>
  <c r="L1160"/>
  <c r="M1160"/>
  <c r="N1160"/>
  <c r="H1306"/>
  <c r="H1305" s="1"/>
  <c r="H1307"/>
  <c r="H1281"/>
  <c r="H1280" s="1"/>
  <c r="H1279" s="1"/>
  <c r="H1171"/>
  <c r="H1157"/>
  <c r="H1148"/>
  <c r="H1147"/>
  <c r="H1146" s="1"/>
  <c r="H1145"/>
  <c r="H1122"/>
  <c r="H1121" s="1"/>
  <c r="H1120" s="1"/>
  <c r="H1030"/>
  <c r="H1006"/>
  <c r="H1003"/>
  <c r="I1003"/>
  <c r="J1003"/>
  <c r="K1003"/>
  <c r="L1003"/>
  <c r="M1003"/>
  <c r="N1003"/>
  <c r="H970"/>
  <c r="H996"/>
  <c r="H972"/>
  <c r="H971" s="1"/>
  <c r="H966"/>
  <c r="H865"/>
  <c r="I865"/>
  <c r="J865"/>
  <c r="K865"/>
  <c r="L865"/>
  <c r="M865"/>
  <c r="N865"/>
  <c r="H844"/>
  <c r="H841"/>
  <c r="H838"/>
  <c r="H829"/>
  <c r="H823"/>
  <c r="H817"/>
  <c r="H802"/>
  <c r="H772"/>
  <c r="H760"/>
  <c r="H750"/>
  <c r="H710"/>
  <c r="H697"/>
  <c r="H526"/>
  <c r="H519"/>
  <c r="H571"/>
  <c r="H559"/>
  <c r="H553"/>
  <c r="H550"/>
  <c r="H541"/>
  <c r="H510"/>
  <c r="H496"/>
  <c r="H408"/>
  <c r="I408"/>
  <c r="J408"/>
  <c r="K408"/>
  <c r="L408"/>
  <c r="M408"/>
  <c r="N408"/>
  <c r="H405"/>
  <c r="H390"/>
  <c r="H333"/>
  <c r="H298"/>
  <c r="H299"/>
  <c r="H292"/>
  <c r="H278"/>
  <c r="H277" s="1"/>
  <c r="H276" s="1"/>
  <c r="H279"/>
  <c r="H274"/>
  <c r="H273" s="1"/>
  <c r="H272" s="1"/>
  <c r="H275"/>
  <c r="H263"/>
  <c r="H139"/>
  <c r="H138" s="1"/>
  <c r="H122"/>
  <c r="H57"/>
  <c r="H56" s="1"/>
  <c r="H55"/>
  <c r="I45"/>
  <c r="J45"/>
  <c r="K45"/>
  <c r="L45"/>
  <c r="M45"/>
  <c r="N45"/>
  <c r="H54" i="2"/>
  <c r="H2182" i="1"/>
  <c r="H2184"/>
  <c r="H2147"/>
  <c r="H2146" s="1"/>
  <c r="H2143"/>
  <c r="H1492" i="3" s="1"/>
  <c r="H2144" i="1"/>
  <c r="H1734"/>
  <c r="H1720"/>
  <c r="H1719" s="1"/>
  <c r="H1717"/>
  <c r="H1716" s="1"/>
  <c r="H1631"/>
  <c r="H1632"/>
  <c r="H1612"/>
  <c r="H1611" s="1"/>
  <c r="H1606"/>
  <c r="H1607"/>
  <c r="H1573"/>
  <c r="H1574"/>
  <c r="H1569"/>
  <c r="H1386"/>
  <c r="H1385" s="1"/>
  <c r="H1421"/>
  <c r="H1420"/>
  <c r="H1412"/>
  <c r="H1411" s="1"/>
  <c r="H1413"/>
  <c r="H1409"/>
  <c r="H1408" s="1"/>
  <c r="H1407" s="1"/>
  <c r="H1388"/>
  <c r="H1380"/>
  <c r="H1379" s="1"/>
  <c r="H255" i="3" s="1"/>
  <c r="H254" s="1"/>
  <c r="H253" s="1"/>
  <c r="H1338" i="1"/>
  <c r="H1302"/>
  <c r="H1303"/>
  <c r="H1304"/>
  <c r="H1260"/>
  <c r="H1261"/>
  <c r="H1248"/>
  <c r="H1247" s="1"/>
  <c r="H1246" s="1"/>
  <c r="H1459" i="3" s="1"/>
  <c r="H1458" s="1"/>
  <c r="H1233" i="1"/>
  <c r="H1232" s="1"/>
  <c r="H1145"/>
  <c r="H902"/>
  <c r="H903"/>
  <c r="H904"/>
  <c r="H392"/>
  <c r="H333"/>
  <c r="H334"/>
  <c r="G325"/>
  <c r="G328"/>
  <c r="H47"/>
  <c r="H48"/>
  <c r="H1715" l="1"/>
  <c r="H2142"/>
  <c r="H2141" s="1"/>
  <c r="H2140" s="1"/>
  <c r="G1472" i="3"/>
  <c r="G2237" i="1"/>
  <c r="H2240"/>
  <c r="G2240"/>
  <c r="G2239" s="1"/>
  <c r="G2238" s="1"/>
  <c r="H2239"/>
  <c r="H2238" s="1"/>
  <c r="H2237" s="1"/>
  <c r="G1501" i="3"/>
  <c r="G2147" i="1"/>
  <c r="G2146"/>
  <c r="H1583" l="1"/>
  <c r="H1825"/>
  <c r="G1535" l="1"/>
  <c r="G2183"/>
  <c r="G2181"/>
  <c r="G1142" l="1"/>
  <c r="G1816"/>
  <c r="G1826"/>
  <c r="G1824"/>
  <c r="G1820"/>
  <c r="G1512" i="3"/>
  <c r="G1261" i="1"/>
  <c r="G1260" s="1"/>
  <c r="G49"/>
  <c r="G28"/>
  <c r="G1327" l="1"/>
  <c r="G1699"/>
  <c r="G1516"/>
  <c r="H1303" i="3" l="1"/>
  <c r="H1302" s="1"/>
  <c r="G1303"/>
  <c r="G1302" s="1"/>
  <c r="H1641" i="1"/>
  <c r="H1640" s="1"/>
  <c r="G1641"/>
  <c r="G1640" s="1"/>
  <c r="G1410" l="1"/>
  <c r="H1473" i="3"/>
  <c r="G1473"/>
  <c r="G445" i="1"/>
  <c r="G444" s="1"/>
  <c r="G443" s="1"/>
  <c r="H445"/>
  <c r="H444" s="1"/>
  <c r="H443" s="1"/>
  <c r="G438"/>
  <c r="G572"/>
  <c r="G481"/>
  <c r="G1563"/>
  <c r="G207"/>
  <c r="G391"/>
  <c r="G393"/>
  <c r="G442"/>
  <c r="G1497"/>
  <c r="G1489" i="3"/>
  <c r="G1488" s="1"/>
  <c r="H1488"/>
  <c r="H1258" i="1"/>
  <c r="H1257" s="1"/>
  <c r="G1258"/>
  <c r="G1257" s="1"/>
  <c r="G1527"/>
  <c r="G1171" i="3" s="1"/>
  <c r="G1596" i="1"/>
  <c r="H105" i="3"/>
  <c r="H104" s="1"/>
  <c r="G105"/>
  <c r="G104" s="1"/>
  <c r="H1579" i="1"/>
  <c r="H1578" s="1"/>
  <c r="H1577" s="1"/>
  <c r="G1579"/>
  <c r="G1578" s="1"/>
  <c r="G1577" s="1"/>
  <c r="G319"/>
  <c r="G1132"/>
  <c r="G2201"/>
  <c r="G1666"/>
  <c r="G750" i="3" s="1"/>
  <c r="G1798" i="1"/>
  <c r="G408"/>
  <c r="G841" i="3"/>
  <c r="G840" s="1"/>
  <c r="G839" s="1"/>
  <c r="H309" i="1"/>
  <c r="H308" s="1"/>
  <c r="G309"/>
  <c r="G308" s="1"/>
  <c r="H840" i="3"/>
  <c r="H839" s="1"/>
  <c r="G271" i="1"/>
  <c r="G688"/>
  <c r="G652"/>
  <c r="G501" i="3" s="1"/>
  <c r="G1157"/>
  <c r="G1156" s="1"/>
  <c r="G1155" s="1"/>
  <c r="H1156"/>
  <c r="H1155" s="1"/>
  <c r="H1555" i="1"/>
  <c r="H1554" s="1"/>
  <c r="G1555"/>
  <c r="G1554" s="1"/>
  <c r="G1228"/>
  <c r="G1222"/>
  <c r="G1065" l="1"/>
  <c r="G1063"/>
  <c r="G510" i="3" l="1"/>
  <c r="G509" s="1"/>
  <c r="G508" s="1"/>
  <c r="H509"/>
  <c r="H508" s="1"/>
  <c r="H504" i="1"/>
  <c r="H503" s="1"/>
  <c r="G504"/>
  <c r="G503" s="1"/>
  <c r="G664"/>
  <c r="G511"/>
  <c r="G807"/>
  <c r="G852"/>
  <c r="G649"/>
  <c r="G718"/>
  <c r="G591"/>
  <c r="G667"/>
  <c r="G700"/>
  <c r="G559" i="3" s="1"/>
  <c r="G517" i="1" l="1"/>
  <c r="G495"/>
  <c r="G508"/>
  <c r="G484"/>
  <c r="H321" i="3"/>
  <c r="H320" s="1"/>
  <c r="G321"/>
  <c r="G320" s="1"/>
  <c r="H552" i="1"/>
  <c r="H551" s="1"/>
  <c r="H550" s="1"/>
  <c r="G552"/>
  <c r="G551" s="1"/>
  <c r="G709"/>
  <c r="G568" i="3" s="1"/>
  <c r="G550" i="1" l="1"/>
  <c r="G31"/>
  <c r="G268"/>
  <c r="G1484" i="3"/>
  <c r="G1255" i="1"/>
  <c r="G1254" s="1"/>
  <c r="H1255"/>
  <c r="H1254" s="1"/>
  <c r="G262"/>
  <c r="G283"/>
  <c r="G908"/>
  <c r="H1023" i="3" l="1"/>
  <c r="H1022" s="1"/>
  <c r="G1023"/>
  <c r="G1022" s="1"/>
  <c r="G959" i="1" l="1"/>
  <c r="G958" s="1"/>
  <c r="G957" s="1"/>
  <c r="H959"/>
  <c r="H958" s="1"/>
  <c r="H957" s="1"/>
  <c r="G919"/>
  <c r="G1005"/>
  <c r="G578"/>
  <c r="G609"/>
  <c r="G865" i="3"/>
  <c r="G864" s="1"/>
  <c r="G863" s="1"/>
  <c r="H864"/>
  <c r="H863" s="1"/>
  <c r="H315" i="1"/>
  <c r="H314" s="1"/>
  <c r="G315"/>
  <c r="G314" s="1"/>
  <c r="G307" l="1"/>
  <c r="G844" i="3"/>
  <c r="G661" i="1"/>
  <c r="G1148" i="3"/>
  <c r="G2184" i="1"/>
  <c r="G1145" i="3"/>
  <c r="G1006"/>
  <c r="G1005" s="1"/>
  <c r="G1004" s="1"/>
  <c r="H1005"/>
  <c r="H1004" s="1"/>
  <c r="H1002"/>
  <c r="H1001" s="1"/>
  <c r="G895" i="1"/>
  <c r="G894" s="1"/>
  <c r="G893" s="1"/>
  <c r="H894"/>
  <c r="H893" s="1"/>
  <c r="G833"/>
  <c r="G1003" i="3" l="1"/>
  <c r="G1002" s="1"/>
  <c r="G1001" s="1"/>
  <c r="G275"/>
  <c r="G1387" i="1"/>
  <c r="G1400"/>
  <c r="G802" i="3" l="1"/>
  <c r="G972" l="1"/>
  <c r="G970" s="1"/>
  <c r="G1471"/>
  <c r="H1471"/>
  <c r="H1470" s="1"/>
  <c r="H1469" s="1"/>
  <c r="G1574" i="1"/>
  <c r="G1573" s="1"/>
  <c r="G1372" i="3"/>
  <c r="G1569" i="1"/>
  <c r="G1470" i="3" l="1"/>
  <c r="G1469" s="1"/>
  <c r="G971"/>
  <c r="H1359" i="1"/>
  <c r="G1359"/>
  <c r="G1358" s="1"/>
  <c r="G1357" s="1"/>
  <c r="G1509" i="3"/>
  <c r="G1478"/>
  <c r="G1477" s="1"/>
  <c r="G1476" s="1"/>
  <c r="H1477"/>
  <c r="H1476" s="1"/>
  <c r="H1111" i="1"/>
  <c r="H1110" s="1"/>
  <c r="H1109" s="1"/>
  <c r="H1108" s="1"/>
  <c r="G56" i="2" s="1"/>
  <c r="G1111" i="1"/>
  <c r="G1110" s="1"/>
  <c r="G1109" s="1"/>
  <c r="G333" i="3"/>
  <c r="G332" s="1"/>
  <c r="G331" s="1"/>
  <c r="H332"/>
  <c r="H331" s="1"/>
  <c r="G813" i="1"/>
  <c r="H1357" l="1"/>
  <c r="H1358"/>
  <c r="G1108"/>
  <c r="F56" i="2" s="1"/>
  <c r="G146" i="3"/>
  <c r="H1395" i="1"/>
  <c r="H1394" s="1"/>
  <c r="H1384" s="1"/>
  <c r="G1395"/>
  <c r="G1394" s="1"/>
  <c r="G145" i="3" l="1"/>
  <c r="G144" s="1"/>
  <c r="H145"/>
  <c r="H144" s="1"/>
  <c r="G1785" i="1" l="1"/>
  <c r="G1437"/>
  <c r="G793" i="3"/>
  <c r="G817"/>
  <c r="G829"/>
  <c r="G772"/>
  <c r="G1225" i="1" l="1"/>
  <c r="H156" i="3" l="1"/>
  <c r="G156"/>
  <c r="H1313" l="1"/>
  <c r="G838" l="1"/>
  <c r="G837" s="1"/>
  <c r="G836" s="1"/>
  <c r="H837"/>
  <c r="H836" s="1"/>
  <c r="H306" i="1"/>
  <c r="H305" s="1"/>
  <c r="G306"/>
  <c r="G305" s="1"/>
  <c r="G423"/>
  <c r="H835" i="3"/>
  <c r="H834" s="1"/>
  <c r="H833" s="1"/>
  <c r="G571"/>
  <c r="G570" s="1"/>
  <c r="G569" s="1"/>
  <c r="H570"/>
  <c r="H569" s="1"/>
  <c r="H711" i="1"/>
  <c r="H710" s="1"/>
  <c r="G711"/>
  <c r="G710" s="1"/>
  <c r="G1481"/>
  <c r="G834" i="3"/>
  <c r="G833" s="1"/>
  <c r="H831"/>
  <c r="H830" s="1"/>
  <c r="G831"/>
  <c r="G830" s="1"/>
  <c r="H843"/>
  <c r="H842" s="1"/>
  <c r="G843"/>
  <c r="G842" s="1"/>
  <c r="H828"/>
  <c r="H827" s="1"/>
  <c r="G828"/>
  <c r="G827" s="1"/>
  <c r="H303" i="1"/>
  <c r="H302" s="1"/>
  <c r="G303"/>
  <c r="G302" s="1"/>
  <c r="H300"/>
  <c r="H299" s="1"/>
  <c r="G300"/>
  <c r="G299" s="1"/>
  <c r="H312"/>
  <c r="H311" s="1"/>
  <c r="G312"/>
  <c r="G311" s="1"/>
  <c r="H567" i="3" l="1"/>
  <c r="H566" s="1"/>
  <c r="G567"/>
  <c r="G566" s="1"/>
  <c r="H564"/>
  <c r="H563" s="1"/>
  <c r="G564"/>
  <c r="G563" s="1"/>
  <c r="H561"/>
  <c r="H560" s="1"/>
  <c r="G561"/>
  <c r="G560" s="1"/>
  <c r="H558"/>
  <c r="H557" s="1"/>
  <c r="G558"/>
  <c r="G557" s="1"/>
  <c r="H555"/>
  <c r="H554" s="1"/>
  <c r="G555"/>
  <c r="G554" s="1"/>
  <c r="H696" i="1" l="1"/>
  <c r="H695" s="1"/>
  <c r="G696"/>
  <c r="G695" s="1"/>
  <c r="H699"/>
  <c r="H698" s="1"/>
  <c r="G699"/>
  <c r="G698" s="1"/>
  <c r="H702"/>
  <c r="H701" s="1"/>
  <c r="G702"/>
  <c r="G701" s="1"/>
  <c r="H705"/>
  <c r="H704" s="1"/>
  <c r="G705"/>
  <c r="G704" s="1"/>
  <c r="H708"/>
  <c r="H707" s="1"/>
  <c r="G708"/>
  <c r="G707" s="1"/>
  <c r="G956" l="1"/>
  <c r="G639" i="3" s="1"/>
  <c r="G490" i="1"/>
  <c r="G670"/>
  <c r="G1201"/>
  <c r="G133"/>
  <c r="G103" i="3" s="1"/>
  <c r="G1112" l="1"/>
  <c r="G1463" l="1"/>
  <c r="G159"/>
  <c r="G1481"/>
  <c r="G2226" i="1"/>
  <c r="H2222"/>
  <c r="H2221" s="1"/>
  <c r="H2220" s="1"/>
  <c r="G2144"/>
  <c r="G2143" s="1"/>
  <c r="G2142" s="1"/>
  <c r="H1692"/>
  <c r="H1691" s="1"/>
  <c r="H1690" s="1"/>
  <c r="H1689" s="1"/>
  <c r="H1688" s="1"/>
  <c r="G1692"/>
  <c r="G1691" s="1"/>
  <c r="G1690" s="1"/>
  <c r="G1689" s="1"/>
  <c r="G1688" s="1"/>
  <c r="H1686"/>
  <c r="H1685" s="1"/>
  <c r="H1684" s="1"/>
  <c r="G1686"/>
  <c r="G1685" s="1"/>
  <c r="G1684" s="1"/>
  <c r="G697" i="3"/>
  <c r="G696" s="1"/>
  <c r="G695" s="1"/>
  <c r="H696"/>
  <c r="H695" s="1"/>
  <c r="G1380"/>
  <c r="G1607" i="1"/>
  <c r="G1606" s="1"/>
  <c r="G1605" s="1"/>
  <c r="G2141" l="1"/>
  <c r="G2140" s="1"/>
  <c r="G1492" i="3"/>
  <c r="H1465" i="1"/>
  <c r="G1465"/>
  <c r="G1338"/>
  <c r="H1128"/>
  <c r="H1127" s="1"/>
  <c r="H1387" i="3" s="1"/>
  <c r="H1386" s="1"/>
  <c r="H1385" s="1"/>
  <c r="G1128" i="1"/>
  <c r="G1127" s="1"/>
  <c r="G1387" i="3" s="1"/>
  <c r="G1386" s="1"/>
  <c r="G1385" s="1"/>
  <c r="G496"/>
  <c r="G495" s="1"/>
  <c r="G494" s="1"/>
  <c r="H495"/>
  <c r="H494" s="1"/>
  <c r="H645" i="1"/>
  <c r="H644" s="1"/>
  <c r="G645"/>
  <c r="G644" s="1"/>
  <c r="G1109" i="3" l="1"/>
  <c r="G1108" s="1"/>
  <c r="G1107" s="1"/>
  <c r="G1323" i="1"/>
  <c r="G1322" s="1"/>
  <c r="H1323"/>
  <c r="H1322" s="1"/>
  <c r="G1224" i="3"/>
  <c r="G1223" s="1"/>
  <c r="G1222" s="1"/>
  <c r="H1223"/>
  <c r="H1222" s="1"/>
  <c r="H1565" i="1"/>
  <c r="H1564" s="1"/>
  <c r="G1565"/>
  <c r="G1564" s="1"/>
  <c r="G1307"/>
  <c r="G1306" s="1"/>
  <c r="H1108" i="3"/>
  <c r="H1107" s="1"/>
  <c r="H1307" i="1"/>
  <c r="H1306" s="1"/>
  <c r="G1583"/>
  <c r="G1593" s="1"/>
  <c r="H1170" i="3"/>
  <c r="H1169" s="1"/>
  <c r="G1170"/>
  <c r="G1169" s="1"/>
  <c r="H1526" i="1"/>
  <c r="H1525" s="1"/>
  <c r="G1526"/>
  <c r="G1525" s="1"/>
  <c r="G1529"/>
  <c r="G1528" s="1"/>
  <c r="H1529"/>
  <c r="H1528" s="1"/>
  <c r="G691"/>
  <c r="G690" s="1"/>
  <c r="G689" s="1"/>
  <c r="G553" i="3"/>
  <c r="G552" s="1"/>
  <c r="G551" s="1"/>
  <c r="H552"/>
  <c r="H551" s="1"/>
  <c r="H693" i="1"/>
  <c r="H692" s="1"/>
  <c r="G693"/>
  <c r="G692" s="1"/>
  <c r="G685"/>
  <c r="G710" i="3"/>
  <c r="G709" s="1"/>
  <c r="G708" s="1"/>
  <c r="H709"/>
  <c r="H708" s="1"/>
  <c r="H1659" i="1"/>
  <c r="H1658" s="1"/>
  <c r="G1659"/>
  <c r="G1658" s="1"/>
  <c r="G1648"/>
  <c r="H549" i="3"/>
  <c r="H548" s="1"/>
  <c r="H690" i="1"/>
  <c r="H689" s="1"/>
  <c r="G1372"/>
  <c r="G1326" i="3"/>
  <c r="G1324"/>
  <c r="G1735" i="1"/>
  <c r="H1733"/>
  <c r="G1733"/>
  <c r="H1725"/>
  <c r="G1725"/>
  <c r="H771" i="3"/>
  <c r="H770" s="1"/>
  <c r="G771"/>
  <c r="G770" s="1"/>
  <c r="G1271" i="1"/>
  <c r="H150" i="3"/>
  <c r="H134"/>
  <c r="H543"/>
  <c r="H542" s="1"/>
  <c r="G543"/>
  <c r="G542" s="1"/>
  <c r="H714" i="1"/>
  <c r="H713" s="1"/>
  <c r="G714"/>
  <c r="G713" s="1"/>
  <c r="G541" i="3"/>
  <c r="G630" i="1"/>
  <c r="G1633"/>
  <c r="G1307" i="3" s="1"/>
  <c r="G1465"/>
  <c r="G1464" s="1"/>
  <c r="H907" i="1"/>
  <c r="H906" s="1"/>
  <c r="G907"/>
  <c r="G906" s="1"/>
  <c r="H600" i="3"/>
  <c r="H599" s="1"/>
  <c r="G600"/>
  <c r="G599" s="1"/>
  <c r="H952" i="1"/>
  <c r="H951" s="1"/>
  <c r="G952"/>
  <c r="G951" s="1"/>
  <c r="H492" i="3"/>
  <c r="H491" s="1"/>
  <c r="G492"/>
  <c r="G491" s="1"/>
  <c r="H642" i="1"/>
  <c r="H641" s="1"/>
  <c r="G642"/>
  <c r="G641" s="1"/>
  <c r="G292" i="3"/>
  <c r="G299"/>
  <c r="G298" s="1"/>
  <c r="G1720" i="1"/>
  <c r="G1719" s="1"/>
  <c r="G1717"/>
  <c r="G1716" s="1"/>
  <c r="G301" i="3"/>
  <c r="G1404" i="1"/>
  <c r="G150" i="3" s="1"/>
  <c r="G1380" i="1"/>
  <c r="G1379" s="1"/>
  <c r="G255" i="3" s="1"/>
  <c r="G254" s="1"/>
  <c r="G253" s="1"/>
  <c r="G1248" i="1"/>
  <c r="G1247" s="1"/>
  <c r="G1246" s="1"/>
  <c r="G1459" i="3" s="1"/>
  <c r="G1191" i="1"/>
  <c r="G16"/>
  <c r="G14"/>
  <c r="G334"/>
  <c r="G333" l="1"/>
  <c r="G326" s="1"/>
  <c r="G327"/>
  <c r="G550" i="3"/>
  <c r="G549" s="1"/>
  <c r="G548" s="1"/>
  <c r="G1715" i="1"/>
  <c r="G1458" i="3"/>
  <c r="G1171" i="1"/>
  <c r="H1144" i="3"/>
  <c r="H1143" s="1"/>
  <c r="G1144"/>
  <c r="H2180" i="1"/>
  <c r="H2179" s="1"/>
  <c r="G2180"/>
  <c r="H947" i="3"/>
  <c r="H946" s="1"/>
  <c r="G947"/>
  <c r="G946" s="1"/>
  <c r="H239" i="1"/>
  <c r="H238" s="1"/>
  <c r="G239"/>
  <c r="G238" s="1"/>
  <c r="G221"/>
  <c r="G1204"/>
  <c r="G1196"/>
  <c r="G1511" i="3"/>
  <c r="G1510" s="1"/>
  <c r="H1511"/>
  <c r="H1510" s="1"/>
  <c r="G787" i="1"/>
  <c r="G786" s="1"/>
  <c r="H787"/>
  <c r="H786" s="1"/>
  <c r="G785"/>
  <c r="H321"/>
  <c r="H320" s="1"/>
  <c r="G321"/>
  <c r="G320" s="1"/>
  <c r="H866" i="3"/>
  <c r="H773" s="1"/>
  <c r="G866"/>
  <c r="G773" s="1"/>
  <c r="G856"/>
  <c r="G1176" i="1"/>
  <c r="G1397" i="3"/>
  <c r="G408"/>
  <c r="G1335"/>
  <c r="G1334" s="1"/>
  <c r="G1333" s="1"/>
  <c r="H1334"/>
  <c r="H1333" s="1"/>
  <c r="H1760" i="1"/>
  <c r="H1759" s="1"/>
  <c r="G1760"/>
  <c r="G1759" s="1"/>
  <c r="G1030" i="3"/>
  <c r="G1029" s="1"/>
  <c r="G1028" s="1"/>
  <c r="H1029"/>
  <c r="H1028" s="1"/>
  <c r="G1145" i="1"/>
  <c r="G405" i="3" l="1"/>
  <c r="G404" s="1"/>
  <c r="G403" s="1"/>
  <c r="H404"/>
  <c r="H403" s="1"/>
  <c r="H973" i="1"/>
  <c r="H972" s="1"/>
  <c r="G973"/>
  <c r="G972" s="1"/>
  <c r="H597" i="3"/>
  <c r="H596" s="1"/>
  <c r="G597"/>
  <c r="G596" s="1"/>
  <c r="G760"/>
  <c r="G759" s="1"/>
  <c r="G758" s="1"/>
  <c r="H759"/>
  <c r="H758" s="1"/>
  <c r="G966"/>
  <c r="G1350" l="1"/>
  <c r="G1349" s="1"/>
  <c r="G904" i="1"/>
  <c r="G903" s="1"/>
  <c r="G902" s="1"/>
  <c r="G1122" i="3"/>
  <c r="G1121" s="1"/>
  <c r="G1120" s="1"/>
  <c r="G1233" i="1"/>
  <c r="G1232" s="1"/>
  <c r="G139" i="3" l="1"/>
  <c r="G138" s="1"/>
  <c r="G1388" i="1"/>
  <c r="G134" i="3"/>
  <c r="G274"/>
  <c r="G273" s="1"/>
  <c r="G272" s="1"/>
  <c r="G1409" i="1"/>
  <c r="G1408" s="1"/>
  <c r="G1407" s="1"/>
  <c r="G279" i="3"/>
  <c r="G278" s="1"/>
  <c r="G277" s="1"/>
  <c r="G276" s="1"/>
  <c r="G1413" i="1"/>
  <c r="G1412" s="1"/>
  <c r="G1411" s="1"/>
  <c r="H749" i="3"/>
  <c r="H748" s="1"/>
  <c r="G749"/>
  <c r="G748" s="1"/>
  <c r="H712"/>
  <c r="H711" s="1"/>
  <c r="G712"/>
  <c r="G711" s="1"/>
  <c r="H1665" i="1"/>
  <c r="H1664" s="1"/>
  <c r="G1665"/>
  <c r="G1664" s="1"/>
  <c r="H1117" i="3"/>
  <c r="H1116" s="1"/>
  <c r="G1117"/>
  <c r="G1116" s="1"/>
  <c r="G1329" i="1"/>
  <c r="G1328" s="1"/>
  <c r="H1329"/>
  <c r="H1328" s="1"/>
  <c r="H965" i="3"/>
  <c r="H964" s="1"/>
  <c r="G965"/>
  <c r="G964" s="1"/>
  <c r="G318" i="1"/>
  <c r="G317" s="1"/>
  <c r="H318"/>
  <c r="H317" s="1"/>
  <c r="H142" i="3"/>
  <c r="H141" s="1"/>
  <c r="H131" s="1"/>
  <c r="G142"/>
  <c r="G141" s="1"/>
  <c r="G1392" i="1"/>
  <c r="G1391" s="1"/>
  <c r="H1392"/>
  <c r="H1391" s="1"/>
  <c r="G510"/>
  <c r="G509" s="1"/>
  <c r="G507"/>
  <c r="G506" s="1"/>
  <c r="H507"/>
  <c r="H506" s="1"/>
  <c r="H510"/>
  <c r="H509" s="1"/>
  <c r="H681" i="3"/>
  <c r="H680" s="1"/>
  <c r="G681"/>
  <c r="G680" s="1"/>
  <c r="G131" l="1"/>
  <c r="G519"/>
  <c r="G526"/>
  <c r="G525" s="1"/>
  <c r="G524" s="1"/>
  <c r="G1421" i="1"/>
  <c r="G1420" s="1"/>
  <c r="G1147" i="3"/>
  <c r="G1335" i="1"/>
  <c r="G1306" i="3"/>
  <c r="G1305" s="1"/>
  <c r="G1632" i="1"/>
  <c r="G1631" s="1"/>
  <c r="G1639"/>
  <c r="H535" i="3"/>
  <c r="G535"/>
  <c r="G513" i="1"/>
  <c r="G512" s="1"/>
  <c r="H513"/>
  <c r="H512" s="1"/>
  <c r="H525" i="3"/>
  <c r="H524" s="1"/>
  <c r="G835" i="1"/>
  <c r="G834" s="1"/>
  <c r="H835"/>
  <c r="H834" s="1"/>
  <c r="G663"/>
  <c r="G662" s="1"/>
  <c r="H663"/>
  <c r="H662" s="1"/>
  <c r="H407" i="3"/>
  <c r="H406" s="1"/>
  <c r="G407"/>
  <c r="G406" s="1"/>
  <c r="H976" i="1"/>
  <c r="H975" s="1"/>
  <c r="G976"/>
  <c r="G975" s="1"/>
  <c r="H996"/>
  <c r="H663" i="3" s="1"/>
  <c r="G996" i="1"/>
  <c r="G663" i="3" s="1"/>
  <c r="H401"/>
  <c r="H400" s="1"/>
  <c r="G401"/>
  <c r="G400" s="1"/>
  <c r="H970" i="1"/>
  <c r="H969" s="1"/>
  <c r="G970"/>
  <c r="G969" s="1"/>
  <c r="G999"/>
  <c r="H1173" i="3"/>
  <c r="H1172" s="1"/>
  <c r="G1173"/>
  <c r="G1172" s="1"/>
  <c r="G1418" i="1"/>
  <c r="G1348" i="3" s="1"/>
  <c r="G968" i="1" l="1"/>
  <c r="H968"/>
  <c r="H1227" i="3"/>
  <c r="G1227"/>
  <c r="H832" i="1"/>
  <c r="H831" s="1"/>
  <c r="G832"/>
  <c r="G831" s="1"/>
  <c r="H297" i="3"/>
  <c r="H950"/>
  <c r="H949" s="1"/>
  <c r="H152" i="1"/>
  <c r="H151" s="1"/>
  <c r="H319" i="3"/>
  <c r="G319"/>
  <c r="G297"/>
  <c r="H309"/>
  <c r="H308" s="1"/>
  <c r="H307" s="1"/>
  <c r="G309"/>
  <c r="G308" s="1"/>
  <c r="G307" s="1"/>
  <c r="G1510" i="1"/>
  <c r="G1509" s="1"/>
  <c r="H1510"/>
  <c r="H1509" s="1"/>
  <c r="H158" i="3" l="1"/>
  <c r="H155" s="1"/>
  <c r="H1399" i="1"/>
  <c r="H1398" s="1"/>
  <c r="H270" i="3" l="1"/>
  <c r="H269" s="1"/>
  <c r="H268" s="1"/>
  <c r="G270"/>
  <c r="H2166" i="1"/>
  <c r="H2165" s="1"/>
  <c r="H2164" s="1"/>
  <c r="G2166"/>
  <c r="H258" i="3"/>
  <c r="G258"/>
  <c r="H260"/>
  <c r="H257" s="1"/>
  <c r="H256" s="1"/>
  <c r="G260"/>
  <c r="H2154" i="1"/>
  <c r="G2154"/>
  <c r="G265" i="3"/>
  <c r="G263" s="1"/>
  <c r="G262" s="1"/>
  <c r="H264"/>
  <c r="G2161" i="1"/>
  <c r="G2160" s="1"/>
  <c r="H2160"/>
  <c r="G133" i="3"/>
  <c r="G132" s="1"/>
  <c r="H133"/>
  <c r="H132" s="1"/>
  <c r="H2156" i="1"/>
  <c r="H2153" s="1"/>
  <c r="H2152" s="1"/>
  <c r="G2156"/>
  <c r="H266" i="3"/>
  <c r="H262" s="1"/>
  <c r="G266"/>
  <c r="G158"/>
  <c r="H154"/>
  <c r="H1397" i="1"/>
  <c r="G1177" i="3"/>
  <c r="H2235" i="1"/>
  <c r="H2234" s="1"/>
  <c r="H2233" s="1"/>
  <c r="H2230" s="1"/>
  <c r="G2235"/>
  <c r="G2234" s="1"/>
  <c r="G2233" s="1"/>
  <c r="G2230" s="1"/>
  <c r="H1187" i="3"/>
  <c r="H1186" s="1"/>
  <c r="G1187"/>
  <c r="G1186" s="1"/>
  <c r="H2218" i="1"/>
  <c r="H2217" s="1"/>
  <c r="H2213" s="1"/>
  <c r="G2218"/>
  <c r="G2217" s="1"/>
  <c r="G2213" s="1"/>
  <c r="G1160" i="3"/>
  <c r="H2215" i="1"/>
  <c r="H2214" s="1"/>
  <c r="G2215"/>
  <c r="G2214" s="1"/>
  <c r="H2210"/>
  <c r="H2209" s="1"/>
  <c r="H2202" s="1"/>
  <c r="G2210"/>
  <c r="G2209" s="1"/>
  <c r="G2202" s="1"/>
  <c r="H2207"/>
  <c r="H2206" s="1"/>
  <c r="G2207"/>
  <c r="G2206" s="1"/>
  <c r="H2204"/>
  <c r="H2203" s="1"/>
  <c r="G2204"/>
  <c r="G2203" s="1"/>
  <c r="G1191" i="3"/>
  <c r="H2200" i="1"/>
  <c r="H2199" s="1"/>
  <c r="G2200"/>
  <c r="G2199" s="1"/>
  <c r="G2197"/>
  <c r="G2196" s="1"/>
  <c r="H2197"/>
  <c r="H2196" s="1"/>
  <c r="H2194"/>
  <c r="H2193" s="1"/>
  <c r="G2194"/>
  <c r="G2193" s="1"/>
  <c r="H2190"/>
  <c r="H2189" s="1"/>
  <c r="G2190"/>
  <c r="G2189" s="1"/>
  <c r="G1146" i="3"/>
  <c r="G1143" s="1"/>
  <c r="H2244" i="1"/>
  <c r="H2243" s="1"/>
  <c r="H2242" s="1"/>
  <c r="G2244"/>
  <c r="G2246"/>
  <c r="G2245" s="1"/>
  <c r="H2246"/>
  <c r="H2245" s="1"/>
  <c r="H2178"/>
  <c r="G2182"/>
  <c r="G2179" s="1"/>
  <c r="H2175"/>
  <c r="G2175"/>
  <c r="H2173"/>
  <c r="G2173"/>
  <c r="G2169"/>
  <c r="G2168" s="1"/>
  <c r="H2162"/>
  <c r="H2159" s="1"/>
  <c r="H2158" s="1"/>
  <c r="G2162"/>
  <c r="G1382" i="3"/>
  <c r="H791" i="1"/>
  <c r="H790" s="1"/>
  <c r="H789" s="1"/>
  <c r="G791"/>
  <c r="G790" s="1"/>
  <c r="G789" s="1"/>
  <c r="G1613"/>
  <c r="G1281" i="3" s="1"/>
  <c r="H962"/>
  <c r="H961" s="1"/>
  <c r="G962"/>
  <c r="G961" s="1"/>
  <c r="H959"/>
  <c r="H958" s="1"/>
  <c r="G959"/>
  <c r="G958" s="1"/>
  <c r="H956"/>
  <c r="H955" s="1"/>
  <c r="G956"/>
  <c r="H149" i="1"/>
  <c r="H148" s="1"/>
  <c r="G149"/>
  <c r="G148" s="1"/>
  <c r="G146"/>
  <c r="G145" s="1"/>
  <c r="H146"/>
  <c r="H145" s="1"/>
  <c r="H1200" i="3"/>
  <c r="H665"/>
  <c r="H664" s="1"/>
  <c r="H998" i="1"/>
  <c r="H997" s="1"/>
  <c r="H768" i="3"/>
  <c r="H767" s="1"/>
  <c r="G768"/>
  <c r="G767" s="1"/>
  <c r="H193" i="1"/>
  <c r="H192" s="1"/>
  <c r="G193"/>
  <c r="G192" s="1"/>
  <c r="H142" l="1"/>
  <c r="H2188"/>
  <c r="H2187"/>
  <c r="H2177"/>
  <c r="G155" i="3"/>
  <c r="G154" s="1"/>
  <c r="G2178" i="1"/>
  <c r="G2177" s="1"/>
  <c r="G955" i="3"/>
  <c r="G142" i="1"/>
  <c r="G2159"/>
  <c r="G2158" s="1"/>
  <c r="H2172"/>
  <c r="H2171" s="1"/>
  <c r="G2153"/>
  <c r="G2152" s="1"/>
  <c r="G257" i="3"/>
  <c r="G256" s="1"/>
  <c r="G2165" i="1"/>
  <c r="G2164" s="1"/>
  <c r="G264" i="3"/>
  <c r="G2188" i="1"/>
  <c r="G2187" s="1"/>
  <c r="G2172"/>
  <c r="G2171" s="1"/>
  <c r="G823" i="3"/>
  <c r="G822" s="1"/>
  <c r="G821" s="1"/>
  <c r="H822"/>
  <c r="H821" s="1"/>
  <c r="H294" i="1"/>
  <c r="H293" s="1"/>
  <c r="G294"/>
  <c r="G293" s="1"/>
  <c r="G1200" i="3"/>
  <c r="G1199" s="1"/>
  <c r="G1198" s="1"/>
  <c r="H1199"/>
  <c r="H1198" s="1"/>
  <c r="G1483" i="1"/>
  <c r="G1482" s="1"/>
  <c r="H1483"/>
  <c r="H1482" s="1"/>
  <c r="H1471" s="1"/>
  <c r="G136" i="3"/>
  <c r="G135" s="1"/>
  <c r="G1399" i="1"/>
  <c r="G1398" s="1"/>
  <c r="G1397" s="1"/>
  <c r="G583"/>
  <c r="G666" i="3"/>
  <c r="G665" s="1"/>
  <c r="G664" s="1"/>
  <c r="G998" i="1"/>
  <c r="G997" s="1"/>
  <c r="H1128" i="3"/>
  <c r="H1127" s="1"/>
  <c r="H1126" s="1"/>
  <c r="G1128"/>
  <c r="G1127" s="1"/>
  <c r="G1126" s="1"/>
  <c r="H1224" i="1"/>
  <c r="H1223" s="1"/>
  <c r="G1224"/>
  <c r="G1223" s="1"/>
  <c r="G1751"/>
  <c r="H2151" l="1"/>
  <c r="H2150" s="1"/>
  <c r="H2149" s="1"/>
  <c r="G2151"/>
  <c r="G2150" s="1"/>
  <c r="G2149" s="1"/>
  <c r="G1471"/>
  <c r="G1301" i="3"/>
  <c r="G1300" s="1"/>
  <c r="G1299" s="1"/>
  <c r="G1297"/>
  <c r="G1296" s="1"/>
  <c r="G1294"/>
  <c r="H1292"/>
  <c r="H1291" s="1"/>
  <c r="G1292"/>
  <c r="G1290"/>
  <c r="G1289" s="1"/>
  <c r="H1287"/>
  <c r="H1286" s="1"/>
  <c r="G1287"/>
  <c r="G1284"/>
  <c r="G1283" s="1"/>
  <c r="G1282" s="1"/>
  <c r="G1280"/>
  <c r="G1279" s="1"/>
  <c r="G1635" i="1"/>
  <c r="G1634" s="1"/>
  <c r="G770"/>
  <c r="G769" s="1"/>
  <c r="G1346"/>
  <c r="H780"/>
  <c r="H779" s="1"/>
  <c r="H775" s="1"/>
  <c r="G780"/>
  <c r="G779" s="1"/>
  <c r="G775" s="1"/>
  <c r="H777"/>
  <c r="H776" s="1"/>
  <c r="G777"/>
  <c r="G776" s="1"/>
  <c r="G716" i="3" l="1"/>
  <c r="G1286"/>
  <c r="G1291"/>
  <c r="G395"/>
  <c r="G394" s="1"/>
  <c r="G593" i="1"/>
  <c r="G592" s="1"/>
  <c r="H938" i="3"/>
  <c r="H937" s="1"/>
  <c r="H936" s="1"/>
  <c r="G938"/>
  <c r="G937" s="1"/>
  <c r="G936" s="1"/>
  <c r="H577" l="1"/>
  <c r="H648" i="1"/>
  <c r="H647" s="1"/>
  <c r="G648"/>
  <c r="G647" s="1"/>
  <c r="G1421" i="3" l="1"/>
  <c r="G1420" s="1"/>
  <c r="G1419" s="1"/>
  <c r="H1420"/>
  <c r="H1419" s="1"/>
  <c r="H1170" i="1"/>
  <c r="H1169" s="1"/>
  <c r="H953" i="3"/>
  <c r="H952" s="1"/>
  <c r="G953"/>
  <c r="G952" s="1"/>
  <c r="G950"/>
  <c r="G949" s="1"/>
  <c r="G996"/>
  <c r="G1170" i="1" l="1"/>
  <c r="G1169" s="1"/>
  <c r="G296" i="3"/>
  <c r="H296"/>
  <c r="G1505" i="1"/>
  <c r="H1505"/>
  <c r="G291" i="3"/>
  <c r="H291"/>
  <c r="G1500" i="1"/>
  <c r="H1500"/>
  <c r="H638" i="3"/>
  <c r="H637" s="1"/>
  <c r="G638"/>
  <c r="G637" s="1"/>
  <c r="H955" i="1"/>
  <c r="H954" s="1"/>
  <c r="G955"/>
  <c r="G954" s="1"/>
  <c r="G2256"/>
  <c r="H790" i="3"/>
  <c r="G790"/>
  <c r="G801" i="1"/>
  <c r="H1009" i="3"/>
  <c r="G1009"/>
  <c r="H900" i="1"/>
  <c r="H899" s="1"/>
  <c r="G900"/>
  <c r="G899" s="1"/>
  <c r="H897"/>
  <c r="H896" s="1"/>
  <c r="G897"/>
  <c r="G896" s="1"/>
  <c r="G890"/>
  <c r="G889" s="1"/>
  <c r="G888" s="1"/>
  <c r="G887" s="1"/>
  <c r="H889"/>
  <c r="H888" s="1"/>
  <c r="H887" s="1"/>
  <c r="G885"/>
  <c r="G884" s="1"/>
  <c r="H884"/>
  <c r="G882"/>
  <c r="H880"/>
  <c r="H879" s="1"/>
  <c r="G880"/>
  <c r="G879" s="1"/>
  <c r="H1151" i="3"/>
  <c r="G1151"/>
  <c r="H1531" i="1"/>
  <c r="G1531"/>
  <c r="H1532"/>
  <c r="G1532"/>
  <c r="G1553"/>
  <c r="H662" i="3"/>
  <c r="H661" s="1"/>
  <c r="H660" s="1"/>
  <c r="G662"/>
  <c r="G661" s="1"/>
  <c r="G660" s="1"/>
  <c r="H995" i="1"/>
  <c r="H994" s="1"/>
  <c r="H993" s="1"/>
  <c r="G995"/>
  <c r="G994" s="1"/>
  <c r="G993" s="1"/>
  <c r="H441"/>
  <c r="H440" s="1"/>
  <c r="G441"/>
  <c r="G440" s="1"/>
  <c r="H1203" i="3"/>
  <c r="G1203"/>
  <c r="H799"/>
  <c r="G799"/>
  <c r="G1068"/>
  <c r="G1053"/>
  <c r="H1647" i="1"/>
  <c r="H1646" s="1"/>
  <c r="H34" i="3"/>
  <c r="G34"/>
  <c r="H114" i="1"/>
  <c r="H892" l="1"/>
  <c r="G892"/>
  <c r="H877"/>
  <c r="H876" s="1"/>
  <c r="G877"/>
  <c r="G876" s="1"/>
  <c r="H437"/>
  <c r="H436" s="1"/>
  <c r="G437"/>
  <c r="G436" s="1"/>
  <c r="H149" i="3"/>
  <c r="H148" s="1"/>
  <c r="H147" s="1"/>
  <c r="G149"/>
  <c r="G148" s="1"/>
  <c r="G147" s="1"/>
  <c r="G1386" i="1"/>
  <c r="G1385" s="1"/>
  <c r="G1384" s="1"/>
  <c r="H503" i="3"/>
  <c r="H502" s="1"/>
  <c r="G503"/>
  <c r="G502" s="1"/>
  <c r="H654" i="1"/>
  <c r="H653" s="1"/>
  <c r="G654"/>
  <c r="G653" s="1"/>
  <c r="H547" i="3"/>
  <c r="H546" s="1"/>
  <c r="H545" s="1"/>
  <c r="G547"/>
  <c r="G546" s="1"/>
  <c r="G545" s="1"/>
  <c r="H651" i="1"/>
  <c r="H650" s="1"/>
  <c r="G651"/>
  <c r="G650" s="1"/>
  <c r="H500" i="3"/>
  <c r="H499" s="1"/>
  <c r="G500"/>
  <c r="G499" s="1"/>
  <c r="H684" i="1"/>
  <c r="H683" s="1"/>
  <c r="G684"/>
  <c r="G683" s="1"/>
  <c r="H540" i="3"/>
  <c r="H539" s="1"/>
  <c r="G540"/>
  <c r="G539" s="1"/>
  <c r="H687" i="1"/>
  <c r="H686" s="1"/>
  <c r="G687"/>
  <c r="G686" s="1"/>
  <c r="G156"/>
  <c r="G612"/>
  <c r="H102" i="3"/>
  <c r="H101" s="1"/>
  <c r="G102"/>
  <c r="G101" s="1"/>
  <c r="H136" i="1"/>
  <c r="H135" s="1"/>
  <c r="G136"/>
  <c r="G135" s="1"/>
  <c r="H1046"/>
  <c r="H1045" s="1"/>
  <c r="G1046"/>
  <c r="G1045" s="1"/>
  <c r="H1043"/>
  <c r="H1042" s="1"/>
  <c r="G1043"/>
  <c r="G1042" s="1"/>
  <c r="H1040"/>
  <c r="H1039" s="1"/>
  <c r="G1040"/>
  <c r="G1039" s="1"/>
  <c r="G1036"/>
  <c r="G1035" s="1"/>
  <c r="G1034" s="1"/>
  <c r="G1033" s="1"/>
  <c r="H1035"/>
  <c r="H1034" s="1"/>
  <c r="H1033" s="1"/>
  <c r="G1031"/>
  <c r="G1030" s="1"/>
  <c r="H1030"/>
  <c r="G1028"/>
  <c r="H1026"/>
  <c r="H1025" s="1"/>
  <c r="G1026"/>
  <c r="G1025" s="1"/>
  <c r="H1312" i="3"/>
  <c r="H1311" s="1"/>
  <c r="H1562" i="1"/>
  <c r="H1561" s="1"/>
  <c r="H1513" s="1"/>
  <c r="G1562"/>
  <c r="G1561" s="1"/>
  <c r="G1513" s="1"/>
  <c r="G1313" i="3" l="1"/>
  <c r="G1312" s="1"/>
  <c r="G1311" s="1"/>
  <c r="H1023" i="1"/>
  <c r="H1022" s="1"/>
  <c r="G1023"/>
  <c r="G1022" s="1"/>
  <c r="G1038"/>
  <c r="G1037" s="1"/>
  <c r="H1038"/>
  <c r="H1037" s="1"/>
  <c r="H1021" l="1"/>
  <c r="G1021"/>
  <c r="H330" i="3"/>
  <c r="G330"/>
  <c r="H379"/>
  <c r="H378" s="1"/>
  <c r="H377" s="1"/>
  <c r="G379"/>
  <c r="G378" s="1"/>
  <c r="G377" s="1"/>
  <c r="H828" i="1"/>
  <c r="H827" s="1"/>
  <c r="G828"/>
  <c r="G827" s="1"/>
  <c r="H486" i="3"/>
  <c r="H370"/>
  <c r="H369" s="1"/>
  <c r="H368" s="1"/>
  <c r="G294"/>
  <c r="G597" i="1"/>
  <c r="G336" i="3" s="1"/>
  <c r="H301"/>
  <c r="H294"/>
  <c r="H1507" i="1"/>
  <c r="H1504" s="1"/>
  <c r="H1502"/>
  <c r="H1499" s="1"/>
  <c r="H686" i="3"/>
  <c r="G686"/>
  <c r="H1425" i="1"/>
  <c r="H1424" s="1"/>
  <c r="G1425"/>
  <c r="G1424" s="1"/>
  <c r="G1423" s="1"/>
  <c r="G1419" s="1"/>
  <c r="H995" i="3"/>
  <c r="H994" s="1"/>
  <c r="H993" s="1"/>
  <c r="G995"/>
  <c r="G994" s="1"/>
  <c r="G993" s="1"/>
  <c r="H203" i="1"/>
  <c r="H202" s="1"/>
  <c r="H201" s="1"/>
  <c r="G203"/>
  <c r="G202" s="1"/>
  <c r="G201" s="1"/>
  <c r="H980" i="3"/>
  <c r="H979" s="1"/>
  <c r="G980"/>
  <c r="G979" s="1"/>
  <c r="H199" i="1"/>
  <c r="H198" s="1"/>
  <c r="G199"/>
  <c r="G198" s="1"/>
  <c r="H1405"/>
  <c r="G1405"/>
  <c r="H1403"/>
  <c r="G1403"/>
  <c r="I642" i="3"/>
  <c r="J642"/>
  <c r="K642"/>
  <c r="L642"/>
  <c r="M642"/>
  <c r="N642"/>
  <c r="H643"/>
  <c r="H642" s="1"/>
  <c r="H641" s="1"/>
  <c r="H640" s="1"/>
  <c r="H647"/>
  <c r="H646" s="1"/>
  <c r="H649"/>
  <c r="H648" s="1"/>
  <c r="H339"/>
  <c r="H338" s="1"/>
  <c r="H337" s="1"/>
  <c r="H155" i="1"/>
  <c r="H154" s="1"/>
  <c r="H612" i="3"/>
  <c r="H611" s="1"/>
  <c r="H592"/>
  <c r="H574"/>
  <c r="H573" s="1"/>
  <c r="H572" s="1"/>
  <c r="H534"/>
  <c r="H533" s="1"/>
  <c r="H518"/>
  <c r="H517" s="1"/>
  <c r="H516"/>
  <c r="H515" s="1"/>
  <c r="H514" s="1"/>
  <c r="G516"/>
  <c r="G515" s="1"/>
  <c r="G514" s="1"/>
  <c r="H513"/>
  <c r="H512" s="1"/>
  <c r="H511" s="1"/>
  <c r="G513"/>
  <c r="G512" s="1"/>
  <c r="G511" s="1"/>
  <c r="H498"/>
  <c r="H477"/>
  <c r="H476" s="1"/>
  <c r="H475" s="1"/>
  <c r="G477"/>
  <c r="G476" s="1"/>
  <c r="G475" s="1"/>
  <c r="H456"/>
  <c r="H455" s="1"/>
  <c r="H454"/>
  <c r="H453"/>
  <c r="H452"/>
  <c r="I450"/>
  <c r="J450"/>
  <c r="K450"/>
  <c r="L450"/>
  <c r="M450"/>
  <c r="N450"/>
  <c r="H444"/>
  <c r="H443"/>
  <c r="H442" s="1"/>
  <c r="H441" s="1"/>
  <c r="H440" s="1"/>
  <c r="H428"/>
  <c r="H427" s="1"/>
  <c r="H426" s="1"/>
  <c r="H422"/>
  <c r="H421" s="1"/>
  <c r="H420" s="1"/>
  <c r="H411"/>
  <c r="H410" s="1"/>
  <c r="H409" s="1"/>
  <c r="H384"/>
  <c r="H383" s="1"/>
  <c r="H376"/>
  <c r="H375" s="1"/>
  <c r="H374" s="1"/>
  <c r="G376"/>
  <c r="G375" s="1"/>
  <c r="G374" s="1"/>
  <c r="H373"/>
  <c r="H372" s="1"/>
  <c r="H371" s="1"/>
  <c r="H367"/>
  <c r="H366" s="1"/>
  <c r="H365" s="1"/>
  <c r="H355"/>
  <c r="H354" s="1"/>
  <c r="H353" s="1"/>
  <c r="H352"/>
  <c r="H351" s="1"/>
  <c r="H350" s="1"/>
  <c r="H345"/>
  <c r="H344" s="1"/>
  <c r="H343" s="1"/>
  <c r="G373"/>
  <c r="G372" s="1"/>
  <c r="G371" s="1"/>
  <c r="H629" i="1"/>
  <c r="H628" s="1"/>
  <c r="G629"/>
  <c r="G628" s="1"/>
  <c r="H672"/>
  <c r="H671" s="1"/>
  <c r="G672"/>
  <c r="G671" s="1"/>
  <c r="H669"/>
  <c r="H668" s="1"/>
  <c r="G669"/>
  <c r="G668" s="1"/>
  <c r="H393" i="3"/>
  <c r="H392" s="1"/>
  <c r="H391" s="1"/>
  <c r="H838" i="1"/>
  <c r="H837" s="1"/>
  <c r="G838"/>
  <c r="G837" s="1"/>
  <c r="H608"/>
  <c r="H607" s="1"/>
  <c r="G608"/>
  <c r="G607" s="1"/>
  <c r="G445" i="3"/>
  <c r="G393"/>
  <c r="H577" i="1"/>
  <c r="H576" s="1"/>
  <c r="G422" i="3"/>
  <c r="G443"/>
  <c r="H806" i="1"/>
  <c r="H805" s="1"/>
  <c r="G806"/>
  <c r="G805" s="1"/>
  <c r="H800"/>
  <c r="G800"/>
  <c r="H474" i="3"/>
  <c r="H473" s="1"/>
  <c r="H472" s="1"/>
  <c r="H497" i="1"/>
  <c r="H496" s="1"/>
  <c r="G497"/>
  <c r="G496" s="1"/>
  <c r="H358" i="3"/>
  <c r="H357" s="1"/>
  <c r="H356" s="1"/>
  <c r="H483" i="1"/>
  <c r="H482" s="1"/>
  <c r="G483"/>
  <c r="G482" s="1"/>
  <c r="H336" i="3" l="1"/>
  <c r="H1423" i="1"/>
  <c r="H1419" s="1"/>
  <c r="G370" i="3"/>
  <c r="G369" s="1"/>
  <c r="G368" s="1"/>
  <c r="H489" i="1"/>
  <c r="H488" s="1"/>
  <c r="H591" i="3"/>
  <c r="H590" s="1"/>
  <c r="G577" i="1"/>
  <c r="G576" s="1"/>
  <c r="G489"/>
  <c r="G488" s="1"/>
  <c r="H497" i="3"/>
  <c r="H529"/>
  <c r="H528" s="1"/>
  <c r="H527" s="1"/>
  <c r="H485"/>
  <c r="H484" s="1"/>
  <c r="G529"/>
  <c r="G358"/>
  <c r="G357" s="1"/>
  <c r="G356" s="1"/>
  <c r="G1402" i="1"/>
  <c r="G1401" s="1"/>
  <c r="G1383" s="1"/>
  <c r="G1502"/>
  <c r="G1499" s="1"/>
  <c r="G1507"/>
  <c r="G1504" s="1"/>
  <c r="G485" i="3"/>
  <c r="G484" s="1"/>
  <c r="H451"/>
  <c r="H450" s="1"/>
  <c r="H1402" i="1"/>
  <c r="H445" i="3"/>
  <c r="H329"/>
  <c r="H328" s="1"/>
  <c r="G444"/>
  <c r="I1205"/>
  <c r="J1205"/>
  <c r="K1205"/>
  <c r="L1205"/>
  <c r="M1205"/>
  <c r="N1205"/>
  <c r="H1581" i="1"/>
  <c r="H1338" i="3"/>
  <c r="H1332"/>
  <c r="H1329"/>
  <c r="H1323"/>
  <c r="H1317"/>
  <c r="H1197"/>
  <c r="H1185"/>
  <c r="H1154"/>
  <c r="H1309"/>
  <c r="H1308" s="1"/>
  <c r="G1309"/>
  <c r="G1308" s="1"/>
  <c r="H1576" i="1" l="1"/>
  <c r="H1401"/>
  <c r="H1383" s="1"/>
  <c r="H1206" i="3"/>
  <c r="H1205" s="1"/>
  <c r="H1204" s="1"/>
  <c r="H1182"/>
  <c r="H1181" s="1"/>
  <c r="G1154"/>
  <c r="H304"/>
  <c r="G1197"/>
  <c r="G1185"/>
  <c r="G1182"/>
  <c r="H700"/>
  <c r="G700"/>
  <c r="H707"/>
  <c r="G707"/>
  <c r="H704"/>
  <c r="G704"/>
  <c r="H716"/>
  <c r="H1662" i="1"/>
  <c r="G1662"/>
  <c r="H1661"/>
  <c r="G1661"/>
  <c r="H1656"/>
  <c r="H1655" s="1"/>
  <c r="G1656"/>
  <c r="G1655" s="1"/>
  <c r="H1653"/>
  <c r="H1652" s="1"/>
  <c r="G1653"/>
  <c r="G1652" s="1"/>
  <c r="H1650"/>
  <c r="H1649" s="1"/>
  <c r="G1650"/>
  <c r="G1649" s="1"/>
  <c r="G1645" s="1"/>
  <c r="G1647"/>
  <c r="G1646" s="1"/>
  <c r="H1638"/>
  <c r="H1637" s="1"/>
  <c r="H1610" s="1"/>
  <c r="H1609" s="1"/>
  <c r="G1638"/>
  <c r="G1637" s="1"/>
  <c r="G1629"/>
  <c r="G1628" s="1"/>
  <c r="G1626"/>
  <c r="H1624"/>
  <c r="H1623" s="1"/>
  <c r="G1624"/>
  <c r="G1622"/>
  <c r="G1621" s="1"/>
  <c r="H1619"/>
  <c r="H1618" s="1"/>
  <c r="H1605" s="1"/>
  <c r="G1619"/>
  <c r="G1616"/>
  <c r="G1615" s="1"/>
  <c r="G1614" s="1"/>
  <c r="G1612"/>
  <c r="G1611" s="1"/>
  <c r="H1603"/>
  <c r="H1602" s="1"/>
  <c r="G1603"/>
  <c r="G1602" s="1"/>
  <c r="H1600"/>
  <c r="H1599" s="1"/>
  <c r="G1600"/>
  <c r="G1599" s="1"/>
  <c r="H1597"/>
  <c r="G1597"/>
  <c r="H1595"/>
  <c r="G1595"/>
  <c r="H1592"/>
  <c r="G1591"/>
  <c r="H1558"/>
  <c r="H1557" s="1"/>
  <c r="G1558"/>
  <c r="G1557" s="1"/>
  <c r="H1551"/>
  <c r="G1551"/>
  <c r="H1550"/>
  <c r="H1549" s="1"/>
  <c r="H1548" s="1"/>
  <c r="G1549"/>
  <c r="G1548" s="1"/>
  <c r="H1571"/>
  <c r="H1568" s="1"/>
  <c r="H1567" s="1"/>
  <c r="H1512" s="1"/>
  <c r="G1571"/>
  <c r="H1546"/>
  <c r="H1545" s="1"/>
  <c r="G1546"/>
  <c r="G1545" s="1"/>
  <c r="H1543"/>
  <c r="H1542" s="1"/>
  <c r="G1543"/>
  <c r="G1542" s="1"/>
  <c r="H1540"/>
  <c r="H1539" s="1"/>
  <c r="G1540"/>
  <c r="G1539" s="1"/>
  <c r="H1537"/>
  <c r="H1536" s="1"/>
  <c r="G1537"/>
  <c r="G1536" s="1"/>
  <c r="H1534"/>
  <c r="G1534"/>
  <c r="H1523"/>
  <c r="H1522" s="1"/>
  <c r="G1523"/>
  <c r="G1522" s="1"/>
  <c r="H1520"/>
  <c r="H1519" s="1"/>
  <c r="G1520"/>
  <c r="G1519" s="1"/>
  <c r="G1517"/>
  <c r="H1515"/>
  <c r="H1514" s="1"/>
  <c r="G1515"/>
  <c r="H318" i="3"/>
  <c r="H317" s="1"/>
  <c r="G318"/>
  <c r="H315"/>
  <c r="H314" s="1"/>
  <c r="G315"/>
  <c r="G314" s="1"/>
  <c r="H312"/>
  <c r="H311" s="1"/>
  <c r="G312"/>
  <c r="G311" s="1"/>
  <c r="H1496" i="1"/>
  <c r="H1495" s="1"/>
  <c r="G1496"/>
  <c r="G1495" s="1"/>
  <c r="H1493"/>
  <c r="H1492" s="1"/>
  <c r="G1493"/>
  <c r="G1492" s="1"/>
  <c r="H1490"/>
  <c r="H1489" s="1"/>
  <c r="G1490"/>
  <c r="G1489" s="1"/>
  <c r="H1277" i="3"/>
  <c r="H1276" s="1"/>
  <c r="G1277"/>
  <c r="G1276" s="1"/>
  <c r="H1274"/>
  <c r="H1273" s="1"/>
  <c r="G1274"/>
  <c r="G1273" s="1"/>
  <c r="H1271"/>
  <c r="H1270" s="1"/>
  <c r="G1271"/>
  <c r="G1270" s="1"/>
  <c r="H1486" i="1"/>
  <c r="H1485" s="1"/>
  <c r="G1486"/>
  <c r="G1485" s="1"/>
  <c r="H1480"/>
  <c r="H1479" s="1"/>
  <c r="G1480"/>
  <c r="G1479" s="1"/>
  <c r="H1477"/>
  <c r="H1476" s="1"/>
  <c r="G1477"/>
  <c r="G1476" s="1"/>
  <c r="H2083"/>
  <c r="G2083"/>
  <c r="G2082" s="1"/>
  <c r="H33" i="3"/>
  <c r="G33"/>
  <c r="H31"/>
  <c r="G31"/>
  <c r="H1200" i="1"/>
  <c r="G1200"/>
  <c r="H1198"/>
  <c r="G1198"/>
  <c r="H310" i="3" l="1"/>
  <c r="H1645" i="1"/>
  <c r="H1644" s="1"/>
  <c r="H1643" s="1"/>
  <c r="G1610"/>
  <c r="G1609" s="1"/>
  <c r="G1568"/>
  <c r="G1567" s="1"/>
  <c r="G1512" s="1"/>
  <c r="G1488"/>
  <c r="G1470" s="1"/>
  <c r="H1488"/>
  <c r="H1470" s="1"/>
  <c r="G1644"/>
  <c r="G1643" s="1"/>
  <c r="G1623"/>
  <c r="H1594"/>
  <c r="H1197"/>
  <c r="G1514"/>
  <c r="G1594"/>
  <c r="G1618"/>
  <c r="G1197"/>
  <c r="G30" i="3"/>
  <c r="H30"/>
  <c r="H1591" i="1"/>
  <c r="G33"/>
  <c r="G32" s="1"/>
  <c r="H33"/>
  <c r="H32" s="1"/>
  <c r="H825" i="3"/>
  <c r="H824" s="1"/>
  <c r="G825"/>
  <c r="G824" s="1"/>
  <c r="H291" i="1"/>
  <c r="H290" s="1"/>
  <c r="G291"/>
  <c r="G290" s="1"/>
  <c r="H814" i="3"/>
  <c r="H813" s="1"/>
  <c r="H812" s="1"/>
  <c r="H816"/>
  <c r="H815" s="1"/>
  <c r="G816"/>
  <c r="G815" s="1"/>
  <c r="H288" i="1"/>
  <c r="H287" s="1"/>
  <c r="G288"/>
  <c r="G287" s="1"/>
  <c r="H796" i="3"/>
  <c r="H795" s="1"/>
  <c r="H794" s="1"/>
  <c r="G264" i="1"/>
  <c r="G263" s="1"/>
  <c r="H819" i="3"/>
  <c r="H818" s="1"/>
  <c r="G819"/>
  <c r="G818" s="1"/>
  <c r="H297" i="1"/>
  <c r="H296" s="1"/>
  <c r="G297"/>
  <c r="G296" s="1"/>
  <c r="H811" i="3"/>
  <c r="H810" s="1"/>
  <c r="H809" s="1"/>
  <c r="G286" i="1"/>
  <c r="G811" i="3" s="1"/>
  <c r="G810" s="1"/>
  <c r="G809" s="1"/>
  <c r="H808"/>
  <c r="H807" s="1"/>
  <c r="H806" s="1"/>
  <c r="G282" i="1"/>
  <c r="G281" s="1"/>
  <c r="H792" i="3"/>
  <c r="H791" s="1"/>
  <c r="G792"/>
  <c r="G791" s="1"/>
  <c r="H270" i="1"/>
  <c r="H269" s="1"/>
  <c r="G270"/>
  <c r="G269" s="1"/>
  <c r="H282"/>
  <c r="H281" s="1"/>
  <c r="H804" i="3"/>
  <c r="H803" s="1"/>
  <c r="G804"/>
  <c r="G803" s="1"/>
  <c r="H279" i="1"/>
  <c r="H278" s="1"/>
  <c r="G279"/>
  <c r="G278" s="1"/>
  <c r="H801" i="3"/>
  <c r="H800" s="1"/>
  <c r="G801"/>
  <c r="G800" s="1"/>
  <c r="H763"/>
  <c r="G763"/>
  <c r="H276" i="1"/>
  <c r="H275" s="1"/>
  <c r="G276"/>
  <c r="G275" s="1"/>
  <c r="H273"/>
  <c r="H272" s="1"/>
  <c r="G273"/>
  <c r="G272" s="1"/>
  <c r="H798" i="3"/>
  <c r="H797" s="1"/>
  <c r="G798"/>
  <c r="G797" s="1"/>
  <c r="H267" i="1"/>
  <c r="H266" s="1"/>
  <c r="G267"/>
  <c r="G266" s="1"/>
  <c r="H932" i="3"/>
  <c r="G932"/>
  <c r="H929"/>
  <c r="G929"/>
  <c r="H36" i="1"/>
  <c r="H35" s="1"/>
  <c r="G36"/>
  <c r="G35" s="1"/>
  <c r="H756" i="3"/>
  <c r="H755" s="1"/>
  <c r="G756"/>
  <c r="G755" s="1"/>
  <c r="H24" i="1"/>
  <c r="H23" s="1"/>
  <c r="G24"/>
  <c r="G23" s="1"/>
  <c r="H789" i="3"/>
  <c r="H788" s="1"/>
  <c r="G789"/>
  <c r="G788" s="1"/>
  <c r="H30" i="1"/>
  <c r="H29" s="1"/>
  <c r="G30"/>
  <c r="G29" s="1"/>
  <c r="H1008" i="3"/>
  <c r="H1007" s="1"/>
  <c r="G1008"/>
  <c r="G1007" s="1"/>
  <c r="G1441"/>
  <c r="G1440" s="1"/>
  <c r="G1443"/>
  <c r="G1442" s="1"/>
  <c r="H1590" i="1" l="1"/>
  <c r="H264"/>
  <c r="H263" s="1"/>
  <c r="H261"/>
  <c r="H260" s="1"/>
  <c r="H285"/>
  <c r="H284" s="1"/>
  <c r="G808" i="3"/>
  <c r="G807" s="1"/>
  <c r="G806" s="1"/>
  <c r="G285" i="1"/>
  <c r="G284" s="1"/>
  <c r="G796" i="3"/>
  <c r="G795" s="1"/>
  <c r="G794" s="1"/>
  <c r="G814"/>
  <c r="G813" s="1"/>
  <c r="G812" s="1"/>
  <c r="G261" i="1"/>
  <c r="G260" s="1"/>
  <c r="G1439" i="3"/>
  <c r="H1000"/>
  <c r="G1000"/>
  <c r="H1784" i="1"/>
  <c r="H1783" s="1"/>
  <c r="G1784"/>
  <c r="G1783" s="1"/>
  <c r="G1780"/>
  <c r="G1779" s="1"/>
  <c r="G1778" s="1"/>
  <c r="G1777" s="1"/>
  <c r="H1779"/>
  <c r="H1778" s="1"/>
  <c r="H1777" s="1"/>
  <c r="G1775"/>
  <c r="G1774" s="1"/>
  <c r="H1774"/>
  <c r="G1772"/>
  <c r="H1770"/>
  <c r="H1769" s="1"/>
  <c r="G1770"/>
  <c r="G1769" s="1"/>
  <c r="H1027" i="3"/>
  <c r="I1027"/>
  <c r="J1027"/>
  <c r="K1027"/>
  <c r="L1027"/>
  <c r="M1027"/>
  <c r="N1027"/>
  <c r="G1027"/>
  <c r="H1682" i="1"/>
  <c r="H1681" s="1"/>
  <c r="G1682"/>
  <c r="G1681" s="1"/>
  <c r="H1679"/>
  <c r="H1678" s="1"/>
  <c r="H1677" s="1"/>
  <c r="G1679"/>
  <c r="G1678" s="1"/>
  <c r="H1675"/>
  <c r="H1674" s="1"/>
  <c r="G1675"/>
  <c r="G1674" s="1"/>
  <c r="H1672"/>
  <c r="H1671" s="1"/>
  <c r="H1669" s="1"/>
  <c r="G1672"/>
  <c r="G1671" s="1"/>
  <c r="I1203" i="3"/>
  <c r="J1203"/>
  <c r="K1203"/>
  <c r="L1203"/>
  <c r="M1203"/>
  <c r="N1203"/>
  <c r="H1473" i="1"/>
  <c r="H1472" s="1"/>
  <c r="G1473"/>
  <c r="G1472" s="1"/>
  <c r="G1354" i="3"/>
  <c r="G1353" s="1"/>
  <c r="G1352" s="1"/>
  <c r="G1351" s="1"/>
  <c r="H1353"/>
  <c r="H1352" s="1"/>
  <c r="H1351" s="1"/>
  <c r="H1461" i="1"/>
  <c r="H1460" s="1"/>
  <c r="H1459" s="1"/>
  <c r="G1461"/>
  <c r="G1460" s="1"/>
  <c r="G1459" s="1"/>
  <c r="H1668" l="1"/>
  <c r="G1677"/>
  <c r="H1767"/>
  <c r="H1766" s="1"/>
  <c r="H29" i="3"/>
  <c r="G29"/>
  <c r="H1670" i="1"/>
  <c r="G1782"/>
  <c r="G1781" s="1"/>
  <c r="H1782"/>
  <c r="H1781" s="1"/>
  <c r="G1670"/>
  <c r="G1669" s="1"/>
  <c r="G1767"/>
  <c r="G1766" s="1"/>
  <c r="H396"/>
  <c r="H395" s="1"/>
  <c r="H394" s="1"/>
  <c r="G396"/>
  <c r="G395" s="1"/>
  <c r="G394" s="1"/>
  <c r="G1668" l="1"/>
  <c r="G1667" s="1"/>
  <c r="H1765"/>
  <c r="G1765"/>
  <c r="H1667"/>
  <c r="H670" i="3"/>
  <c r="G458"/>
  <c r="H458"/>
  <c r="H196"/>
  <c r="H181"/>
  <c r="G78" l="1"/>
  <c r="G77" s="1"/>
  <c r="G76" s="1"/>
  <c r="H78"/>
  <c r="H77" s="1"/>
  <c r="H76" s="1"/>
  <c r="G82"/>
  <c r="G81" s="1"/>
  <c r="G80" s="1"/>
  <c r="G79" s="1"/>
  <c r="H82"/>
  <c r="H81" s="1"/>
  <c r="H80" s="1"/>
  <c r="H79" s="1"/>
  <c r="H84"/>
  <c r="H83" s="1"/>
  <c r="G85"/>
  <c r="G84" s="1"/>
  <c r="G83" s="1"/>
  <c r="G87"/>
  <c r="G86" s="1"/>
  <c r="H87"/>
  <c r="H86" s="1"/>
  <c r="G90"/>
  <c r="G89" s="1"/>
  <c r="H90"/>
  <c r="H89" s="1"/>
  <c r="G1498" l="1"/>
  <c r="G1497" s="1"/>
  <c r="G1496" s="1"/>
  <c r="G1502"/>
  <c r="H1499"/>
  <c r="H1497"/>
  <c r="H1496" s="1"/>
  <c r="H1270" i="1"/>
  <c r="H1269" s="1"/>
  <c r="G1270"/>
  <c r="G1269" s="1"/>
  <c r="G1500" i="3" l="1"/>
  <c r="G1499" s="1"/>
  <c r="G670"/>
  <c r="H2086" i="1" l="1"/>
  <c r="H2085" s="1"/>
  <c r="H2082" s="1"/>
  <c r="H28" i="3" l="1"/>
  <c r="G28"/>
  <c r="G132" i="1" l="1"/>
  <c r="G131" s="1"/>
  <c r="G121" s="1"/>
  <c r="H132"/>
  <c r="H131" s="1"/>
  <c r="H121" s="1"/>
  <c r="H129"/>
  <c r="H128" s="1"/>
  <c r="G129"/>
  <c r="G128" s="1"/>
  <c r="G126"/>
  <c r="G125" s="1"/>
  <c r="G123"/>
  <c r="G122" s="1"/>
  <c r="G16" i="3"/>
  <c r="G992"/>
  <c r="G1487"/>
  <c r="G1486" s="1"/>
  <c r="G1485" s="1"/>
  <c r="H1486"/>
  <c r="H1485" s="1"/>
  <c r="H784" i="1"/>
  <c r="H783" s="1"/>
  <c r="H782" s="1"/>
  <c r="G784"/>
  <c r="G783" s="1"/>
  <c r="G782" s="1"/>
  <c r="G57" i="3"/>
  <c r="G56" s="1"/>
  <c r="G989"/>
  <c r="H773" i="1"/>
  <c r="G773"/>
  <c r="G766" s="1"/>
  <c r="G765" s="1"/>
  <c r="G771"/>
  <c r="G2086" l="1"/>
  <c r="H1698"/>
  <c r="H305" i="3"/>
  <c r="G305"/>
  <c r="H1958" i="1"/>
  <c r="G1958"/>
  <c r="H1133" i="3"/>
  <c r="H1132" s="1"/>
  <c r="G1133"/>
  <c r="G1132" s="1"/>
  <c r="H1230" i="1"/>
  <c r="H1229" s="1"/>
  <c r="G1230"/>
  <c r="G1229" s="1"/>
  <c r="G15" i="3" l="1"/>
  <c r="G14" s="1"/>
  <c r="H15"/>
  <c r="H14" s="1"/>
  <c r="G346" i="1"/>
  <c r="G345" s="1"/>
  <c r="H346"/>
  <c r="H345" s="1"/>
  <c r="G1266" i="3" l="1"/>
  <c r="G1892" i="1"/>
  <c r="G240" i="3" s="1"/>
  <c r="G1106"/>
  <c r="G1033"/>
  <c r="H1267" i="1"/>
  <c r="H1266" s="1"/>
  <c r="G1267"/>
  <c r="G1266" s="1"/>
  <c r="G779" i="3"/>
  <c r="H1256"/>
  <c r="G1256"/>
  <c r="G1994" i="1"/>
  <c r="H1994"/>
  <c r="G1990"/>
  <c r="G1255" i="3" s="1"/>
  <c r="H1926" i="1" l="1"/>
  <c r="H986" i="3"/>
  <c r="H984"/>
  <c r="G986"/>
  <c r="G984"/>
  <c r="H1379"/>
  <c r="G1379"/>
  <c r="H2029" i="1"/>
  <c r="G2029"/>
  <c r="H2035"/>
  <c r="H2032" s="1"/>
  <c r="H2031" s="1"/>
  <c r="G2035"/>
  <c r="G2032" s="1"/>
  <c r="G2031" s="1"/>
  <c r="G1378" i="3"/>
  <c r="H1268"/>
  <c r="H1267" s="1"/>
  <c r="G1268"/>
  <c r="G1267" s="1"/>
  <c r="H1986" i="1"/>
  <c r="H1985" s="1"/>
  <c r="G1986"/>
  <c r="G1985" s="1"/>
  <c r="H1266" i="3"/>
  <c r="H1265" s="1"/>
  <c r="H1264" s="1"/>
  <c r="G1265"/>
  <c r="G1264" s="1"/>
  <c r="H1983" i="1"/>
  <c r="H1982" s="1"/>
  <c r="G1983"/>
  <c r="G1982" s="1"/>
  <c r="H1262" i="3"/>
  <c r="H1261" s="1"/>
  <c r="G1262"/>
  <c r="G1261" s="1"/>
  <c r="H1980" i="1"/>
  <c r="H1979" s="1"/>
  <c r="G1980"/>
  <c r="G1979" s="1"/>
  <c r="H1259" i="3"/>
  <c r="H1258" s="1"/>
  <c r="G1259"/>
  <c r="G1258" s="1"/>
  <c r="H1977" i="1"/>
  <c r="H1976" s="1"/>
  <c r="G1977"/>
  <c r="G1976" s="1"/>
  <c r="H1508" i="3" l="1"/>
  <c r="H1507" s="1"/>
  <c r="G1508"/>
  <c r="G1507" s="1"/>
  <c r="H1517"/>
  <c r="G1517"/>
  <c r="H1180" i="1"/>
  <c r="H1179" s="1"/>
  <c r="H1178" s="1"/>
  <c r="H1177" s="1"/>
  <c r="G15" i="2" s="1"/>
  <c r="G1180" i="1"/>
  <c r="G1179" s="1"/>
  <c r="G1178" s="1"/>
  <c r="G1177" s="1"/>
  <c r="F15" i="2" s="1"/>
  <c r="G1165" i="3"/>
  <c r="H1083" i="1"/>
  <c r="H1082" s="1"/>
  <c r="H1081" s="1"/>
  <c r="G1083"/>
  <c r="G1082" s="1"/>
  <c r="G1081" s="1"/>
  <c r="H635" i="3"/>
  <c r="H634" s="1"/>
  <c r="G635"/>
  <c r="G634" s="1"/>
  <c r="H939" i="1"/>
  <c r="H938" s="1"/>
  <c r="G939"/>
  <c r="G938" s="1"/>
  <c r="G873"/>
  <c r="G872" s="1"/>
  <c r="H873"/>
  <c r="H431"/>
  <c r="H430" s="1"/>
  <c r="G431"/>
  <c r="G430" s="1"/>
  <c r="G339"/>
  <c r="G1032" i="3"/>
  <c r="G1031" s="1"/>
  <c r="G117" i="1"/>
  <c r="G116" s="1"/>
  <c r="G99"/>
  <c r="H99"/>
  <c r="G95"/>
  <c r="H428"/>
  <c r="H427" s="1"/>
  <c r="G428"/>
  <c r="G427" s="1"/>
  <c r="H402"/>
  <c r="G402"/>
  <c r="G401" s="1"/>
  <c r="G399" s="1"/>
  <c r="H401"/>
  <c r="H400" s="1"/>
  <c r="G1080" l="1"/>
  <c r="H1080"/>
  <c r="H399"/>
  <c r="G400"/>
  <c r="G985" i="3"/>
  <c r="J985"/>
  <c r="I985"/>
  <c r="H985"/>
  <c r="G72" i="1"/>
  <c r="H72"/>
  <c r="H1095" i="3" l="1"/>
  <c r="H1105"/>
  <c r="H1104" s="1"/>
  <c r="G1105"/>
  <c r="G1104" s="1"/>
  <c r="G1291" i="1"/>
  <c r="G1290" s="1"/>
  <c r="H1291"/>
  <c r="H1290" s="1"/>
  <c r="H778" i="3" l="1"/>
  <c r="H777" s="1"/>
  <c r="G778"/>
  <c r="G777" s="1"/>
  <c r="J991" l="1"/>
  <c r="I991"/>
  <c r="H991"/>
  <c r="H990" s="1"/>
  <c r="G991"/>
  <c r="G990" s="1"/>
  <c r="H258" i="1"/>
  <c r="H257" s="1"/>
  <c r="G258"/>
  <c r="G257" s="1"/>
  <c r="H425"/>
  <c r="H424" s="1"/>
  <c r="G425"/>
  <c r="G424" s="1"/>
  <c r="G983" i="3"/>
  <c r="G982" s="1"/>
  <c r="G70" i="1"/>
  <c r="G69" s="1"/>
  <c r="J983" i="3"/>
  <c r="I983"/>
  <c r="H983"/>
  <c r="H982" s="1"/>
  <c r="H70" i="1"/>
  <c r="H69" s="1"/>
  <c r="G950"/>
  <c r="G937"/>
  <c r="H780" i="3" l="1"/>
  <c r="G780"/>
  <c r="H1377" l="1"/>
  <c r="G1377"/>
  <c r="H2027" i="1"/>
  <c r="G2025"/>
  <c r="G2022"/>
  <c r="G2021" s="1"/>
  <c r="H118" i="3" l="1"/>
  <c r="G118"/>
  <c r="G117" s="1"/>
  <c r="H117"/>
  <c r="H1364" i="1"/>
  <c r="H1362" s="1"/>
  <c r="G25" i="2" s="1"/>
  <c r="H1365" i="1"/>
  <c r="G1365"/>
  <c r="G1364" s="1"/>
  <c r="H1363" l="1"/>
  <c r="G1362"/>
  <c r="F25" i="2" s="1"/>
  <c r="G1363" i="1"/>
  <c r="H1298" l="1"/>
  <c r="G1333" l="1"/>
  <c r="G1317" i="3" l="1"/>
  <c r="H1089" i="1"/>
  <c r="H1088" s="1"/>
  <c r="H1087" s="1"/>
  <c r="H1086" s="1"/>
  <c r="H1085" s="1"/>
  <c r="G1089"/>
  <c r="G1088" s="1"/>
  <c r="G1087" s="1"/>
  <c r="G1086" s="1"/>
  <c r="G1085" s="1"/>
  <c r="H765" i="3"/>
  <c r="H764" s="1"/>
  <c r="G765"/>
  <c r="G764" s="1"/>
  <c r="H190" i="1"/>
  <c r="H189" s="1"/>
  <c r="G190"/>
  <c r="G189" s="1"/>
  <c r="H1042" i="3"/>
  <c r="H1041" s="1"/>
  <c r="G1042"/>
  <c r="G1041" s="1"/>
  <c r="G1351" i="1"/>
  <c r="G1350" s="1"/>
  <c r="H1351"/>
  <c r="H1350" s="1"/>
  <c r="G1298"/>
  <c r="H168" i="3"/>
  <c r="H167" s="1"/>
  <c r="G168"/>
  <c r="G167" s="1"/>
  <c r="H1377" i="1" l="1"/>
  <c r="H1376" s="1"/>
  <c r="G1377"/>
  <c r="G1376" s="1"/>
  <c r="H1092" i="3" l="1"/>
  <c r="H1112"/>
  <c r="H1326" i="1"/>
  <c r="H1325" s="1"/>
  <c r="G1326"/>
  <c r="G1325" s="1"/>
  <c r="H1283"/>
  <c r="G1283"/>
  <c r="G1282" s="1"/>
  <c r="H1285"/>
  <c r="G1285"/>
  <c r="H1294"/>
  <c r="H1293" s="1"/>
  <c r="G1294"/>
  <c r="G1293" s="1"/>
  <c r="H1282" l="1"/>
  <c r="H746" i="3"/>
  <c r="H745" s="1"/>
  <c r="G746"/>
  <c r="G745" s="1"/>
  <c r="H2136" i="1"/>
  <c r="H2135" s="1"/>
  <c r="G2136"/>
  <c r="G2135" s="1"/>
  <c r="H1919"/>
  <c r="H1916" s="1"/>
  <c r="H1915" s="1"/>
  <c r="G1919"/>
  <c r="G1916" s="1"/>
  <c r="G1915" s="1"/>
  <c r="H1744"/>
  <c r="H1741" s="1"/>
  <c r="H1740" s="1"/>
  <c r="G1744"/>
  <c r="G1741" s="1"/>
  <c r="G1740" s="1"/>
  <c r="I1094" i="3"/>
  <c r="J1094"/>
  <c r="K1094"/>
  <c r="L1094"/>
  <c r="M1094"/>
  <c r="N1094"/>
  <c r="H1097"/>
  <c r="I1097"/>
  <c r="J1097"/>
  <c r="K1097"/>
  <c r="L1097"/>
  <c r="M1097"/>
  <c r="N1097"/>
  <c r="H1100"/>
  <c r="I1100"/>
  <c r="J1100"/>
  <c r="K1100"/>
  <c r="L1100"/>
  <c r="M1100"/>
  <c r="N1100"/>
  <c r="H1103"/>
  <c r="H1115"/>
  <c r="I1115"/>
  <c r="J1115"/>
  <c r="K1115"/>
  <c r="L1115"/>
  <c r="M1115"/>
  <c r="N1115"/>
  <c r="G1588" i="1"/>
  <c r="H1588"/>
  <c r="H1585" s="1"/>
  <c r="H1584" s="1"/>
  <c r="G1097" i="3"/>
  <c r="H1094"/>
  <c r="G1095"/>
  <c r="H1340" i="1"/>
  <c r="H1337" s="1"/>
  <c r="H1336" s="1"/>
  <c r="G1340"/>
  <c r="G1297"/>
  <c r="G1296" s="1"/>
  <c r="H1297"/>
  <c r="H1296" s="1"/>
  <c r="H1334"/>
  <c r="G1334"/>
  <c r="H1332"/>
  <c r="G1332"/>
  <c r="G1320"/>
  <c r="G1319" s="1"/>
  <c r="H1320"/>
  <c r="H1319" s="1"/>
  <c r="H1274"/>
  <c r="H1273" s="1"/>
  <c r="H1272" s="1"/>
  <c r="G1274"/>
  <c r="G1273" s="1"/>
  <c r="G1272" s="1"/>
  <c r="H1014" i="3"/>
  <c r="H1013" s="1"/>
  <c r="G1014"/>
  <c r="G1013" s="1"/>
  <c r="G870" i="1"/>
  <c r="G869" s="1"/>
  <c r="H870"/>
  <c r="H869" s="1"/>
  <c r="H763"/>
  <c r="G763"/>
  <c r="G756" s="1"/>
  <c r="G755" s="1"/>
  <c r="G761"/>
  <c r="H335" i="3"/>
  <c r="H334" s="1"/>
  <c r="G335"/>
  <c r="G334" s="1"/>
  <c r="H620" i="1"/>
  <c r="H619" s="1"/>
  <c r="G620"/>
  <c r="G619" s="1"/>
  <c r="H424" i="3"/>
  <c r="H423" s="1"/>
  <c r="G424"/>
  <c r="G423" s="1"/>
  <c r="H605" i="1"/>
  <c r="H604" s="1"/>
  <c r="G605"/>
  <c r="G604" s="1"/>
  <c r="H581" i="3"/>
  <c r="H580" s="1"/>
  <c r="G581"/>
  <c r="G580" s="1"/>
  <c r="H501" i="1"/>
  <c r="H500" s="1"/>
  <c r="G501"/>
  <c r="G500" s="1"/>
  <c r="J988" i="3"/>
  <c r="I988"/>
  <c r="H988"/>
  <c r="H987" s="1"/>
  <c r="G988"/>
  <c r="G987" s="1"/>
  <c r="H255" i="1"/>
  <c r="H254" s="1"/>
  <c r="G255"/>
  <c r="G254" s="1"/>
  <c r="G331"/>
  <c r="G324" s="1"/>
  <c r="G323" s="1"/>
  <c r="H331"/>
  <c r="H324" s="1"/>
  <c r="H323" s="1"/>
  <c r="H252"/>
  <c r="H251" s="1"/>
  <c r="H250" s="1"/>
  <c r="G252"/>
  <c r="G251" s="1"/>
  <c r="G250" s="1"/>
  <c r="J977" i="3"/>
  <c r="I977"/>
  <c r="H977"/>
  <c r="H976" s="1"/>
  <c r="G977"/>
  <c r="G976" s="1"/>
  <c r="H67" i="1"/>
  <c r="H66" s="1"/>
  <c r="G67"/>
  <c r="G66" s="1"/>
  <c r="G1337" l="1"/>
  <c r="G1336" s="1"/>
  <c r="H1582"/>
  <c r="G1092" i="3"/>
  <c r="G1331" i="1"/>
  <c r="H1331"/>
  <c r="G1585"/>
  <c r="G1584" s="1"/>
  <c r="G1162" i="3"/>
  <c r="G1161" s="1"/>
  <c r="G1965" i="1"/>
  <c r="G2024" s="1"/>
  <c r="G2023" s="1"/>
  <c r="G364" i="3"/>
  <c r="G574" i="1"/>
  <c r="G573" s="1"/>
  <c r="H574"/>
  <c r="G1582" l="1"/>
  <c r="G507" i="3"/>
  <c r="G506" s="1"/>
  <c r="G505" s="1"/>
  <c r="H506"/>
  <c r="H505" s="1"/>
  <c r="H657" i="1"/>
  <c r="H656" s="1"/>
  <c r="G657"/>
  <c r="G656" s="1"/>
  <c r="G633" i="3"/>
  <c r="G632" s="1"/>
  <c r="G628"/>
  <c r="G627" s="1"/>
  <c r="G623"/>
  <c r="G622" s="1"/>
  <c r="H632"/>
  <c r="H630"/>
  <c r="G630"/>
  <c r="H627"/>
  <c r="H625"/>
  <c r="G625"/>
  <c r="H622"/>
  <c r="H620"/>
  <c r="G620"/>
  <c r="H949" i="1"/>
  <c r="G949"/>
  <c r="H947"/>
  <c r="G947"/>
  <c r="H944"/>
  <c r="G944"/>
  <c r="H942"/>
  <c r="G942"/>
  <c r="H936"/>
  <c r="G936"/>
  <c r="H934"/>
  <c r="G934"/>
  <c r="G384" i="3"/>
  <c r="G383" s="1"/>
  <c r="H381"/>
  <c r="H380" s="1"/>
  <c r="G381"/>
  <c r="H582" i="1"/>
  <c r="H579" s="1"/>
  <c r="G582"/>
  <c r="H580"/>
  <c r="G580"/>
  <c r="G390" i="3"/>
  <c r="G389" s="1"/>
  <c r="G388" s="1"/>
  <c r="H389"/>
  <c r="H386"/>
  <c r="G386"/>
  <c r="H587" i="1"/>
  <c r="H584" s="1"/>
  <c r="H555" s="1"/>
  <c r="G587"/>
  <c r="H585"/>
  <c r="G585"/>
  <c r="G468"/>
  <c r="G694" i="3"/>
  <c r="G693" s="1"/>
  <c r="G692" s="1"/>
  <c r="H693"/>
  <c r="H692" s="1"/>
  <c r="H2095" i="1"/>
  <c r="H2094" s="1"/>
  <c r="G2095"/>
  <c r="G2094" s="1"/>
  <c r="G2073"/>
  <c r="H385" i="3" l="1"/>
  <c r="H388"/>
  <c r="H624"/>
  <c r="G1581" i="1"/>
  <c r="G1576" s="1"/>
  <c r="G933"/>
  <c r="G941"/>
  <c r="H946"/>
  <c r="G584"/>
  <c r="G555" s="1"/>
  <c r="H941"/>
  <c r="H629" i="3"/>
  <c r="H619"/>
  <c r="G619"/>
  <c r="G629"/>
  <c r="G624"/>
  <c r="G946" i="1"/>
  <c r="G380" i="3"/>
  <c r="H933" i="1"/>
  <c r="G385" i="3"/>
  <c r="G579" i="1"/>
  <c r="H467"/>
  <c r="H466" s="1"/>
  <c r="H465" s="1"/>
  <c r="H464" s="1"/>
  <c r="G467"/>
  <c r="G466" s="1"/>
  <c r="G465" s="1"/>
  <c r="G464" s="1"/>
  <c r="G762" i="3"/>
  <c r="G761" s="1"/>
  <c r="H762"/>
  <c r="H761" s="1"/>
  <c r="H187" i="1"/>
  <c r="H186" s="1"/>
  <c r="G187"/>
  <c r="G186" s="1"/>
  <c r="G855" i="3"/>
  <c r="G854" s="1"/>
  <c r="G862"/>
  <c r="G861" s="1"/>
  <c r="G860" s="1"/>
  <c r="J861"/>
  <c r="I861"/>
  <c r="H861"/>
  <c r="H860" s="1"/>
  <c r="H64" i="1"/>
  <c r="H63" s="1"/>
  <c r="G64"/>
  <c r="G63" s="1"/>
  <c r="H855" i="3"/>
  <c r="H854" s="1"/>
  <c r="H181" i="1"/>
  <c r="H180" s="1"/>
  <c r="G859" i="3"/>
  <c r="G858" s="1"/>
  <c r="G857" s="1"/>
  <c r="H858"/>
  <c r="H857" s="1"/>
  <c r="H184" i="1"/>
  <c r="H183" s="1"/>
  <c r="G184"/>
  <c r="G183" s="1"/>
  <c r="G532" i="3"/>
  <c r="H530" i="1"/>
  <c r="H529" s="1"/>
  <c r="H499" s="1"/>
  <c r="G530"/>
  <c r="G529" s="1"/>
  <c r="G499" s="1"/>
  <c r="G1168" i="3"/>
  <c r="G1167" s="1"/>
  <c r="G1166" s="1"/>
  <c r="H1167"/>
  <c r="H1166" s="1"/>
  <c r="H1971" i="1"/>
  <c r="H1970" s="1"/>
  <c r="G1971"/>
  <c r="G1970" s="1"/>
  <c r="G1345" i="3"/>
  <c r="G1344" s="1"/>
  <c r="G1343" s="1"/>
  <c r="H1344"/>
  <c r="H1343" s="1"/>
  <c r="H734" i="1"/>
  <c r="H733" s="1"/>
  <c r="G734"/>
  <c r="G733" s="1"/>
  <c r="G739"/>
  <c r="G480" i="3"/>
  <c r="G181" i="1" l="1"/>
  <c r="G180" s="1"/>
  <c r="G539"/>
  <c r="G538" s="1"/>
  <c r="H533"/>
  <c r="H532" s="1"/>
  <c r="G533"/>
  <c r="G532" s="1"/>
  <c r="G585" i="3"/>
  <c r="G523"/>
  <c r="G1235"/>
  <c r="G1234" s="1"/>
  <c r="H1232"/>
  <c r="H1231" s="1"/>
  <c r="G1232"/>
  <c r="G2072" i="1"/>
  <c r="H2070"/>
  <c r="H2069" s="1"/>
  <c r="G2070"/>
  <c r="G1231" i="3" l="1"/>
  <c r="G2069" i="1"/>
  <c r="H975" i="3"/>
  <c r="I323"/>
  <c r="J323"/>
  <c r="K323"/>
  <c r="L323"/>
  <c r="M323"/>
  <c r="N323"/>
  <c r="G1240" l="1"/>
  <c r="G1239" s="1"/>
  <c r="H1237"/>
  <c r="H1236" s="1"/>
  <c r="G1237"/>
  <c r="G975"/>
  <c r="G419"/>
  <c r="G1236" l="1"/>
  <c r="H1255" l="1"/>
  <c r="H1254" s="1"/>
  <c r="H1253" s="1"/>
  <c r="G1254"/>
  <c r="G1253" s="1"/>
  <c r="H1467" i="1"/>
  <c r="H1464" s="1"/>
  <c r="H1463" s="1"/>
  <c r="G1467"/>
  <c r="G449" i="3"/>
  <c r="G448" s="1"/>
  <c r="G447" s="1"/>
  <c r="H448"/>
  <c r="H447" s="1"/>
  <c r="H809" i="1"/>
  <c r="H808" s="1"/>
  <c r="G809"/>
  <c r="G808" s="1"/>
  <c r="G363" i="3"/>
  <c r="G362" s="1"/>
  <c r="H363"/>
  <c r="H569" i="1"/>
  <c r="G569"/>
  <c r="G1464" l="1"/>
  <c r="G1463" s="1"/>
  <c r="H479" i="3"/>
  <c r="H478" s="1"/>
  <c r="G479"/>
  <c r="G478" s="1"/>
  <c r="H632" i="1"/>
  <c r="H631" s="1"/>
  <c r="G632"/>
  <c r="G631" s="1"/>
  <c r="G399" i="3"/>
  <c r="G398" s="1"/>
  <c r="G397" s="1"/>
  <c r="G392"/>
  <c r="G391" s="1"/>
  <c r="H398"/>
  <c r="H397" s="1"/>
  <c r="H590" i="1"/>
  <c r="H589" s="1"/>
  <c r="G590"/>
  <c r="G589" s="1"/>
  <c r="G219" i="3" l="1"/>
  <c r="G1877" i="1"/>
  <c r="G201" i="3"/>
  <c r="G1859" i="1"/>
  <c r="G224" i="3" l="1"/>
  <c r="G223" s="1"/>
  <c r="K223"/>
  <c r="H223"/>
  <c r="G1882" i="1"/>
  <c r="G1881" s="1"/>
  <c r="H1881"/>
  <c r="G196" i="3"/>
  <c r="G1854" i="1"/>
  <c r="G1012" i="3"/>
  <c r="H867" i="1"/>
  <c r="H866" s="1"/>
  <c r="H865" s="1"/>
  <c r="H461" i="3"/>
  <c r="G461"/>
  <c r="H460"/>
  <c r="G460"/>
  <c r="H602" i="1"/>
  <c r="G602"/>
  <c r="H601"/>
  <c r="G601"/>
  <c r="H457" i="3"/>
  <c r="G457"/>
  <c r="H599" i="1"/>
  <c r="G599"/>
  <c r="H598"/>
  <c r="G598"/>
  <c r="H596"/>
  <c r="G596"/>
  <c r="G92" s="1"/>
  <c r="G91" s="1"/>
  <c r="H165" i="3"/>
  <c r="H164" s="1"/>
  <c r="G165"/>
  <c r="G164" s="1"/>
  <c r="H1374" i="1"/>
  <c r="H1373" s="1"/>
  <c r="G1374"/>
  <c r="G1373" s="1"/>
  <c r="G867" l="1"/>
  <c r="G866" s="1"/>
  <c r="G865" s="1"/>
  <c r="H743" i="3"/>
  <c r="H742" s="1"/>
  <c r="G743"/>
  <c r="G742" s="1"/>
  <c r="G2133" i="1"/>
  <c r="G2132" s="1"/>
  <c r="H2133"/>
  <c r="H2132" s="1"/>
  <c r="H239" i="3"/>
  <c r="H238" s="1"/>
  <c r="G239"/>
  <c r="G238" s="1"/>
  <c r="G1891" i="1"/>
  <c r="G1890" s="1"/>
  <c r="H1891"/>
  <c r="H1890" s="1"/>
  <c r="H1011" i="3"/>
  <c r="H1010" s="1"/>
  <c r="G1011"/>
  <c r="G1010" s="1"/>
  <c r="G82" i="1"/>
  <c r="G81" s="1"/>
  <c r="G80" s="1"/>
  <c r="H82"/>
  <c r="H81" s="1"/>
  <c r="H80" s="1"/>
  <c r="H1164" i="3"/>
  <c r="H1163" s="1"/>
  <c r="G1164"/>
  <c r="G1163" s="1"/>
  <c r="H1968" i="1" l="1"/>
  <c r="H1967" s="1"/>
  <c r="G1968"/>
  <c r="G1967" s="1"/>
  <c r="I1039" i="3"/>
  <c r="J1039"/>
  <c r="K1039"/>
  <c r="L1039"/>
  <c r="M1039"/>
  <c r="N1039"/>
  <c r="H1040"/>
  <c r="H1039" s="1"/>
  <c r="H1038" s="1"/>
  <c r="H1348" i="1"/>
  <c r="H1091" i="3"/>
  <c r="H1090" s="1"/>
  <c r="H1280" i="1"/>
  <c r="H1279" s="1"/>
  <c r="H1505" i="3"/>
  <c r="H1504" s="1"/>
  <c r="H1503" s="1"/>
  <c r="G1505"/>
  <c r="G1504" s="1"/>
  <c r="G1503" s="1"/>
  <c r="H1252" i="1"/>
  <c r="H1251" s="1"/>
  <c r="H1250" s="1"/>
  <c r="G1252"/>
  <c r="G1251" s="1"/>
  <c r="G1250" s="1"/>
  <c r="H1347" l="1"/>
  <c r="G474" i="3"/>
  <c r="H361"/>
  <c r="H324" s="1"/>
  <c r="G473" l="1"/>
  <c r="G472" s="1"/>
  <c r="H1019" i="1"/>
  <c r="H1018" s="1"/>
  <c r="G1019"/>
  <c r="G1018" s="1"/>
  <c r="H482" i="3"/>
  <c r="H481" s="1"/>
  <c r="G482"/>
  <c r="G481" s="1"/>
  <c r="H635" i="1"/>
  <c r="H634" s="1"/>
  <c r="G635"/>
  <c r="G634" s="1"/>
  <c r="G421" i="3"/>
  <c r="G420" s="1"/>
  <c r="H626" i="1"/>
  <c r="H625" s="1"/>
  <c r="G626"/>
  <c r="G625" s="1"/>
  <c r="H1446" i="3"/>
  <c r="H928"/>
  <c r="H927" s="1"/>
  <c r="H974"/>
  <c r="H973" s="1"/>
  <c r="J931"/>
  <c r="I931"/>
  <c r="H931"/>
  <c r="H930" s="1"/>
  <c r="G931"/>
  <c r="G930" s="1"/>
  <c r="H248" i="1"/>
  <c r="H247" s="1"/>
  <c r="G248"/>
  <c r="G247" s="1"/>
  <c r="H245"/>
  <c r="H244" s="1"/>
  <c r="H242"/>
  <c r="H241" s="1"/>
  <c r="J934" i="3"/>
  <c r="I934"/>
  <c r="H934"/>
  <c r="H933" s="1"/>
  <c r="G934"/>
  <c r="G933" s="1"/>
  <c r="H78" i="1"/>
  <c r="H77" s="1"/>
  <c r="G78"/>
  <c r="G77" s="1"/>
  <c r="G974" i="3"/>
  <c r="G973" s="1"/>
  <c r="G242" i="1"/>
  <c r="G241" s="1"/>
  <c r="J928" i="3"/>
  <c r="I928"/>
  <c r="G928"/>
  <c r="G927" s="1"/>
  <c r="G245" i="1"/>
  <c r="G244" s="1"/>
  <c r="J925" i="3"/>
  <c r="I925"/>
  <c r="G925"/>
  <c r="G924" s="1"/>
  <c r="G75" i="1"/>
  <c r="G74" s="1"/>
  <c r="G181" i="3" l="1"/>
  <c r="H1056" i="1" l="1"/>
  <c r="G1056"/>
  <c r="H1713"/>
  <c r="H1712" s="1"/>
  <c r="H1711" s="1"/>
  <c r="G1713"/>
  <c r="G1712" s="1"/>
  <c r="G1711" s="1"/>
  <c r="H522" i="3"/>
  <c r="H521" s="1"/>
  <c r="G522"/>
  <c r="G521" s="1"/>
  <c r="G847" i="1"/>
  <c r="G846" s="1"/>
  <c r="H847"/>
  <c r="H846" s="1"/>
  <c r="G1924"/>
  <c r="H418" i="3"/>
  <c r="G418"/>
  <c r="H595" i="1"/>
  <c r="G595"/>
  <c r="I1541" i="3" l="1"/>
  <c r="J1541"/>
  <c r="L1541"/>
  <c r="M1541"/>
  <c r="N1541"/>
  <c r="G821" i="1" l="1"/>
  <c r="J846" i="3" l="1"/>
  <c r="I846"/>
  <c r="H846"/>
  <c r="H845" s="1"/>
  <c r="G846"/>
  <c r="G845" s="1"/>
  <c r="H39" i="1"/>
  <c r="H38" s="1"/>
  <c r="G39"/>
  <c r="G38" s="1"/>
  <c r="G1115" i="3" l="1"/>
  <c r="H252" l="1"/>
  <c r="H251" s="1"/>
  <c r="H180"/>
  <c r="H179" s="1"/>
  <c r="G180"/>
  <c r="G179" s="1"/>
  <c r="H1840" i="1"/>
  <c r="H1839" s="1"/>
  <c r="G1840"/>
  <c r="G1839" s="1"/>
  <c r="H215" i="3"/>
  <c r="H1903" i="1" l="1"/>
  <c r="G679" i="3"/>
  <c r="H112" i="1"/>
  <c r="H490" i="3"/>
  <c r="G498"/>
  <c r="H1055"/>
  <c r="H1054" s="1"/>
  <c r="H462" i="1"/>
  <c r="H532" i="3" l="1"/>
  <c r="G442" l="1"/>
  <c r="G441" s="1"/>
  <c r="G440" s="1"/>
  <c r="G428"/>
  <c r="H111" i="1" l="1"/>
  <c r="G114"/>
  <c r="H669" i="3"/>
  <c r="G669"/>
  <c r="H13" i="1"/>
  <c r="G13"/>
  <c r="G784" i="3"/>
  <c r="H339" i="1"/>
  <c r="H891" i="3" l="1"/>
  <c r="H890" s="1"/>
  <c r="H889" s="1"/>
  <c r="G891"/>
  <c r="G890" s="1"/>
  <c r="G889" s="1"/>
  <c r="H885"/>
  <c r="H884" s="1"/>
  <c r="H883" s="1"/>
  <c r="H1217" i="1"/>
  <c r="H1216" s="1"/>
  <c r="G1217"/>
  <c r="G1216" s="1"/>
  <c r="G1221"/>
  <c r="G1220" s="1"/>
  <c r="H1221"/>
  <c r="H1220" s="1"/>
  <c r="G885" i="3"/>
  <c r="H23"/>
  <c r="G44"/>
  <c r="H1055" i="1" l="1"/>
  <c r="G1055"/>
  <c r="G27" i="3"/>
  <c r="G25" s="1"/>
  <c r="G24" s="1"/>
  <c r="G1193" i="1"/>
  <c r="H563"/>
  <c r="H61"/>
  <c r="G1164"/>
  <c r="G825"/>
  <c r="G820" s="1"/>
  <c r="G206"/>
  <c r="G1375" i="3" l="1"/>
  <c r="G612"/>
  <c r="H414"/>
  <c r="G1913" i="1" l="1"/>
  <c r="G1912" s="1"/>
  <c r="H1913"/>
  <c r="H1912" s="1"/>
  <c r="G1869"/>
  <c r="G1868" s="1"/>
  <c r="H1207"/>
  <c r="G1207"/>
  <c r="H1147"/>
  <c r="G1147"/>
  <c r="G237" i="3" l="1"/>
  <c r="G236" s="1"/>
  <c r="G235" s="1"/>
  <c r="G1888" i="1"/>
  <c r="G1887" s="1"/>
  <c r="G207" i="3"/>
  <c r="G206" s="1"/>
  <c r="G205" s="1"/>
  <c r="G1864" i="1"/>
  <c r="G1863" s="1"/>
  <c r="G1441" l="1"/>
  <c r="G366"/>
  <c r="G1710"/>
  <c r="G921" i="3"/>
  <c r="G920" s="1"/>
  <c r="G923"/>
  <c r="G173" i="1"/>
  <c r="H557" l="1"/>
  <c r="H327" i="3" s="1"/>
  <c r="H471"/>
  <c r="G910"/>
  <c r="G1480"/>
  <c r="G1381"/>
  <c r="H1381"/>
  <c r="H1370" s="1"/>
  <c r="H1369" s="1"/>
  <c r="G915"/>
  <c r="G918"/>
  <c r="G471" l="1"/>
  <c r="G470" s="1"/>
  <c r="G469" s="1"/>
  <c r="H470"/>
  <c r="H469" s="1"/>
  <c r="G1371"/>
  <c r="G2017" i="1"/>
  <c r="G2016" s="1"/>
  <c r="G1956"/>
  <c r="G1955" s="1"/>
  <c r="G126" i="3"/>
  <c r="G125" s="1"/>
  <c r="G1440" i="1"/>
  <c r="G1374" i="3"/>
  <c r="G1373" s="1"/>
  <c r="G1300" i="1"/>
  <c r="G1299" s="1"/>
  <c r="G595" i="3"/>
  <c r="G594" s="1"/>
  <c r="G593" s="1"/>
  <c r="H595"/>
  <c r="H593"/>
  <c r="G921" i="1"/>
  <c r="G465" i="3"/>
  <c r="G464" s="1"/>
  <c r="G463" s="1"/>
  <c r="H464"/>
  <c r="H463" s="1"/>
  <c r="H818" i="1"/>
  <c r="H817" s="1"/>
  <c r="G818"/>
  <c r="G817" s="1"/>
  <c r="G490" i="3"/>
  <c r="G489" s="1"/>
  <c r="G488" s="1"/>
  <c r="H489"/>
  <c r="H488" s="1"/>
  <c r="H639" i="1"/>
  <c r="H638" s="1"/>
  <c r="H637" s="1"/>
  <c r="G639"/>
  <c r="G638" s="1"/>
  <c r="G637" s="1"/>
  <c r="G327" i="3"/>
  <c r="G326" s="1"/>
  <c r="K326"/>
  <c r="L326" s="1"/>
  <c r="H326"/>
  <c r="H325" s="1"/>
  <c r="H556" i="1"/>
  <c r="G557"/>
  <c r="G556" s="1"/>
  <c r="G1055" i="3"/>
  <c r="G1054" s="1"/>
  <c r="G462" i="1"/>
  <c r="G325" i="3" l="1"/>
  <c r="G317"/>
  <c r="G310" s="1"/>
  <c r="G1370"/>
  <c r="H655"/>
  <c r="H654" s="1"/>
  <c r="G655"/>
  <c r="G654" s="1"/>
  <c r="H2055" i="1"/>
  <c r="H2054" s="1"/>
  <c r="G2055"/>
  <c r="G2054" s="1"/>
  <c r="G2058"/>
  <c r="G2057" s="1"/>
  <c r="H2058"/>
  <c r="H2057" s="1"/>
  <c r="G2053" l="1"/>
  <c r="H2053"/>
  <c r="G1243" i="3"/>
  <c r="G1242" s="1"/>
  <c r="G1241" s="1"/>
  <c r="G1483"/>
  <c r="G1482" s="1"/>
  <c r="G252"/>
  <c r="G2063" i="1" l="1"/>
  <c r="G2062" s="1"/>
  <c r="G122" i="3"/>
  <c r="G124"/>
  <c r="G123" s="1"/>
  <c r="H1438" i="1"/>
  <c r="G1438"/>
  <c r="H453"/>
  <c r="H452" s="1"/>
  <c r="H451" s="1"/>
  <c r="H450" s="1"/>
  <c r="H449" s="1"/>
  <c r="G753"/>
  <c r="G752" s="1"/>
  <c r="H433" l="1"/>
  <c r="H435"/>
  <c r="H434" s="1"/>
  <c r="H841"/>
  <c r="H840" s="1"/>
  <c r="G841"/>
  <c r="G840" s="1"/>
  <c r="G1479" i="3" l="1"/>
  <c r="G454" i="1"/>
  <c r="G453" s="1"/>
  <c r="G452" s="1"/>
  <c r="G451" s="1"/>
  <c r="G215" i="3"/>
  <c r="G1089"/>
  <c r="G1088" s="1"/>
  <c r="G1087" s="1"/>
  <c r="G1312" i="1"/>
  <c r="G1315"/>
  <c r="G456" i="3"/>
  <c r="G454"/>
  <c r="G453"/>
  <c r="G577"/>
  <c r="G576" s="1"/>
  <c r="G575" s="1"/>
  <c r="H576"/>
  <c r="H575" s="1"/>
  <c r="H723" i="1"/>
  <c r="H722" s="1"/>
  <c r="G723"/>
  <c r="G722" s="1"/>
  <c r="G538" i="3"/>
  <c r="G537" s="1"/>
  <c r="G536" s="1"/>
  <c r="H681" i="1"/>
  <c r="H680" s="1"/>
  <c r="G681"/>
  <c r="G680" s="1"/>
  <c r="H537" i="3"/>
  <c r="H536" s="1"/>
  <c r="H678" i="1"/>
  <c r="H677" s="1"/>
  <c r="G678"/>
  <c r="G677" s="1"/>
  <c r="G352" i="3"/>
  <c r="G351" s="1"/>
  <c r="G350" s="1"/>
  <c r="H812" i="1"/>
  <c r="H811" s="1"/>
  <c r="G812"/>
  <c r="G811" s="1"/>
  <c r="G452" i="3"/>
  <c r="H360" i="1"/>
  <c r="H821"/>
  <c r="H825"/>
  <c r="G534" i="3" l="1"/>
  <c r="G533" s="1"/>
  <c r="H820" i="1"/>
  <c r="G455" i="3"/>
  <c r="G451"/>
  <c r="G450" l="1"/>
  <c r="G675"/>
  <c r="G1218"/>
  <c r="G691"/>
  <c r="G1247"/>
  <c r="G2077" i="1"/>
  <c r="G1194" i="3"/>
  <c r="G1193" s="1"/>
  <c r="G1192" s="1"/>
  <c r="G2001" i="1"/>
  <c r="G1215" i="3" s="1"/>
  <c r="H1193"/>
  <c r="H1192" s="1"/>
  <c r="H2009" i="1"/>
  <c r="H2008" s="1"/>
  <c r="G228" i="3"/>
  <c r="G2009" i="1" l="1"/>
  <c r="G2008" s="1"/>
  <c r="H1461" i="3"/>
  <c r="G1461"/>
  <c r="G1221"/>
  <c r="G1252"/>
  <c r="G1251" s="1"/>
  <c r="G1250" s="1"/>
  <c r="G1249" s="1"/>
  <c r="G945"/>
  <c r="G588"/>
  <c r="G433"/>
  <c r="G587" l="1"/>
  <c r="G586" s="1"/>
  <c r="G1491"/>
  <c r="G251"/>
  <c r="H249"/>
  <c r="H248" s="1"/>
  <c r="H241" s="1"/>
  <c r="G249"/>
  <c r="G246"/>
  <c r="G245" s="1"/>
  <c r="G243"/>
  <c r="G242" s="1"/>
  <c r="H893"/>
  <c r="H892" s="1"/>
  <c r="G893"/>
  <c r="G892" s="1"/>
  <c r="H51" i="1"/>
  <c r="H50" s="1"/>
  <c r="G51"/>
  <c r="G50" s="1"/>
  <c r="H887" i="3"/>
  <c r="H886" s="1"/>
  <c r="G887"/>
  <c r="G886" s="1"/>
  <c r="H45" i="1"/>
  <c r="H44" s="1"/>
  <c r="G45"/>
  <c r="G44" s="1"/>
  <c r="G248" i="3" l="1"/>
  <c r="G241" s="1"/>
  <c r="G2080" i="1"/>
  <c r="G2079" s="1"/>
  <c r="H1314"/>
  <c r="G1314"/>
  <c r="G1311" s="1"/>
  <c r="G1304"/>
  <c r="G1303" s="1"/>
  <c r="G1302" s="1"/>
  <c r="H494"/>
  <c r="H493" s="1"/>
  <c r="G494"/>
  <c r="G493" s="1"/>
  <c r="G358"/>
  <c r="G468" i="3"/>
  <c r="H467"/>
  <c r="H466" s="1"/>
  <c r="H617" i="1"/>
  <c r="H616" s="1"/>
  <c r="G617"/>
  <c r="G616" s="1"/>
  <c r="G2118"/>
  <c r="G1342" i="3"/>
  <c r="G1341" s="1"/>
  <c r="G1340" s="1"/>
  <c r="H1341"/>
  <c r="H1340" s="1"/>
  <c r="H859" i="1"/>
  <c r="H858" s="1"/>
  <c r="H857" s="1"/>
  <c r="G859"/>
  <c r="G858" s="1"/>
  <c r="G857" s="1"/>
  <c r="H2075"/>
  <c r="H2074" s="1"/>
  <c r="H2061" s="1"/>
  <c r="H1993"/>
  <c r="H1221" i="3" s="1"/>
  <c r="G1246"/>
  <c r="G1245" s="1"/>
  <c r="G1244" s="1"/>
  <c r="H1990" i="1"/>
  <c r="G2075"/>
  <c r="G2074" s="1"/>
  <c r="H900" i="3"/>
  <c r="H906"/>
  <c r="H853"/>
  <c r="H852" s="1"/>
  <c r="H851" s="1"/>
  <c r="G852"/>
  <c r="G851" s="1"/>
  <c r="H143" i="1"/>
  <c r="G143"/>
  <c r="H108"/>
  <c r="H107" s="1"/>
  <c r="G108"/>
  <c r="G107" s="1"/>
  <c r="H370"/>
  <c r="H369" s="1"/>
  <c r="G370"/>
  <c r="G369" s="1"/>
  <c r="G233" i="3"/>
  <c r="G232" s="1"/>
  <c r="H105" i="1"/>
  <c r="H104" s="1"/>
  <c r="G105"/>
  <c r="G104" s="1"/>
  <c r="G592" i="3"/>
  <c r="G1898" i="1"/>
  <c r="G1897" s="1"/>
  <c r="H343"/>
  <c r="G343"/>
  <c r="G884" i="3"/>
  <c r="G883" s="1"/>
  <c r="H103" i="1" l="1"/>
  <c r="H2060"/>
  <c r="G33" i="2" s="1"/>
  <c r="H1246" i="3"/>
  <c r="H1245" s="1"/>
  <c r="H1244" s="1"/>
  <c r="G467"/>
  <c r="G466" s="1"/>
  <c r="G103" i="1"/>
  <c r="G102" s="1"/>
  <c r="H368"/>
  <c r="H367" s="1"/>
  <c r="G51" i="2" s="1"/>
  <c r="G368" i="1"/>
  <c r="G367" s="1"/>
  <c r="F51" i="2" s="1"/>
  <c r="H102" i="1"/>
  <c r="G741" i="3" l="1"/>
  <c r="G724"/>
  <c r="H1195" i="1" l="1"/>
  <c r="H685" i="3"/>
  <c r="H684" s="1"/>
  <c r="H683" s="1"/>
  <c r="G685"/>
  <c r="G684" s="1"/>
  <c r="G683" s="1"/>
  <c r="H1910" i="1"/>
  <c r="H1909" s="1"/>
  <c r="G1910"/>
  <c r="G1909" s="1"/>
  <c r="G944" i="3"/>
  <c r="G943"/>
  <c r="G48" i="1"/>
  <c r="G47"/>
  <c r="G230" i="3"/>
  <c r="G229" s="1"/>
  <c r="G1895" i="1"/>
  <c r="G1894" s="1"/>
  <c r="H531" i="3"/>
  <c r="H530" s="1"/>
  <c r="H487" s="1"/>
  <c r="G531"/>
  <c r="G530" s="1"/>
  <c r="H666" i="1"/>
  <c r="H665" s="1"/>
  <c r="G666"/>
  <c r="G665" s="1"/>
  <c r="H430" i="3"/>
  <c r="H429" s="1"/>
  <c r="G430"/>
  <c r="G429" s="1"/>
  <c r="H1016" i="1"/>
  <c r="H1015" s="1"/>
  <c r="G1016"/>
  <c r="G1015" s="1"/>
  <c r="G2067"/>
  <c r="H617" i="3"/>
  <c r="H616" s="1"/>
  <c r="H589" s="1"/>
  <c r="G617"/>
  <c r="G616" s="1"/>
  <c r="G589" s="1"/>
  <c r="H931" i="1"/>
  <c r="H930" s="1"/>
  <c r="G931"/>
  <c r="G930" s="1"/>
  <c r="G1264"/>
  <c r="G1263" s="1"/>
  <c r="H282" i="3"/>
  <c r="H281" s="1"/>
  <c r="G282"/>
  <c r="G281" s="1"/>
  <c r="G269" s="1"/>
  <c r="G268" s="1"/>
  <c r="H60" i="1"/>
  <c r="H59" s="1"/>
  <c r="G61"/>
  <c r="G60" s="1"/>
  <c r="H735" i="3"/>
  <c r="H734" s="1"/>
  <c r="G735"/>
  <c r="G734" s="1"/>
  <c r="H2127" i="1"/>
  <c r="H2126" s="1"/>
  <c r="G2127"/>
  <c r="G2126" s="1"/>
  <c r="G723" i="3"/>
  <c r="G2112" i="1"/>
  <c r="G722" i="3"/>
  <c r="H740"/>
  <c r="G740"/>
  <c r="H2130" i="1"/>
  <c r="H2129" s="1"/>
  <c r="G2130"/>
  <c r="G2129" s="1"/>
  <c r="G733" i="3"/>
  <c r="G727"/>
  <c r="H303"/>
  <c r="H302" s="1"/>
  <c r="G303"/>
  <c r="G302" s="1"/>
  <c r="H1953" i="1"/>
  <c r="H1952" s="1"/>
  <c r="G1953"/>
  <c r="G1952" s="1"/>
  <c r="G422"/>
  <c r="G421" s="1"/>
  <c r="H422"/>
  <c r="H421" s="1"/>
  <c r="G912" i="3"/>
  <c r="G911" s="1"/>
  <c r="G164" i="1"/>
  <c r="H922" i="3"/>
  <c r="H919" s="1"/>
  <c r="G922"/>
  <c r="G919" s="1"/>
  <c r="H178" i="1"/>
  <c r="H172" s="1"/>
  <c r="G178"/>
  <c r="G172" s="1"/>
  <c r="H917" i="3"/>
  <c r="G917"/>
  <c r="G916" s="1"/>
  <c r="H170" i="1"/>
  <c r="G170"/>
  <c r="G169" s="1"/>
  <c r="H914" i="3"/>
  <c r="G914"/>
  <c r="G913" s="1"/>
  <c r="H167" i="1"/>
  <c r="G167"/>
  <c r="G166" s="1"/>
  <c r="H909" i="3"/>
  <c r="G909"/>
  <c r="H907"/>
  <c r="G162" i="1"/>
  <c r="H160"/>
  <c r="H162"/>
  <c r="H196"/>
  <c r="H195" s="1"/>
  <c r="G59" l="1"/>
  <c r="G94"/>
  <c r="G93" s="1"/>
  <c r="G89" s="1"/>
  <c r="G161"/>
  <c r="G160" s="1"/>
  <c r="G196"/>
  <c r="G195" s="1"/>
  <c r="G1195"/>
  <c r="G1192" s="1"/>
  <c r="G2066"/>
  <c r="G2065" s="1"/>
  <c r="G908" i="3"/>
  <c r="G907" s="1"/>
  <c r="G1903" i="1"/>
  <c r="G1902"/>
  <c r="G1369" i="3" l="1"/>
  <c r="H72"/>
  <c r="G72"/>
  <c r="G71" s="1"/>
  <c r="H419" i="1"/>
  <c r="G419"/>
  <c r="G418" s="1"/>
  <c r="H69" i="3"/>
  <c r="G69"/>
  <c r="G68" s="1"/>
  <c r="H416" i="1"/>
  <c r="G416"/>
  <c r="G415" s="1"/>
  <c r="H66" i="3"/>
  <c r="G66"/>
  <c r="G65" s="1"/>
  <c r="H413" i="1"/>
  <c r="G413"/>
  <c r="G412" s="1"/>
  <c r="H433" i="3" l="1"/>
  <c r="G414"/>
  <c r="G413" s="1"/>
  <c r="G412" s="1"/>
  <c r="H614"/>
  <c r="H613" s="1"/>
  <c r="G614"/>
  <c r="G613" s="1"/>
  <c r="G1467"/>
  <c r="H1467"/>
  <c r="H1466" s="1"/>
  <c r="H738"/>
  <c r="H737" s="1"/>
  <c r="G738"/>
  <c r="G737" s="1"/>
  <c r="G730"/>
  <c r="G729" s="1"/>
  <c r="G728" s="1"/>
  <c r="H726"/>
  <c r="H725" s="1"/>
  <c r="G726"/>
  <c r="G725" s="1"/>
  <c r="G719"/>
  <c r="H491" i="1"/>
  <c r="H2115"/>
  <c r="H2114" s="1"/>
  <c r="G2115"/>
  <c r="G2114" s="1"/>
  <c r="G2117"/>
  <c r="H721" i="3"/>
  <c r="H720" s="1"/>
  <c r="G721"/>
  <c r="G720" s="1"/>
  <c r="H2110" i="1"/>
  <c r="H2109" s="1"/>
  <c r="G2110"/>
  <c r="G2109" s="1"/>
  <c r="H729" i="3"/>
  <c r="H728" s="1"/>
  <c r="G732"/>
  <c r="G731" s="1"/>
  <c r="H732"/>
  <c r="H731" s="1"/>
  <c r="H2121" i="1"/>
  <c r="H2120" s="1"/>
  <c r="G2121"/>
  <c r="G2120" s="1"/>
  <c r="H2124"/>
  <c r="H2123" s="1"/>
  <c r="G2124"/>
  <c r="G2123" s="1"/>
  <c r="G687" i="3" l="1"/>
  <c r="G1466"/>
  <c r="H2117" i="1"/>
  <c r="G1462" i="3"/>
  <c r="H614" i="1"/>
  <c r="H613" s="1"/>
  <c r="G614"/>
  <c r="G613" s="1"/>
  <c r="H751"/>
  <c r="H750" s="1"/>
  <c r="G750"/>
  <c r="G749" s="1"/>
  <c r="G748" s="1"/>
  <c r="H432" i="3"/>
  <c r="G432"/>
  <c r="G491" i="1"/>
  <c r="H586" i="3"/>
  <c r="H538" i="1"/>
  <c r="G392"/>
  <c r="G361"/>
  <c r="G360" s="1"/>
  <c r="G850" i="3"/>
  <c r="G848" s="1"/>
  <c r="G209" i="1"/>
  <c r="G208"/>
  <c r="G42"/>
  <c r="G41"/>
  <c r="G849" i="3" l="1"/>
  <c r="G211"/>
  <c r="G218"/>
  <c r="G222"/>
  <c r="G204"/>
  <c r="G192"/>
  <c r="G191" s="1"/>
  <c r="G190" s="1"/>
  <c r="G1849" i="1"/>
  <c r="G1848" s="1"/>
  <c r="G881" i="3"/>
  <c r="G880" s="1"/>
  <c r="G152" i="1"/>
  <c r="G151" s="1"/>
  <c r="G140"/>
  <c r="G139" s="1"/>
  <c r="H1901"/>
  <c r="H1900" s="1"/>
  <c r="H1893" s="1"/>
  <c r="G1901"/>
  <c r="G1900" s="1"/>
  <c r="G1893" s="1"/>
  <c r="G879" i="3" l="1"/>
  <c r="G878" s="1"/>
  <c r="G877" s="1"/>
  <c r="G1230" l="1"/>
  <c r="G1229" s="1"/>
  <c r="G1228" s="1"/>
  <c r="G2006" i="1"/>
  <c r="G2005" s="1"/>
  <c r="G1040" i="3"/>
  <c r="G1039" s="1"/>
  <c r="G1038" s="1"/>
  <c r="G1091"/>
  <c r="G1090" s="1"/>
  <c r="G210"/>
  <c r="H121"/>
  <c r="H120" s="1"/>
  <c r="G121"/>
  <c r="G120" s="1"/>
  <c r="H1436" i="1"/>
  <c r="H1435" s="1"/>
  <c r="G1436"/>
  <c r="G1435" s="1"/>
  <c r="H855"/>
  <c r="G855"/>
  <c r="G854" s="1"/>
  <c r="H1208" i="3"/>
  <c r="H1207" s="1"/>
  <c r="G1208"/>
  <c r="G1207" s="1"/>
  <c r="H1943" i="1"/>
  <c r="H1942" s="1"/>
  <c r="G1943"/>
  <c r="G1942" s="1"/>
  <c r="H1226" i="3"/>
  <c r="H1225" s="1"/>
  <c r="G1226"/>
  <c r="G1225" s="1"/>
  <c r="H1997" i="1"/>
  <c r="H1996" s="1"/>
  <c r="G1997"/>
  <c r="G1996" s="1"/>
  <c r="G2222" s="1"/>
  <c r="G2221" s="1"/>
  <c r="G2220" s="1"/>
  <c r="G690" i="3"/>
  <c r="G688" s="1"/>
  <c r="G2092" i="1"/>
  <c r="G2091" s="1"/>
  <c r="G2061" s="1"/>
  <c r="H928"/>
  <c r="H927" s="1"/>
  <c r="G928"/>
  <c r="G927" s="1"/>
  <c r="G1885"/>
  <c r="G1884" s="1"/>
  <c r="G227" i="3"/>
  <c r="G226" s="1"/>
  <c r="G194"/>
  <c r="G193" s="1"/>
  <c r="G1852" i="1"/>
  <c r="G1851" s="1"/>
  <c r="G2060" l="1"/>
  <c r="F33" i="2" s="1"/>
  <c r="G1348" i="1"/>
  <c r="G1347" s="1"/>
  <c r="G1280"/>
  <c r="G1279" s="1"/>
  <c r="G853"/>
  <c r="G203" i="3" l="1"/>
  <c r="G199"/>
  <c r="G1861" i="1"/>
  <c r="G1857"/>
  <c r="G221" i="3"/>
  <c r="G217"/>
  <c r="G1879" i="1"/>
  <c r="G1875"/>
  <c r="G1874" l="1"/>
  <c r="G1856"/>
  <c r="G216" i="3"/>
  <c r="G198"/>
  <c r="H300"/>
  <c r="H295" s="1"/>
  <c r="G300"/>
  <c r="G295" s="1"/>
  <c r="H1950" i="1"/>
  <c r="H1949" s="1"/>
  <c r="G1950"/>
  <c r="G1949" s="1"/>
  <c r="H293" i="3"/>
  <c r="H290" s="1"/>
  <c r="G293"/>
  <c r="G290" s="1"/>
  <c r="H1947" i="1"/>
  <c r="H1946" s="1"/>
  <c r="G1947"/>
  <c r="G1946" s="1"/>
  <c r="G1945" l="1"/>
  <c r="H1945"/>
  <c r="H1703"/>
  <c r="H94" i="3" s="1"/>
  <c r="H93" s="1"/>
  <c r="H92" s="1"/>
  <c r="H74" s="1"/>
  <c r="H97"/>
  <c r="H96" s="1"/>
  <c r="H95" s="1"/>
  <c r="G97"/>
  <c r="H1706" i="1"/>
  <c r="H1705" s="1"/>
  <c r="J905" i="3"/>
  <c r="I905"/>
  <c r="H905"/>
  <c r="H904" s="1"/>
  <c r="G905"/>
  <c r="G904" s="1"/>
  <c r="H903"/>
  <c r="H236" i="1"/>
  <c r="H235" s="1"/>
  <c r="G236"/>
  <c r="G235" s="1"/>
  <c r="H899" i="3"/>
  <c r="H898" s="1"/>
  <c r="G899"/>
  <c r="G898" s="1"/>
  <c r="H217" i="1"/>
  <c r="H216" s="1"/>
  <c r="G217"/>
  <c r="G216" s="1"/>
  <c r="H584" i="3"/>
  <c r="H583" s="1"/>
  <c r="G584"/>
  <c r="G583" s="1"/>
  <c r="H675" i="1"/>
  <c r="H674" s="1"/>
  <c r="G675"/>
  <c r="G674" s="1"/>
  <c r="H1702" l="1"/>
  <c r="H854"/>
  <c r="H853" s="1"/>
  <c r="G991"/>
  <c r="H2014" l="1"/>
  <c r="H2013" s="1"/>
  <c r="H2012" s="1"/>
  <c r="G2014"/>
  <c r="G2013" s="1"/>
  <c r="G2012" s="1"/>
  <c r="G1833"/>
  <c r="G1832" s="1"/>
  <c r="G1831" s="1"/>
  <c r="G1830" s="1"/>
  <c r="G1469" s="1"/>
  <c r="H1832"/>
  <c r="H1831" s="1"/>
  <c r="H1830" s="1"/>
  <c r="H1469" s="1"/>
  <c r="H1491" i="3"/>
  <c r="H1490" s="1"/>
  <c r="G96"/>
  <c r="G95" s="1"/>
  <c r="G1706" i="1"/>
  <c r="G1705" s="1"/>
  <c r="G1457"/>
  <c r="G1456" s="1"/>
  <c r="G1455" s="1"/>
  <c r="G1703"/>
  <c r="G1243"/>
  <c r="H650" i="3"/>
  <c r="H645" s="1"/>
  <c r="G650"/>
  <c r="G984" i="1"/>
  <c r="G1494" i="3"/>
  <c r="G1493" s="1"/>
  <c r="H547" i="1"/>
  <c r="H546" s="1"/>
  <c r="G547"/>
  <c r="G546" s="1"/>
  <c r="G545" s="1"/>
  <c r="H233"/>
  <c r="H232" s="1"/>
  <c r="H231" s="1"/>
  <c r="G233"/>
  <c r="G232" s="1"/>
  <c r="G231" s="1"/>
  <c r="G897" i="3"/>
  <c r="G896" s="1"/>
  <c r="G895" s="1"/>
  <c r="G214" i="1"/>
  <c r="G213" s="1"/>
  <c r="G54"/>
  <c r="G53" s="1"/>
  <c r="H214" i="3"/>
  <c r="G214"/>
  <c r="H1872" i="1"/>
  <c r="G1872"/>
  <c r="J902" i="3"/>
  <c r="I902"/>
  <c r="H902"/>
  <c r="H901" s="1"/>
  <c r="G902"/>
  <c r="G901" s="1"/>
  <c r="H57" i="1"/>
  <c r="H56" s="1"/>
  <c r="G57"/>
  <c r="G56" s="1"/>
  <c r="G94" i="3" l="1"/>
  <c r="G93" s="1"/>
  <c r="G92" s="1"/>
  <c r="G74" s="1"/>
  <c r="G1702" i="1"/>
  <c r="H644" i="3"/>
  <c r="H323" s="1"/>
  <c r="H1829" i="1"/>
  <c r="G1829"/>
  <c r="G1490" i="3"/>
  <c r="G1475" s="1"/>
  <c r="G450" i="1"/>
  <c r="G449" s="1"/>
  <c r="H678" i="3"/>
  <c r="H677" s="1"/>
  <c r="H676" s="1"/>
  <c r="G678"/>
  <c r="G677" s="1"/>
  <c r="G676" s="1"/>
  <c r="H1907" i="1"/>
  <c r="H1906" s="1"/>
  <c r="H1905" s="1"/>
  <c r="G1907"/>
  <c r="G1906" s="1"/>
  <c r="G1905" s="1"/>
  <c r="G659" i="3"/>
  <c r="G658" s="1"/>
  <c r="G657" s="1"/>
  <c r="G653" s="1"/>
  <c r="G718"/>
  <c r="G717" s="1"/>
  <c r="H1220"/>
  <c r="H1219" s="1"/>
  <c r="G1220"/>
  <c r="G1219" s="1"/>
  <c r="H1992" i="1"/>
  <c r="H1991" s="1"/>
  <c r="G1992"/>
  <c r="G1991" s="1"/>
  <c r="G1212" i="3"/>
  <c r="G1211" s="1"/>
  <c r="G1210" s="1"/>
  <c r="G365" i="1"/>
  <c r="G364" s="1"/>
  <c r="G363" s="1"/>
  <c r="H365"/>
  <c r="H364" s="1"/>
  <c r="H363" s="1"/>
  <c r="H288" i="3"/>
  <c r="H287" s="1"/>
  <c r="G288"/>
  <c r="G287" s="1"/>
  <c r="H746" i="1"/>
  <c r="H745" s="1"/>
  <c r="G746"/>
  <c r="G745" s="1"/>
  <c r="H285" i="3"/>
  <c r="H284" s="1"/>
  <c r="H280" s="1"/>
  <c r="G285"/>
  <c r="G284" s="1"/>
  <c r="G280" s="1"/>
  <c r="H743" i="1"/>
  <c r="H742" s="1"/>
  <c r="G743"/>
  <c r="G742" s="1"/>
  <c r="G100" i="3"/>
  <c r="G99" s="1"/>
  <c r="G98" s="1"/>
  <c r="G1237" i="1"/>
  <c r="H2011"/>
  <c r="G2011"/>
  <c r="H1217" i="3"/>
  <c r="H1216" s="1"/>
  <c r="G1217"/>
  <c r="G1216" s="1"/>
  <c r="H2003" i="1"/>
  <c r="H2002" s="1"/>
  <c r="G2003"/>
  <c r="G2002" s="1"/>
  <c r="H674" i="3"/>
  <c r="H673" s="1"/>
  <c r="G674"/>
  <c r="G673" s="1"/>
  <c r="H18" i="1"/>
  <c r="H17" s="1"/>
  <c r="G18"/>
  <c r="G17" s="1"/>
  <c r="H1110" i="3"/>
  <c r="G1110"/>
  <c r="H1114"/>
  <c r="H1113" s="1"/>
  <c r="G1114"/>
  <c r="G1113" s="1"/>
  <c r="H1111"/>
  <c r="G1111"/>
  <c r="H1102"/>
  <c r="H1101" s="1"/>
  <c r="H1099"/>
  <c r="H1098" s="1"/>
  <c r="G1100"/>
  <c r="G1099" s="1"/>
  <c r="G1098" s="1"/>
  <c r="G1103"/>
  <c r="G1102" s="1"/>
  <c r="G1101" s="1"/>
  <c r="H1317" i="1"/>
  <c r="H356"/>
  <c r="H1078" i="3"/>
  <c r="G1078"/>
  <c r="H1106" i="1"/>
  <c r="H1105" s="1"/>
  <c r="G1106"/>
  <c r="G1105" s="1"/>
  <c r="H38" i="3"/>
  <c r="G38"/>
  <c r="G1205" i="1"/>
  <c r="H163" i="3"/>
  <c r="H784"/>
  <c r="H1390"/>
  <c r="H1389" s="1"/>
  <c r="H1388" s="1"/>
  <c r="H1384" s="1"/>
  <c r="H1215"/>
  <c r="H1214" s="1"/>
  <c r="H1213" s="1"/>
  <c r="H1212"/>
  <c r="H1211" s="1"/>
  <c r="H1210" s="1"/>
  <c r="L1179"/>
  <c r="I1321"/>
  <c r="I1338"/>
  <c r="H1320"/>
  <c r="H1316"/>
  <c r="H1315" s="1"/>
  <c r="I1347"/>
  <c r="H1415"/>
  <c r="H1413"/>
  <c r="H1410"/>
  <c r="H1408"/>
  <c r="H1405"/>
  <c r="H1403"/>
  <c r="H1402" s="1"/>
  <c r="H1400"/>
  <c r="H1399" s="1"/>
  <c r="H1396"/>
  <c r="H1395" s="1"/>
  <c r="H1394"/>
  <c r="I1396"/>
  <c r="I1428"/>
  <c r="I1450"/>
  <c r="H1068"/>
  <c r="I1066"/>
  <c r="I1047"/>
  <c r="I999"/>
  <c r="I787"/>
  <c r="I700"/>
  <c r="I427"/>
  <c r="I170"/>
  <c r="I110"/>
  <c r="I51"/>
  <c r="I36"/>
  <c r="H1202"/>
  <c r="H1201" s="1"/>
  <c r="H1196"/>
  <c r="H1195" s="1"/>
  <c r="H1190"/>
  <c r="H1189" s="1"/>
  <c r="H1184"/>
  <c r="H1183" s="1"/>
  <c r="H1180"/>
  <c r="H1179"/>
  <c r="H1178" s="1"/>
  <c r="H1176"/>
  <c r="H1159"/>
  <c r="H1158" s="1"/>
  <c r="H1153"/>
  <c r="H1150" s="1"/>
  <c r="H1142"/>
  <c r="H1141" s="1"/>
  <c r="H1138"/>
  <c r="H1137" s="1"/>
  <c r="H213"/>
  <c r="H189"/>
  <c r="H184"/>
  <c r="H942"/>
  <c r="H1348"/>
  <c r="H1347" s="1"/>
  <c r="H1346" s="1"/>
  <c r="H1339" s="1"/>
  <c r="G1347"/>
  <c r="G1346" s="1"/>
  <c r="G1339" s="1"/>
  <c r="H990" i="1"/>
  <c r="H989" s="1"/>
  <c r="H988" s="1"/>
  <c r="H987" s="1"/>
  <c r="G990"/>
  <c r="G989" s="1"/>
  <c r="G988" s="1"/>
  <c r="G987" s="1"/>
  <c r="H876" i="3"/>
  <c r="H874"/>
  <c r="H873" s="1"/>
  <c r="H872"/>
  <c r="H870"/>
  <c r="H787"/>
  <c r="H754"/>
  <c r="H776"/>
  <c r="H1047"/>
  <c r="H719"/>
  <c r="H715"/>
  <c r="H714" s="1"/>
  <c r="H1020"/>
  <c r="H1085"/>
  <c r="H37"/>
  <c r="H1037"/>
  <c r="H13"/>
  <c r="H659"/>
  <c r="H658" s="1"/>
  <c r="H657" s="1"/>
  <c r="H653" s="1"/>
  <c r="H672"/>
  <c r="G1410"/>
  <c r="G1408"/>
  <c r="G339"/>
  <c r="H1140"/>
  <c r="H1139" s="1"/>
  <c r="G1214"/>
  <c r="G1213" s="1"/>
  <c r="H2000" i="1"/>
  <c r="H1999" s="1"/>
  <c r="G2000"/>
  <c r="G1999" s="1"/>
  <c r="H1989"/>
  <c r="H1988" s="1"/>
  <c r="G1989"/>
  <c r="G1988" s="1"/>
  <c r="G715" i="3"/>
  <c r="G714" s="1"/>
  <c r="H2107" i="1"/>
  <c r="H2106" s="1"/>
  <c r="G2107"/>
  <c r="G2106" s="1"/>
  <c r="H1053" i="3"/>
  <c r="H1050" s="1"/>
  <c r="H1214" i="1"/>
  <c r="H1213" s="1"/>
  <c r="H1212" s="1"/>
  <c r="G1214"/>
  <c r="G1213" s="1"/>
  <c r="G1212" s="1"/>
  <c r="H1417"/>
  <c r="H1416" s="1"/>
  <c r="H1415" s="1"/>
  <c r="H1382" s="1"/>
  <c r="G1417"/>
  <c r="G1416" s="1"/>
  <c r="G1415" s="1"/>
  <c r="G1382" s="1"/>
  <c r="H129" i="3"/>
  <c r="H128" s="1"/>
  <c r="H127" s="1"/>
  <c r="G128"/>
  <c r="G127" s="1"/>
  <c r="H1443" i="1"/>
  <c r="H1442" s="1"/>
  <c r="G1443"/>
  <c r="G1442" s="1"/>
  <c r="H100" i="3"/>
  <c r="H99" s="1"/>
  <c r="H98" s="1"/>
  <c r="H1709" i="1"/>
  <c r="H1708" s="1"/>
  <c r="H1701" s="1"/>
  <c r="G1709"/>
  <c r="G1708" s="1"/>
  <c r="H1288"/>
  <c r="H1287" s="1"/>
  <c r="G1288"/>
  <c r="G1287" s="1"/>
  <c r="G1278" s="1"/>
  <c r="G1277" s="1"/>
  <c r="H44" i="3"/>
  <c r="H43" s="1"/>
  <c r="H42" s="1"/>
  <c r="G43"/>
  <c r="G42" s="1"/>
  <c r="H1210" i="1"/>
  <c r="H1209" s="1"/>
  <c r="G1210"/>
  <c r="G1209" s="1"/>
  <c r="H116" i="3"/>
  <c r="H27"/>
  <c r="H25" s="1"/>
  <c r="H24" s="1"/>
  <c r="H41"/>
  <c r="H40" s="1"/>
  <c r="H1049"/>
  <c r="H739" i="1"/>
  <c r="H738" s="1"/>
  <c r="H737" s="1"/>
  <c r="H579" i="3"/>
  <c r="G411"/>
  <c r="H486" i="1"/>
  <c r="H485" s="1"/>
  <c r="G486"/>
  <c r="G485" s="1"/>
  <c r="H342" i="3"/>
  <c r="H718" l="1"/>
  <c r="H717" s="1"/>
  <c r="H687"/>
  <c r="G435" i="1"/>
  <c r="G741"/>
  <c r="H1136" i="3"/>
  <c r="G1701" i="1"/>
  <c r="H355"/>
  <c r="H353" s="1"/>
  <c r="H352" s="1"/>
  <c r="G50" i="2" s="1"/>
  <c r="G497" i="3"/>
  <c r="G738" i="1"/>
  <c r="G737" s="1"/>
  <c r="H1175" i="3"/>
  <c r="H1135" s="1"/>
  <c r="H741" i="1"/>
  <c r="G356"/>
  <c r="I1135" i="3"/>
  <c r="H1443"/>
  <c r="H1442" s="1"/>
  <c r="H1441"/>
  <c r="H1440" s="1"/>
  <c r="H1436"/>
  <c r="H1435" s="1"/>
  <c r="H1434"/>
  <c r="H1433" s="1"/>
  <c r="H1426"/>
  <c r="H1425" s="1"/>
  <c r="H1424" s="1"/>
  <c r="H1423" s="1"/>
  <c r="H1082"/>
  <c r="H1081" s="1"/>
  <c r="H1080" s="1"/>
  <c r="H1064"/>
  <c r="H1063" s="1"/>
  <c r="H1062"/>
  <c r="H1061" s="1"/>
  <c r="H1060"/>
  <c r="H1059" s="1"/>
  <c r="H1067"/>
  <c r="H1066" s="1"/>
  <c r="H1065" s="1"/>
  <c r="H1483"/>
  <c r="H1131"/>
  <c r="H1130" s="1"/>
  <c r="H1129" s="1"/>
  <c r="H1452"/>
  <c r="H1451" s="1"/>
  <c r="H1455"/>
  <c r="H64"/>
  <c r="H63" s="1"/>
  <c r="H62" s="1"/>
  <c r="H61"/>
  <c r="H60" s="1"/>
  <c r="H59" s="1"/>
  <c r="H54"/>
  <c r="H53" s="1"/>
  <c r="H52"/>
  <c r="H51" s="1"/>
  <c r="H50"/>
  <c r="H49" s="1"/>
  <c r="H48"/>
  <c r="H47" s="1"/>
  <c r="H46" s="1"/>
  <c r="H1418"/>
  <c r="H1417" s="1"/>
  <c r="H1416" s="1"/>
  <c r="H1075"/>
  <c r="H1074" s="1"/>
  <c r="H1073" s="1"/>
  <c r="G1075"/>
  <c r="G1074" s="1"/>
  <c r="G1073" s="1"/>
  <c r="H1072"/>
  <c r="H1071" s="1"/>
  <c r="H1070" s="1"/>
  <c r="G1072"/>
  <c r="H1516"/>
  <c r="H1515" s="1"/>
  <c r="H1514" s="1"/>
  <c r="G427"/>
  <c r="G426" s="1"/>
  <c r="H1328"/>
  <c r="H1327" s="1"/>
  <c r="H110"/>
  <c r="H109" s="1"/>
  <c r="H108" s="1"/>
  <c r="H969"/>
  <c r="H968" s="1"/>
  <c r="H967" s="1"/>
  <c r="H113"/>
  <c r="H941"/>
  <c r="H940" s="1"/>
  <c r="G942"/>
  <c r="H1193" i="1"/>
  <c r="H1192" s="1"/>
  <c r="H1460" i="3"/>
  <c r="H1457" s="1"/>
  <c r="H1456" s="1"/>
  <c r="H1454"/>
  <c r="H1445"/>
  <c r="H1444" s="1"/>
  <c r="H1414"/>
  <c r="H1412"/>
  <c r="H1409"/>
  <c r="H1407"/>
  <c r="H1404"/>
  <c r="H1401" s="1"/>
  <c r="H1393"/>
  <c r="H1392" s="1"/>
  <c r="H1337"/>
  <c r="H1336" s="1"/>
  <c r="H1331"/>
  <c r="H1330" s="1"/>
  <c r="H1322"/>
  <c r="H1321" s="1"/>
  <c r="H1319"/>
  <c r="H1318" s="1"/>
  <c r="H1096"/>
  <c r="H1084"/>
  <c r="H1083" s="1"/>
  <c r="H1077"/>
  <c r="H1076" s="1"/>
  <c r="H1052"/>
  <c r="H1048"/>
  <c r="H1046"/>
  <c r="H1036"/>
  <c r="H1035" s="1"/>
  <c r="H1034" s="1"/>
  <c r="H1026"/>
  <c r="H1025" s="1"/>
  <c r="H1021" s="1"/>
  <c r="H1019"/>
  <c r="H1018" s="1"/>
  <c r="H1017" s="1"/>
  <c r="H1016" s="1"/>
  <c r="H999"/>
  <c r="H998" s="1"/>
  <c r="H997" s="1"/>
  <c r="H875"/>
  <c r="H871"/>
  <c r="H869"/>
  <c r="H783"/>
  <c r="H782" s="1"/>
  <c r="H775"/>
  <c r="H774" s="1"/>
  <c r="H753"/>
  <c r="H752" s="1"/>
  <c r="H786"/>
  <c r="H785" s="1"/>
  <c r="H706"/>
  <c r="H705" s="1"/>
  <c r="H703"/>
  <c r="H701" s="1"/>
  <c r="H699"/>
  <c r="H671"/>
  <c r="H610"/>
  <c r="H609" s="1"/>
  <c r="H608"/>
  <c r="H607" s="1"/>
  <c r="H605"/>
  <c r="H604"/>
  <c r="H603" s="1"/>
  <c r="H578"/>
  <c r="H416"/>
  <c r="H415" s="1"/>
  <c r="H360"/>
  <c r="H359" s="1"/>
  <c r="H347"/>
  <c r="H346" s="1"/>
  <c r="H341"/>
  <c r="H340" s="1"/>
  <c r="H212"/>
  <c r="H209" s="1"/>
  <c r="H208" s="1"/>
  <c r="H188"/>
  <c r="H185" s="1"/>
  <c r="H187"/>
  <c r="H186" s="1"/>
  <c r="H183"/>
  <c r="H182" s="1"/>
  <c r="H173"/>
  <c r="H172" s="1"/>
  <c r="H162"/>
  <c r="H161" s="1"/>
  <c r="H160" s="1"/>
  <c r="H130" s="1"/>
  <c r="H115"/>
  <c r="H114" s="1"/>
  <c r="H36"/>
  <c r="H22"/>
  <c r="H21" s="1"/>
  <c r="H19"/>
  <c r="H18" s="1"/>
  <c r="H17" s="1"/>
  <c r="H12"/>
  <c r="H11" s="1"/>
  <c r="G1371" i="1"/>
  <c r="H1371"/>
  <c r="H2104"/>
  <c r="H2103"/>
  <c r="H2101"/>
  <c r="H2100" s="1"/>
  <c r="H2098"/>
  <c r="H2097" s="1"/>
  <c r="H2051"/>
  <c r="H2050" s="1"/>
  <c r="H2048"/>
  <c r="H2047" s="1"/>
  <c r="H2045"/>
  <c r="H2043"/>
  <c r="H2040"/>
  <c r="H2039" s="1"/>
  <c r="H1974"/>
  <c r="H1963"/>
  <c r="H1962" s="1"/>
  <c r="H1940"/>
  <c r="H1939" s="1"/>
  <c r="H1937"/>
  <c r="H1936" s="1"/>
  <c r="H1934"/>
  <c r="H1933" s="1"/>
  <c r="H1928"/>
  <c r="H1924"/>
  <c r="H1870"/>
  <c r="H1867" s="1"/>
  <c r="H1866" s="1"/>
  <c r="H1846"/>
  <c r="H1845" s="1"/>
  <c r="H1843"/>
  <c r="H1842" s="1"/>
  <c r="H2260"/>
  <c r="H2259" s="1"/>
  <c r="H2257"/>
  <c r="H2255"/>
  <c r="H1823"/>
  <c r="H1819"/>
  <c r="H1818" s="1"/>
  <c r="H1817" s="1"/>
  <c r="H1815"/>
  <c r="H1814" s="1"/>
  <c r="H1797"/>
  <c r="H1796" s="1"/>
  <c r="H1795" s="1"/>
  <c r="H1794" s="1"/>
  <c r="H1793" s="1"/>
  <c r="H1792" s="1"/>
  <c r="H1763"/>
  <c r="H1762" s="1"/>
  <c r="H1757"/>
  <c r="H1756" s="1"/>
  <c r="H1754"/>
  <c r="H1753" s="1"/>
  <c r="H1752" s="1"/>
  <c r="H1738"/>
  <c r="H1737"/>
  <c r="H1736" s="1"/>
  <c r="H1731"/>
  <c r="H1730" s="1"/>
  <c r="H1728"/>
  <c r="H1727" s="1"/>
  <c r="H1726" s="1"/>
  <c r="H1700" s="1"/>
  <c r="H1724"/>
  <c r="H1723" s="1"/>
  <c r="H1722" s="1"/>
  <c r="H1697"/>
  <c r="H1696" s="1"/>
  <c r="H1695" s="1"/>
  <c r="H1453"/>
  <c r="H1452" s="1"/>
  <c r="H1451" s="1"/>
  <c r="H1450" s="1"/>
  <c r="H1447"/>
  <c r="H1446" s="1"/>
  <c r="H1433"/>
  <c r="H1430"/>
  <c r="H1429" s="1"/>
  <c r="H1355"/>
  <c r="H1354" s="1"/>
  <c r="H1353" s="1"/>
  <c r="H1345"/>
  <c r="H1316"/>
  <c r="H1310" s="1"/>
  <c r="H1309" s="1"/>
  <c r="H1241"/>
  <c r="H1239"/>
  <c r="H1227"/>
  <c r="H1226" s="1"/>
  <c r="H1219" s="1"/>
  <c r="H1203"/>
  <c r="H1202" s="1"/>
  <c r="H1190"/>
  <c r="H1189" s="1"/>
  <c r="H1188" s="1"/>
  <c r="H1185"/>
  <c r="H1184" s="1"/>
  <c r="H1183" s="1"/>
  <c r="H1182" s="1"/>
  <c r="G16" i="2" s="1"/>
  <c r="H1175" i="1"/>
  <c r="H1174" s="1"/>
  <c r="H1167"/>
  <c r="H1166" s="1"/>
  <c r="H1164"/>
  <c r="H1162"/>
  <c r="H1159"/>
  <c r="H1155"/>
  <c r="H1152"/>
  <c r="H1150"/>
  <c r="H1143"/>
  <c r="H1141"/>
  <c r="H1136"/>
  <c r="H1135" s="1"/>
  <c r="H1134"/>
  <c r="H1131"/>
  <c r="H1130" s="1"/>
  <c r="H1117"/>
  <c r="H1116" s="1"/>
  <c r="H1115" s="1"/>
  <c r="H1103"/>
  <c r="H1102" s="1"/>
  <c r="H1101" s="1"/>
  <c r="H1100" s="1"/>
  <c r="H1096"/>
  <c r="H1095" s="1"/>
  <c r="H1094" s="1"/>
  <c r="H1093" s="1"/>
  <c r="H1092" s="1"/>
  <c r="H1078"/>
  <c r="H1077" s="1"/>
  <c r="H1076" s="1"/>
  <c r="H1071"/>
  <c r="H1070" s="1"/>
  <c r="H1069" s="1"/>
  <c r="H1068" s="1"/>
  <c r="H1066"/>
  <c r="H1064"/>
  <c r="H1062"/>
  <c r="H1013"/>
  <c r="H1012" s="1"/>
  <c r="H1010"/>
  <c r="H1009" s="1"/>
  <c r="H1004"/>
  <c r="H984"/>
  <c r="H982"/>
  <c r="H980"/>
  <c r="H918"/>
  <c r="H917" s="1"/>
  <c r="H924"/>
  <c r="H922"/>
  <c r="H920"/>
  <c r="H915"/>
  <c r="H913"/>
  <c r="H851"/>
  <c r="H850" s="1"/>
  <c r="H849" s="1"/>
  <c r="H844"/>
  <c r="H843" s="1"/>
  <c r="H830" s="1"/>
  <c r="H816"/>
  <c r="H815" s="1"/>
  <c r="H814" s="1"/>
  <c r="H803"/>
  <c r="H802" s="1"/>
  <c r="H799"/>
  <c r="H797"/>
  <c r="H796" s="1"/>
  <c r="H731"/>
  <c r="H730" s="1"/>
  <c r="H729" s="1"/>
  <c r="H727"/>
  <c r="H726" s="1"/>
  <c r="H725" s="1"/>
  <c r="H554" s="1"/>
  <c r="H549" s="1"/>
  <c r="H717"/>
  <c r="H716" s="1"/>
  <c r="H660"/>
  <c r="H659" s="1"/>
  <c r="H720"/>
  <c r="H719" s="1"/>
  <c r="H611"/>
  <c r="H610" s="1"/>
  <c r="H571"/>
  <c r="H568" s="1"/>
  <c r="H566"/>
  <c r="H565" s="1"/>
  <c r="H562"/>
  <c r="H560"/>
  <c r="H559" s="1"/>
  <c r="H543"/>
  <c r="H542" s="1"/>
  <c r="H541" s="1"/>
  <c r="H527"/>
  <c r="H526" s="1"/>
  <c r="H524"/>
  <c r="H522"/>
  <c r="H521" s="1"/>
  <c r="H519"/>
  <c r="H518" s="1"/>
  <c r="H516"/>
  <c r="H515" s="1"/>
  <c r="H480"/>
  <c r="H479" s="1"/>
  <c r="H477"/>
  <c r="H476" s="1"/>
  <c r="H474"/>
  <c r="H473" s="1"/>
  <c r="H460"/>
  <c r="H410"/>
  <c r="H409" s="1"/>
  <c r="H407"/>
  <c r="H406" s="1"/>
  <c r="H390"/>
  <c r="H385"/>
  <c r="H383"/>
  <c r="H381"/>
  <c r="H349"/>
  <c r="H348" s="1"/>
  <c r="H1750"/>
  <c r="H1749" s="1"/>
  <c r="H341"/>
  <c r="H338" s="1"/>
  <c r="H337" s="1"/>
  <c r="H336" s="1"/>
  <c r="H229"/>
  <c r="H228" s="1"/>
  <c r="H225"/>
  <c r="H224" s="1"/>
  <c r="H222"/>
  <c r="H220"/>
  <c r="H219" s="1"/>
  <c r="H211"/>
  <c r="H206"/>
  <c r="H205" s="1"/>
  <c r="H158"/>
  <c r="H157" s="1"/>
  <c r="H110"/>
  <c r="H101" s="1"/>
  <c r="H87"/>
  <c r="H86" s="1"/>
  <c r="H27"/>
  <c r="H26" s="1"/>
  <c r="H22" s="1"/>
  <c r="H15"/>
  <c r="G578" i="3"/>
  <c r="G2040" i="1"/>
  <c r="G2039" s="1"/>
  <c r="G1454" i="3"/>
  <c r="G2255" i="1"/>
  <c r="G574" i="3"/>
  <c r="G487" s="1"/>
  <c r="G524" i="1"/>
  <c r="G672" i="3"/>
  <c r="G15" i="1"/>
  <c r="G2051"/>
  <c r="G2050" s="1"/>
  <c r="G13" i="3"/>
  <c r="H1126" i="1" l="1"/>
  <c r="H1125" s="1"/>
  <c r="H1124" s="1"/>
  <c r="G10" i="2" s="1"/>
  <c r="H138" i="1"/>
  <c r="H120" s="1"/>
  <c r="H472"/>
  <c r="H471" s="1"/>
  <c r="H470" s="1"/>
  <c r="H45" i="3"/>
  <c r="H405" i="1"/>
  <c r="G434"/>
  <c r="G433" s="1"/>
  <c r="H1813"/>
  <c r="H2228"/>
  <c r="G47" i="2"/>
  <c r="H1140" i="1"/>
  <c r="G1071" i="3"/>
  <c r="G1070" s="1"/>
  <c r="H111"/>
  <c r="H112"/>
  <c r="H795" i="1"/>
  <c r="H794" s="1"/>
  <c r="H793" s="1"/>
  <c r="H979"/>
  <c r="H602" i="3"/>
  <c r="H1173" i="1"/>
  <c r="H1172" s="1"/>
  <c r="G13" i="2" s="1"/>
  <c r="H389" i="1"/>
  <c r="H388" s="1"/>
  <c r="H387" s="1"/>
  <c r="H1370"/>
  <c r="H1369" s="1"/>
  <c r="H2090"/>
  <c r="H1344"/>
  <c r="L1180" i="3"/>
  <c r="H1008" i="1"/>
  <c r="H1007" s="1"/>
  <c r="H1006" s="1"/>
  <c r="H1838"/>
  <c r="H1837" s="1"/>
  <c r="H1836" s="1"/>
  <c r="G27" i="2" s="1"/>
  <c r="H178" i="3"/>
  <c r="H12" i="1"/>
  <c r="H11" s="1"/>
  <c r="H10" s="1"/>
  <c r="G12"/>
  <c r="G11" s="1"/>
  <c r="G10" s="1"/>
  <c r="H668" i="3"/>
  <c r="H667" s="1"/>
  <c r="H1439"/>
  <c r="H1437" s="1"/>
  <c r="H1069"/>
  <c r="H1058"/>
  <c r="H1057" s="1"/>
  <c r="H1932" i="1"/>
  <c r="H1931" s="1"/>
  <c r="G30" i="2" s="1"/>
  <c r="H1923" i="1"/>
  <c r="H1922" s="1"/>
  <c r="H2254"/>
  <c r="H2252" s="1"/>
  <c r="H2250" s="1"/>
  <c r="H1822"/>
  <c r="H1821" s="1"/>
  <c r="H1432"/>
  <c r="H1428" s="1"/>
  <c r="H1450" i="3"/>
  <c r="H1449" s="1"/>
  <c r="H1237" i="1"/>
  <c r="H1061"/>
  <c r="H1060" s="1"/>
  <c r="H1059" s="1"/>
  <c r="H1053" s="1"/>
  <c r="G355"/>
  <c r="G353" s="1"/>
  <c r="G352" s="1"/>
  <c r="F50" i="2" s="1"/>
  <c r="H459" i="1"/>
  <c r="H458" s="1"/>
  <c r="H457" s="1"/>
  <c r="H456" s="1"/>
  <c r="H1051" i="3"/>
  <c r="H107"/>
  <c r="H1432"/>
  <c r="H1431" s="1"/>
  <c r="H1482"/>
  <c r="H868"/>
  <c r="H751" s="1"/>
  <c r="H10"/>
  <c r="H1748" i="1"/>
  <c r="H413" i="3"/>
  <c r="H1278" i="1"/>
  <c r="H1277" s="1"/>
  <c r="H1243"/>
  <c r="H35" i="3"/>
  <c r="H20" s="1"/>
  <c r="G22" i="2"/>
  <c r="H1091" i="1"/>
  <c r="G53" i="2"/>
  <c r="G52" s="1"/>
  <c r="H1093" i="3"/>
  <c r="H1086" s="1"/>
  <c r="H1114" i="1"/>
  <c r="H1113" s="1"/>
  <c r="G57" i="2" s="1"/>
  <c r="H1003" i="1"/>
  <c r="H1002" s="1"/>
  <c r="H1001" s="1"/>
  <c r="G46" i="2" s="1"/>
  <c r="H227" i="1"/>
  <c r="H1125" i="3"/>
  <c r="H1430"/>
  <c r="H1429" s="1"/>
  <c r="H1428" s="1"/>
  <c r="H1427" s="1"/>
  <c r="H1528"/>
  <c r="H1531" s="1"/>
  <c r="H1149" i="1"/>
  <c r="H1045" i="3"/>
  <c r="H1044" s="1"/>
  <c r="H1453"/>
  <c r="H698"/>
  <c r="H380" i="1"/>
  <c r="H379" s="1"/>
  <c r="H378" s="1"/>
  <c r="H1445"/>
  <c r="H2042"/>
  <c r="H2038" s="1"/>
  <c r="H2037" s="1"/>
  <c r="G32" i="2" s="1"/>
  <c r="H1411" i="3"/>
  <c r="H1406"/>
  <c r="H1513"/>
  <c r="H1161" i="1"/>
  <c r="H1154"/>
  <c r="H1075"/>
  <c r="H1074" s="1"/>
  <c r="H912"/>
  <c r="H911" s="1"/>
  <c r="H910" s="1"/>
  <c r="H909" s="1"/>
  <c r="H1449"/>
  <c r="H1973"/>
  <c r="H1961" s="1"/>
  <c r="H84"/>
  <c r="H21" s="1"/>
  <c r="H85"/>
  <c r="G1184" i="3"/>
  <c r="G1183" s="1"/>
  <c r="G1409"/>
  <c r="G1407"/>
  <c r="G1159" i="1"/>
  <c r="G1155"/>
  <c r="G816"/>
  <c r="G19" i="3"/>
  <c r="G18" s="1"/>
  <c r="G17" s="1"/>
  <c r="G460" i="1"/>
  <c r="G573" i="3"/>
  <c r="G572" s="1"/>
  <c r="G720" i="1"/>
  <c r="G719" s="1"/>
  <c r="G604" i="3"/>
  <c r="G12"/>
  <c r="G11" s="1"/>
  <c r="G1750" i="1"/>
  <c r="G1749" s="1"/>
  <c r="G229"/>
  <c r="G227" s="1"/>
  <c r="G941" i="3"/>
  <c r="G940" s="1"/>
  <c r="G220" i="1"/>
  <c r="G219" s="1"/>
  <c r="G1241"/>
  <c r="H1427" l="1"/>
  <c r="H2212"/>
  <c r="H2186" s="1"/>
  <c r="H2248" s="1"/>
  <c r="H2225"/>
  <c r="H2224" s="1"/>
  <c r="G43" i="2"/>
  <c r="H119" i="1"/>
  <c r="H1812"/>
  <c r="H1811" s="1"/>
  <c r="G11" i="2" s="1"/>
  <c r="H1479" i="3"/>
  <c r="H1475" s="1"/>
  <c r="H1098" i="1"/>
  <c r="H1746"/>
  <c r="G48" i="2" s="1"/>
  <c r="H978" i="1"/>
  <c r="H963" s="1"/>
  <c r="H170" i="3"/>
  <c r="H2262" i="1"/>
  <c r="H377"/>
  <c r="G10" i="3"/>
  <c r="H1921" i="1"/>
  <c r="H1343"/>
  <c r="H1368"/>
  <c r="H1367"/>
  <c r="G26" i="2" s="1"/>
  <c r="I1099" i="3"/>
  <c r="H1052" i="1"/>
  <c r="H1051" s="1"/>
  <c r="H1058"/>
  <c r="G14" i="2" s="1"/>
  <c r="H412" i="3"/>
  <c r="H1960" i="1"/>
  <c r="G31" i="2" s="1"/>
  <c r="H1448" i="3"/>
  <c r="H1447" s="1"/>
  <c r="H1139" i="1"/>
  <c r="H1138" s="1"/>
  <c r="H1133" s="1"/>
  <c r="G38" i="2"/>
  <c r="H1236" i="1"/>
  <c r="H1235" s="1"/>
  <c r="H1187" s="1"/>
  <c r="G17" i="2" s="1"/>
  <c r="G459" i="1"/>
  <c r="G458" s="1"/>
  <c r="G457" s="1"/>
  <c r="G456" s="1"/>
  <c r="H1391" i="3"/>
  <c r="H1383" s="1"/>
  <c r="H1355" s="1"/>
  <c r="G39" i="2"/>
  <c r="G21"/>
  <c r="G44"/>
  <c r="G37"/>
  <c r="H404" i="1"/>
  <c r="H398" s="1"/>
  <c r="H1124" i="3"/>
  <c r="H1123" s="1"/>
  <c r="H1119" s="1"/>
  <c r="H1422"/>
  <c r="H1000" i="1"/>
  <c r="H1073"/>
  <c r="G19" i="2"/>
  <c r="G18" s="1"/>
  <c r="H9" i="1"/>
  <c r="H2089"/>
  <c r="G40" i="2"/>
  <c r="H1056" i="3"/>
  <c r="H171"/>
  <c r="H1099" i="1"/>
  <c r="G55" i="2" s="1"/>
  <c r="G54" s="1"/>
  <c r="G349" i="1"/>
  <c r="G348" s="1"/>
  <c r="G1748" s="1"/>
  <c r="G611" i="3"/>
  <c r="G1406"/>
  <c r="G918" i="1"/>
  <c r="G917" s="1"/>
  <c r="G1154"/>
  <c r="G228"/>
  <c r="G1064" i="3"/>
  <c r="G1063" s="1"/>
  <c r="G1066" i="1"/>
  <c r="G1430"/>
  <c r="G1429" s="1"/>
  <c r="G815"/>
  <c r="G814" s="1"/>
  <c r="H1342" l="1"/>
  <c r="G23" i="2" s="1"/>
  <c r="G20" s="1"/>
  <c r="H1835" i="1"/>
  <c r="G28" i="2"/>
  <c r="H1810" i="1"/>
  <c r="H1827" s="1"/>
  <c r="H1694"/>
  <c r="H961"/>
  <c r="G41" i="2" s="1"/>
  <c r="H447" i="1"/>
  <c r="H2088"/>
  <c r="G35" i="2"/>
  <c r="G34" s="1"/>
  <c r="H1123" i="1"/>
  <c r="H1799" s="1"/>
  <c r="H1361"/>
  <c r="I1067" i="3"/>
  <c r="H1050" i="1"/>
  <c r="H1121" s="1"/>
  <c r="G42" i="2"/>
  <c r="H1276" i="1"/>
  <c r="G29" i="2"/>
  <c r="H1930" i="1"/>
  <c r="H351"/>
  <c r="G49" i="2"/>
  <c r="G45"/>
  <c r="H20" i="1"/>
  <c r="H372" s="1"/>
  <c r="G518" i="3"/>
  <c r="G517" s="1"/>
  <c r="H469" i="1" l="1"/>
  <c r="H1048" s="1"/>
  <c r="G24" i="2"/>
  <c r="G12"/>
  <c r="H2138" i="1"/>
  <c r="G36" i="2"/>
  <c r="H2263" i="1" l="1"/>
  <c r="G9" i="2"/>
  <c r="G58" s="1"/>
  <c r="G173" i="3"/>
  <c r="G172" s="1"/>
  <c r="G87" i="1"/>
  <c r="G86" s="1"/>
  <c r="G113" i="3"/>
  <c r="G876"/>
  <c r="G875" s="1"/>
  <c r="G211" i="1"/>
  <c r="G1179" i="3"/>
  <c r="G2045" i="1"/>
  <c r="G1973"/>
  <c r="G1974"/>
  <c r="G82" i="2" l="1"/>
  <c r="G111" i="3"/>
  <c r="G112"/>
  <c r="G60" i="2"/>
  <c r="G85" i="1"/>
  <c r="G84"/>
  <c r="G1049" i="3" l="1"/>
  <c r="G731" i="1"/>
  <c r="G730" s="1"/>
  <c r="G729" s="1"/>
  <c r="G1405" i="3" l="1"/>
  <c r="G1404" s="1"/>
  <c r="G1403"/>
  <c r="G1402" s="1"/>
  <c r="G1415"/>
  <c r="G1414" s="1"/>
  <c r="G1413"/>
  <c r="G1412" s="1"/>
  <c r="G1162" i="1"/>
  <c r="G1161" s="1"/>
  <c r="G416" i="3"/>
  <c r="G415" s="1"/>
  <c r="G611" i="1"/>
  <c r="G41" i="3"/>
  <c r="G40" s="1"/>
  <c r="G37"/>
  <c r="G36" s="1"/>
  <c r="G1203" i="1"/>
  <c r="G1202" s="1"/>
  <c r="G1152"/>
  <c r="G1150"/>
  <c r="G225"/>
  <c r="G224" s="1"/>
  <c r="G223" s="1"/>
  <c r="G1455" i="3"/>
  <c r="G1453" s="1"/>
  <c r="G35" l="1"/>
  <c r="G610" i="1"/>
  <c r="G1411" i="3"/>
  <c r="G1401"/>
  <c r="G1149" i="1"/>
  <c r="G1071"/>
  <c r="G1070" s="1"/>
  <c r="G1069" s="1"/>
  <c r="G1068" s="1"/>
  <c r="G516"/>
  <c r="G515" s="1"/>
  <c r="G527"/>
  <c r="G526" s="1"/>
  <c r="G844"/>
  <c r="G843" s="1"/>
  <c r="G830" s="1"/>
  <c r="G23" i="3"/>
  <c r="G22" s="1"/>
  <c r="G21" s="1"/>
  <c r="G20" l="1"/>
  <c r="G1190" i="1"/>
  <c r="G1189" s="1"/>
  <c r="G1188" s="1"/>
  <c r="G1205" i="3" l="1"/>
  <c r="G1204" s="1"/>
  <c r="G1453" i="1"/>
  <c r="G1452" s="1"/>
  <c r="G1451" s="1"/>
  <c r="G1450" s="1"/>
  <c r="G703" i="3"/>
  <c r="G701" s="1"/>
  <c r="G706"/>
  <c r="G705" s="1"/>
  <c r="G2101" i="1"/>
  <c r="G2100" s="1"/>
  <c r="G2098"/>
  <c r="G2097" s="1"/>
  <c r="G205" l="1"/>
  <c r="G27"/>
  <c r="G26" s="1"/>
  <c r="G22" s="1"/>
  <c r="G355" i="3"/>
  <c r="G647"/>
  <c r="G1060"/>
  <c r="G1059" s="1"/>
  <c r="G187"/>
  <c r="G186" s="1"/>
  <c r="G213"/>
  <c r="G212" s="1"/>
  <c r="G209" s="1"/>
  <c r="G208" s="1"/>
  <c r="G184"/>
  <c r="G1390"/>
  <c r="G1389" s="1"/>
  <c r="G1388" s="1"/>
  <c r="G1384" s="1"/>
  <c r="G1394"/>
  <c r="G1393" s="1"/>
  <c r="G1396"/>
  <c r="G1395" s="1"/>
  <c r="G1400"/>
  <c r="G1399" s="1"/>
  <c r="G1418"/>
  <c r="G1417" s="1"/>
  <c r="G1416" s="1"/>
  <c r="G1426"/>
  <c r="G1425" s="1"/>
  <c r="G1424" s="1"/>
  <c r="G1423" s="1"/>
  <c r="G1430"/>
  <c r="G1429" s="1"/>
  <c r="G1428" s="1"/>
  <c r="G1427" s="1"/>
  <c r="G1434"/>
  <c r="G1433" s="1"/>
  <c r="G1436"/>
  <c r="G1435" s="1"/>
  <c r="G1446"/>
  <c r="G1445" s="1"/>
  <c r="G1444" s="1"/>
  <c r="G1437" s="1"/>
  <c r="G1450"/>
  <c r="G1449" s="1"/>
  <c r="G1452"/>
  <c r="G1451" s="1"/>
  <c r="G1460"/>
  <c r="G1457" s="1"/>
  <c r="G1516"/>
  <c r="G1513" s="1"/>
  <c r="G189"/>
  <c r="G163"/>
  <c r="G48"/>
  <c r="G47" s="1"/>
  <c r="G50"/>
  <c r="G49" s="1"/>
  <c r="G52"/>
  <c r="G51" s="1"/>
  <c r="G55"/>
  <c r="G54" s="1"/>
  <c r="G53" s="1"/>
  <c r="G61"/>
  <c r="G60" s="1"/>
  <c r="G59" s="1"/>
  <c r="G64"/>
  <c r="G63" s="1"/>
  <c r="G62" s="1"/>
  <c r="G110"/>
  <c r="G109" s="1"/>
  <c r="G108" s="1"/>
  <c r="G116"/>
  <c r="G342"/>
  <c r="G361"/>
  <c r="G367"/>
  <c r="G366" s="1"/>
  <c r="G365" s="1"/>
  <c r="G410"/>
  <c r="G409" s="1"/>
  <c r="G528"/>
  <c r="G527" s="1"/>
  <c r="G851" i="1"/>
  <c r="G850" s="1"/>
  <c r="G849" s="1"/>
  <c r="G649" i="3"/>
  <c r="G648" s="1"/>
  <c r="G591"/>
  <c r="G590" s="1"/>
  <c r="G603"/>
  <c r="G610"/>
  <c r="G609" s="1"/>
  <c r="G605"/>
  <c r="G671"/>
  <c r="G969"/>
  <c r="G968" s="1"/>
  <c r="G967" s="1"/>
  <c r="G787"/>
  <c r="G786" s="1"/>
  <c r="G785" s="1"/>
  <c r="G754"/>
  <c r="G753" s="1"/>
  <c r="G752" s="1"/>
  <c r="G776"/>
  <c r="G775" s="1"/>
  <c r="G774" s="1"/>
  <c r="G783"/>
  <c r="G782" s="1"/>
  <c r="G870"/>
  <c r="G869" s="1"/>
  <c r="G874"/>
  <c r="G873" s="1"/>
  <c r="G341" i="1"/>
  <c r="G338" s="1"/>
  <c r="G337" s="1"/>
  <c r="G999" i="3"/>
  <c r="G998" s="1"/>
  <c r="G997" s="1"/>
  <c r="G1020"/>
  <c r="G1019" s="1"/>
  <c r="G1026"/>
  <c r="G1025" s="1"/>
  <c r="G1021" s="1"/>
  <c r="G1037"/>
  <c r="G1047"/>
  <c r="G1046" s="1"/>
  <c r="G1048"/>
  <c r="G1062"/>
  <c r="G1061" s="1"/>
  <c r="G1797" i="1"/>
  <c r="G1796" s="1"/>
  <c r="G1795" s="1"/>
  <c r="G1082" i="3"/>
  <c r="G1085"/>
  <c r="G1084" s="1"/>
  <c r="G1083" s="1"/>
  <c r="G1096"/>
  <c r="G1159"/>
  <c r="G1158" s="1"/>
  <c r="G1176"/>
  <c r="G1178"/>
  <c r="G1190"/>
  <c r="G1189" s="1"/>
  <c r="G1196"/>
  <c r="G1195" s="1"/>
  <c r="G1202"/>
  <c r="G1201" s="1"/>
  <c r="G1138"/>
  <c r="G1137" s="1"/>
  <c r="G1140"/>
  <c r="G1139" s="1"/>
  <c r="G1142"/>
  <c r="G1141" s="1"/>
  <c r="G1181"/>
  <c r="G1153"/>
  <c r="G1150" s="1"/>
  <c r="G1316"/>
  <c r="G1315" s="1"/>
  <c r="G1320"/>
  <c r="G1319" s="1"/>
  <c r="G1318" s="1"/>
  <c r="G1323"/>
  <c r="G1322" s="1"/>
  <c r="G1321" s="1"/>
  <c r="G1329"/>
  <c r="G1338"/>
  <c r="G1337" s="1"/>
  <c r="G1336" s="1"/>
  <c r="G1332"/>
  <c r="G1331" s="1"/>
  <c r="G1330" s="1"/>
  <c r="G1125"/>
  <c r="G1131"/>
  <c r="G1130" s="1"/>
  <c r="G1129" s="1"/>
  <c r="G799" i="1"/>
  <c r="G797"/>
  <c r="G796" s="1"/>
  <c r="G155"/>
  <c r="G154" s="1"/>
  <c r="G158"/>
  <c r="G157" s="1"/>
  <c r="G566"/>
  <c r="G565" s="1"/>
  <c r="G571"/>
  <c r="G568" s="1"/>
  <c r="G727"/>
  <c r="G726" s="1"/>
  <c r="G725" s="1"/>
  <c r="G554" s="1"/>
  <c r="G549" s="1"/>
  <c r="G660"/>
  <c r="G659" s="1"/>
  <c r="G717"/>
  <c r="G760" s="1"/>
  <c r="G759" s="1"/>
  <c r="G474"/>
  <c r="G473" s="1"/>
  <c r="G477"/>
  <c r="G476" s="1"/>
  <c r="G519"/>
  <c r="G518" s="1"/>
  <c r="G522"/>
  <c r="G521" s="1"/>
  <c r="G1239"/>
  <c r="G1928"/>
  <c r="G1433"/>
  <c r="G1447"/>
  <c r="G1446" s="1"/>
  <c r="G407"/>
  <c r="G406" s="1"/>
  <c r="G410"/>
  <c r="G409" s="1"/>
  <c r="G1345"/>
  <c r="G1344" s="1"/>
  <c r="G1343" s="1"/>
  <c r="G1355"/>
  <c r="G1354" s="1"/>
  <c r="G1353" s="1"/>
  <c r="G1141"/>
  <c r="G1143"/>
  <c r="G1062"/>
  <c r="G1064"/>
  <c r="G1078"/>
  <c r="G1077" s="1"/>
  <c r="G1096"/>
  <c r="G1095" s="1"/>
  <c r="G1094" s="1"/>
  <c r="G1093" s="1"/>
  <c r="G1092" s="1"/>
  <c r="G1091" s="1"/>
  <c r="G1103"/>
  <c r="G1102" s="1"/>
  <c r="G1101" s="1"/>
  <c r="G1100" s="1"/>
  <c r="G1117"/>
  <c r="G1116" s="1"/>
  <c r="G1175"/>
  <c r="G1174" s="1"/>
  <c r="G1843"/>
  <c r="G1842" s="1"/>
  <c r="G1846"/>
  <c r="G1845" s="1"/>
  <c r="G1963"/>
  <c r="G1934"/>
  <c r="G1933" s="1"/>
  <c r="G1937"/>
  <c r="G1936" s="1"/>
  <c r="G1940"/>
  <c r="G1939" s="1"/>
  <c r="G2043"/>
  <c r="G2048"/>
  <c r="G2047" s="1"/>
  <c r="G2103"/>
  <c r="G2090" s="1"/>
  <c r="G1731"/>
  <c r="G1730" s="1"/>
  <c r="G1724"/>
  <c r="G1723" s="1"/>
  <c r="G1722" s="1"/>
  <c r="G1737"/>
  <c r="G1736" s="1"/>
  <c r="G1763"/>
  <c r="G1762" s="1"/>
  <c r="G1131"/>
  <c r="G1130" s="1"/>
  <c r="G1167"/>
  <c r="G1166" s="1"/>
  <c r="G1134"/>
  <c r="G1185"/>
  <c r="G1184" s="1"/>
  <c r="G1183" s="1"/>
  <c r="G1182" s="1"/>
  <c r="F16" i="2" s="1"/>
  <c r="G1227" i="1"/>
  <c r="G1226" s="1"/>
  <c r="G1219" s="1"/>
  <c r="G1370"/>
  <c r="G1369" s="1"/>
  <c r="G381"/>
  <c r="G383"/>
  <c r="G390"/>
  <c r="G389" s="1"/>
  <c r="G388" s="1"/>
  <c r="G387" s="1"/>
  <c r="G543"/>
  <c r="G913"/>
  <c r="G915"/>
  <c r="G920"/>
  <c r="G924"/>
  <c r="G923" s="1"/>
  <c r="G608" i="3" s="1"/>
  <c r="G607" s="1"/>
  <c r="G980" i="1"/>
  <c r="G982"/>
  <c r="G1004"/>
  <c r="G1003" s="1"/>
  <c r="G1002" s="1"/>
  <c r="G1001" s="1"/>
  <c r="G1013"/>
  <c r="G1012" s="1"/>
  <c r="G1010"/>
  <c r="G1009" s="1"/>
  <c r="G1815"/>
  <c r="G1814" s="1"/>
  <c r="G1819"/>
  <c r="G1823"/>
  <c r="G1825"/>
  <c r="G2257"/>
  <c r="G2254" s="1"/>
  <c r="G2252" s="1"/>
  <c r="G1926"/>
  <c r="G1754"/>
  <c r="G1753" s="1"/>
  <c r="G347" i="3"/>
  <c r="G346" s="1"/>
  <c r="G1738" i="1"/>
  <c r="G2104"/>
  <c r="G385"/>
  <c r="G1136"/>
  <c r="G1135" s="1"/>
  <c r="G872" i="3"/>
  <c r="G871" s="1"/>
  <c r="G1728" i="1"/>
  <c r="G1727" s="1"/>
  <c r="G1698"/>
  <c r="G1697" s="1"/>
  <c r="G1696" s="1"/>
  <c r="G1695" s="1"/>
  <c r="G560"/>
  <c r="G559" s="1"/>
  <c r="G803"/>
  <c r="G802" s="1"/>
  <c r="G336" l="1"/>
  <c r="G329" s="1"/>
  <c r="G330"/>
  <c r="G1818"/>
  <c r="G1817" s="1"/>
  <c r="G138"/>
  <c r="G120" s="1"/>
  <c r="G1726"/>
  <c r="G1700" s="1"/>
  <c r="G1008"/>
  <c r="G1007" s="1"/>
  <c r="G1006" s="1"/>
  <c r="G1342"/>
  <c r="G1813"/>
  <c r="G2228"/>
  <c r="G2225" s="1"/>
  <c r="G2224" s="1"/>
  <c r="G1126"/>
  <c r="G1125" s="1"/>
  <c r="G1124" s="1"/>
  <c r="F10" i="2" s="1"/>
  <c r="G1392" i="3"/>
  <c r="G1391" s="1"/>
  <c r="G1140" i="1"/>
  <c r="G1139" s="1"/>
  <c r="G768"/>
  <c r="G767" s="1"/>
  <c r="G758"/>
  <c r="G757" s="1"/>
  <c r="G542"/>
  <c r="G541" s="1"/>
  <c r="G795"/>
  <c r="G794" s="1"/>
  <c r="G793" s="1"/>
  <c r="G1180" i="3"/>
  <c r="G1173" i="1"/>
  <c r="G1172" s="1"/>
  <c r="F13" i="2" s="1"/>
  <c r="G1794" i="1"/>
  <c r="G1793" s="1"/>
  <c r="G1792" s="1"/>
  <c r="G21"/>
  <c r="G405"/>
  <c r="G115" i="3"/>
  <c r="G114" s="1"/>
  <c r="G107" s="1"/>
  <c r="G1456"/>
  <c r="F46" i="2"/>
  <c r="G1018" i="3"/>
  <c r="G1017" s="1"/>
  <c r="G1016" s="1"/>
  <c r="I1015"/>
  <c r="G1962" i="1"/>
  <c r="G1961" s="1"/>
  <c r="G716"/>
  <c r="G1368"/>
  <c r="G1838"/>
  <c r="G1061"/>
  <c r="G1060" s="1"/>
  <c r="G1059" s="1"/>
  <c r="G668" i="3"/>
  <c r="G667" s="1"/>
  <c r="G1067"/>
  <c r="G1066" s="1"/>
  <c r="G1065" s="1"/>
  <c r="G1136"/>
  <c r="G1069"/>
  <c r="G1058"/>
  <c r="G1057" s="1"/>
  <c r="G1923" i="1"/>
  <c r="G1922" s="1"/>
  <c r="G1921" s="1"/>
  <c r="G1932"/>
  <c r="G1822"/>
  <c r="G1821" s="1"/>
  <c r="G1432"/>
  <c r="G1428" s="1"/>
  <c r="G1115"/>
  <c r="G1114" s="1"/>
  <c r="G1113" s="1"/>
  <c r="G1098" s="1"/>
  <c r="G1432" i="3"/>
  <c r="G1431" s="1"/>
  <c r="G1422" s="1"/>
  <c r="G1448"/>
  <c r="G360"/>
  <c r="G359" s="1"/>
  <c r="G868"/>
  <c r="G751" s="1"/>
  <c r="G2089" i="1"/>
  <c r="G329" i="3"/>
  <c r="G328" s="1"/>
  <c r="G698"/>
  <c r="G188"/>
  <c r="G185" s="1"/>
  <c r="K178"/>
  <c r="G979" i="1"/>
  <c r="G1124" i="3"/>
  <c r="G1123" s="1"/>
  <c r="G1119" s="1"/>
  <c r="G1094"/>
  <c r="G1093" s="1"/>
  <c r="G1086" s="1"/>
  <c r="G1075" i="1"/>
  <c r="G1074" s="1"/>
  <c r="G1073" s="1"/>
  <c r="G1076"/>
  <c r="G1081" i="3"/>
  <c r="G1080" s="1"/>
  <c r="G162"/>
  <c r="G161" s="1"/>
  <c r="G183"/>
  <c r="G182" s="1"/>
  <c r="G1077"/>
  <c r="G1076" s="1"/>
  <c r="G1445" i="1"/>
  <c r="G602" i="3"/>
  <c r="G1045"/>
  <c r="G1044" s="1"/>
  <c r="G646"/>
  <c r="G645" s="1"/>
  <c r="G644" s="1"/>
  <c r="G1515"/>
  <c r="G1514" s="1"/>
  <c r="G341"/>
  <c r="G1528"/>
  <c r="G1531" s="1"/>
  <c r="F53" i="2"/>
  <c r="F52" s="1"/>
  <c r="G1052" i="3"/>
  <c r="G354"/>
  <c r="G353" s="1"/>
  <c r="G699"/>
  <c r="G1328"/>
  <c r="G1327" s="1"/>
  <c r="G1314" s="1"/>
  <c r="G1449" i="1"/>
  <c r="G912"/>
  <c r="G911" s="1"/>
  <c r="G345" i="3"/>
  <c r="G324" s="1"/>
  <c r="G1175"/>
  <c r="G338"/>
  <c r="G337" s="1"/>
  <c r="G2042" i="1"/>
  <c r="G2038" s="1"/>
  <c r="G2037" s="1"/>
  <c r="F32" i="2" s="1"/>
  <c r="G643" i="3"/>
  <c r="G642" s="1"/>
  <c r="G641" s="1"/>
  <c r="G640" s="1"/>
  <c r="G1036"/>
  <c r="G1035" s="1"/>
  <c r="G1034" s="1"/>
  <c r="G2260" i="1"/>
  <c r="G2259" s="1"/>
  <c r="G2250" s="1"/>
  <c r="G380"/>
  <c r="G379" s="1"/>
  <c r="G378" s="1"/>
  <c r="G563"/>
  <c r="G562" s="1"/>
  <c r="G1870"/>
  <c r="G1867" s="1"/>
  <c r="G1866" s="1"/>
  <c r="G480"/>
  <c r="G479" s="1"/>
  <c r="G46" i="3"/>
  <c r="G45" s="1"/>
  <c r="G1757" i="1"/>
  <c r="G1756" s="1"/>
  <c r="G112"/>
  <c r="G1317"/>
  <c r="G1316" s="1"/>
  <c r="G1310" s="1"/>
  <c r="G1309" s="1"/>
  <c r="G1236"/>
  <c r="G1235" s="1"/>
  <c r="G1187" s="1"/>
  <c r="G1135" i="3" l="1"/>
  <c r="G1812" i="1"/>
  <c r="G1811" s="1"/>
  <c r="F11" i="2" s="1"/>
  <c r="G2212" i="1"/>
  <c r="G2186" s="1"/>
  <c r="F17" i="2"/>
  <c r="G160" i="3"/>
  <c r="G130" s="1"/>
  <c r="G910" i="1"/>
  <c r="G909" s="1"/>
  <c r="G1752"/>
  <c r="G1746" s="1"/>
  <c r="F48" i="2" s="1"/>
  <c r="F39"/>
  <c r="G323" i="3"/>
  <c r="G978" i="1"/>
  <c r="G963" s="1"/>
  <c r="G472"/>
  <c r="G471" s="1"/>
  <c r="G470" s="1"/>
  <c r="G1427"/>
  <c r="G2088"/>
  <c r="I1012" i="3"/>
  <c r="I1009"/>
  <c r="G178"/>
  <c r="G1447"/>
  <c r="K1521"/>
  <c r="G2027" i="1"/>
  <c r="F47" i="2"/>
  <c r="G1367" i="1"/>
  <c r="G1931"/>
  <c r="F30" i="2" s="1"/>
  <c r="G111" i="1"/>
  <c r="G344" i="3"/>
  <c r="G343" s="1"/>
  <c r="G340" s="1"/>
  <c r="J940"/>
  <c r="G1056"/>
  <c r="G1058" i="1"/>
  <c r="G1053"/>
  <c r="G1052" s="1"/>
  <c r="F57" i="2"/>
  <c r="F23"/>
  <c r="G1051" i="3"/>
  <c r="G377" i="1"/>
  <c r="G404"/>
  <c r="G398" s="1"/>
  <c r="F19" i="2"/>
  <c r="F18" s="1"/>
  <c r="G1138" i="1"/>
  <c r="G1133" s="1"/>
  <c r="G1123" s="1"/>
  <c r="G1383" i="3"/>
  <c r="G351" i="1"/>
  <c r="G1099"/>
  <c r="F55" i="2" s="1"/>
  <c r="G1000" i="1"/>
  <c r="G1810" l="1"/>
  <c r="G1827" s="1"/>
  <c r="G1355" i="3"/>
  <c r="F54" i="2"/>
  <c r="G119" i="1"/>
  <c r="F43" i="2"/>
  <c r="F28"/>
  <c r="G961" i="1"/>
  <c r="G447"/>
  <c r="F37" i="2"/>
  <c r="G170" i="3"/>
  <c r="G2020" i="1"/>
  <c r="G2019" s="1"/>
  <c r="G1960" s="1"/>
  <c r="F31" i="2" s="1"/>
  <c r="G110" i="1"/>
  <c r="G101" s="1"/>
  <c r="G20" s="1"/>
  <c r="G1694"/>
  <c r="F26" i="2"/>
  <c r="G1361" i="1"/>
  <c r="G1276"/>
  <c r="G1837"/>
  <c r="G1836" s="1"/>
  <c r="F27" i="2" s="1"/>
  <c r="G1051" i="1"/>
  <c r="G1050" i="3"/>
  <c r="G8" s="1"/>
  <c r="G1521" s="1"/>
  <c r="G171"/>
  <c r="F38" i="2"/>
  <c r="K1541" i="3"/>
  <c r="F44" i="2"/>
  <c r="F49"/>
  <c r="F21"/>
  <c r="G1799" i="1" l="1"/>
  <c r="F41" i="2"/>
  <c r="G469" i="1"/>
  <c r="G1048" s="1"/>
  <c r="F40" i="2"/>
  <c r="F14"/>
  <c r="G2262" i="1"/>
  <c r="F29" i="2"/>
  <c r="G1930" i="1"/>
  <c r="F22" i="2"/>
  <c r="F20" s="1"/>
  <c r="F45"/>
  <c r="G1050" i="1"/>
  <c r="G1121" s="1"/>
  <c r="F12" i="2"/>
  <c r="F42"/>
  <c r="G9" i="1"/>
  <c r="G372" s="1"/>
  <c r="F36" i="2" l="1"/>
  <c r="F9"/>
  <c r="F24"/>
  <c r="G1835" i="1"/>
  <c r="G2138" s="1"/>
  <c r="G1526" i="3" l="1"/>
  <c r="G2243" i="1"/>
  <c r="F35" i="2" s="1"/>
  <c r="F34" s="1"/>
  <c r="F58" s="1"/>
  <c r="G2242" i="1" l="1"/>
  <c r="F60" i="2"/>
  <c r="G2248" i="1" l="1"/>
  <c r="G2263" s="1"/>
  <c r="F82" i="2" l="1"/>
  <c r="G1530" i="3"/>
  <c r="G1549"/>
  <c r="H1324"/>
  <c r="H1314" s="1"/>
  <c r="H8" s="1"/>
  <c r="H1521" s="1"/>
  <c r="H1325"/>
  <c r="G62" i="2" l="1"/>
  <c r="H1549" i="3"/>
  <c r="H1526"/>
  <c r="H1530"/>
</calcChain>
</file>

<file path=xl/sharedStrings.xml><?xml version="1.0" encoding="utf-8"?>
<sst xmlns="http://schemas.openxmlformats.org/spreadsheetml/2006/main" count="17423" uniqueCount="1133">
  <si>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</si>
  <si>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</si>
  <si>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</si>
  <si>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</si>
  <si>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</si>
  <si>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</si>
  <si>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</si>
  <si>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</si>
  <si>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</si>
  <si>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</si>
  <si>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</si>
  <si>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</si>
  <si>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</si>
  <si>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</si>
  <si>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</si>
  <si>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</si>
  <si>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</si>
  <si>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</si>
  <si>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</si>
  <si>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</si>
  <si>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</si>
  <si>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</si>
  <si>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</si>
  <si>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</si>
  <si>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</si>
  <si>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</si>
  <si>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</si>
  <si>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</si>
  <si>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</si>
  <si>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</si>
  <si>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</si>
  <si>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</si>
  <si>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</si>
  <si>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</si>
  <si>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</si>
  <si>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</si>
  <si>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</si>
  <si>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</si>
  <si>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</si>
  <si>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</si>
  <si>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</si>
  <si>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</si>
  <si>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</si>
  <si>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</si>
  <si>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</si>
  <si>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</si>
  <si>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</si>
  <si>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</si>
  <si>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</si>
  <si>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</si>
  <si>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</si>
  <si>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</si>
  <si>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</si>
  <si>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</si>
  <si>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</si>
  <si>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</si>
  <si>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</si>
  <si>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</si>
  <si>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</si>
  <si>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</si>
  <si>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</si>
  <si>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</si>
  <si>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</si>
  <si>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</si>
  <si>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</si>
  <si>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</si>
  <si>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</si>
  <si>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</si>
  <si>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</si>
  <si>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</si>
  <si>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</si>
  <si>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</si>
  <si>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</si>
  <si>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</si>
  <si>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</si>
  <si>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</si>
  <si>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</si>
  <si>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</si>
  <si>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</si>
  <si>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</si>
  <si>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</si>
  <si>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</si>
  <si>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</si>
  <si>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</si>
  <si>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</si>
  <si>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</si>
  <si>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</si>
  <si>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</si>
  <si>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</si>
  <si>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</si>
  <si>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</si>
  <si>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</si>
  <si>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</si>
  <si>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</si>
  <si>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</si>
  <si>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</si>
  <si>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</si>
  <si>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</si>
  <si>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</si>
  <si>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</si>
  <si>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</si>
  <si>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</si>
  <si>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</si>
  <si>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</si>
  <si>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</si>
  <si>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</si>
  <si>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</si>
  <si>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</si>
  <si>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</si>
  <si>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</si>
  <si>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</si>
  <si>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</si>
  <si>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</si>
  <si>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</si>
  <si>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</si>
  <si>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</si>
  <si>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</si>
  <si>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</si>
  <si>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</si>
  <si>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</si>
  <si>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</si>
  <si>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</si>
  <si>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</si>
  <si>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</si>
  <si>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</si>
  <si>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</si>
  <si>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</si>
  <si>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</si>
  <si>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</si>
  <si>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</si>
  <si>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</si>
  <si>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</si>
  <si>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</si>
  <si>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</si>
  <si>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</si>
  <si>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</si>
  <si>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</si>
  <si>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</si>
  <si>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</si>
  <si>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</si>
  <si>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</si>
  <si>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</si>
  <si>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</si>
  <si>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</si>
  <si>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</si>
  <si>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</si>
  <si>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</si>
  <si>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</si>
  <si>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</si>
  <si>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</si>
  <si>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</si>
  <si>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</si>
  <si>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</si>
  <si>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</si>
  <si>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</si>
  <si>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</si>
  <si>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</si>
  <si>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</si>
  <si>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</si>
  <si>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</si>
  <si>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</si>
  <si>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</si>
  <si>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</si>
  <si>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</si>
  <si>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</si>
  <si>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</si>
  <si>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</si>
  <si>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</si>
  <si>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</si>
  <si>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</si>
  <si>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</si>
  <si>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</si>
  <si>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</si>
  <si>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</si>
  <si>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</si>
  <si>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</si>
  <si>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</si>
  <si>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</si>
  <si>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</si>
  <si>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</si>
  <si>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</si>
  <si>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</si>
  <si>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</si>
  <si>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</si>
  <si>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</si>
  <si>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</si>
  <si>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</si>
  <si>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</si>
  <si>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</si>
  <si>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</si>
  <si>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</si>
  <si>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</si>
  <si>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</si>
  <si>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</si>
  <si>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</si>
  <si>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</si>
  <si>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</si>
  <si>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</si>
  <si>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</si>
  <si>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</si>
  <si>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</si>
  <si>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</si>
  <si>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</si>
  <si>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</si>
  <si>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</si>
  <si>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</si>
  <si>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</si>
  <si>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</si>
  <si>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</si>
  <si>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</si>
  <si>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</si>
  <si>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</si>
  <si>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</si>
  <si>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</si>
  <si>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</si>
  <si>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</si>
  <si>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</si>
  <si>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</si>
  <si>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</si>
  <si>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</si>
  <si>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</si>
  <si>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</si>
  <si>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</si>
  <si>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</si>
  <si>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</si>
  <si>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</si>
  <si>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</si>
  <si>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</si>
  <si>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</si>
  <si>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</si>
  <si>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</si>
  <si>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</si>
  <si>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</si>
  <si>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</si>
  <si>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</si>
  <si>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</si>
  <si>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</si>
  <si>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</si>
  <si>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</si>
  <si>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</si>
  <si>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</si>
  <si>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</si>
  <si>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</si>
  <si>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</si>
  <si>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</si>
  <si>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</si>
  <si>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</si>
  <si>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</si>
  <si>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</si>
  <si>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</si>
  <si>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</si>
  <si>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</si>
  <si>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</si>
  <si>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</si>
  <si>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</si>
  <si>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</si>
  <si>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</si>
  <si>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</si>
  <si>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</si>
  <si>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</si>
  <si>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</si>
  <si>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</si>
  <si>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</si>
  <si>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</si>
  <si>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</si>
  <si>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</si>
  <si>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</si>
  <si>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</si>
  <si>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</si>
  <si>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</si>
  <si>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</si>
  <si>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</si>
  <si>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</si>
  <si>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</si>
  <si>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</si>
  <si>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</si>
  <si>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</si>
  <si>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</si>
  <si>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</si>
  <si>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</si>
  <si>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</si>
  <si>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</si>
  <si>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</si>
  <si>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</si>
  <si>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</si>
  <si>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</si>
  <si>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</si>
  <si>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</si>
  <si>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</si>
  <si>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</si>
  <si>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</si>
  <si>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</si>
  <si>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</si>
  <si>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</si>
  <si>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</si>
  <si>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</si>
  <si>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</si>
  <si>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</si>
  <si>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</si>
  <si>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</si>
  <si>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</si>
  <si>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</si>
  <si>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</si>
  <si>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</si>
  <si>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</si>
  <si>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</si>
  <si>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</si>
  <si>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</si>
  <si>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</si>
  <si>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</si>
  <si>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</si>
  <si>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</si>
  <si>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</si>
  <si>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</si>
  <si>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</si>
  <si>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</si>
  <si>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</si>
  <si>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</si>
  <si>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</si>
  <si>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</si>
  <si>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</si>
  <si>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</si>
  <si>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</si>
  <si>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</si>
  <si>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</si>
  <si>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</si>
  <si>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</si>
  <si>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</si>
  <si>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</si>
  <si>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</si>
  <si>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</si>
  <si>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</si>
  <si>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</si>
  <si>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</si>
  <si>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</si>
  <si>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</si>
  <si>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</si>
  <si>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</si>
  <si>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</si>
  <si>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</si>
  <si>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</si>
  <si>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</si>
  <si>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</si>
  <si>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</si>
  <si>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</si>
  <si>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</si>
  <si>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</si>
  <si>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</si>
  <si>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</si>
  <si>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</si>
  <si>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</si>
  <si>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</si>
  <si>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</si>
  <si>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</si>
  <si>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</si>
  <si>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</si>
  <si>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</si>
  <si>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</si>
  <si>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</si>
  <si>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</si>
  <si>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</si>
  <si>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</si>
  <si>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</si>
  <si>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</si>
  <si>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</si>
  <si>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</si>
  <si>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</si>
  <si>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</si>
  <si>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</si>
  <si>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</si>
  <si>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</si>
  <si>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</si>
  <si>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</si>
  <si>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</si>
  <si>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</si>
  <si>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</si>
  <si>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</si>
  <si>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</si>
  <si>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</si>
  <si>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</si>
  <si>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</si>
  <si>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</si>
  <si>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</si>
  <si>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</si>
  <si>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</si>
  <si>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</si>
  <si>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</si>
  <si>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</si>
  <si>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</si>
  <si>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</si>
  <si>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</si>
  <si>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</si>
  <si>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</si>
  <si>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</si>
  <si>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</si>
  <si>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</si>
  <si>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</si>
  <si>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</si>
  <si>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</si>
  <si>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</si>
  <si>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</si>
  <si>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</si>
  <si>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</si>
  <si>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</si>
  <si>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</si>
  <si>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</si>
  <si>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</si>
  <si>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</si>
  <si>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</si>
  <si>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</si>
  <si>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</si>
  <si>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</si>
  <si>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</si>
  <si>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</si>
  <si>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</si>
  <si>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</si>
  <si>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</si>
  <si>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</si>
  <si>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</si>
  <si>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</si>
  <si>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</si>
  <si>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</si>
  <si>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</si>
  <si>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</si>
  <si>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</si>
  <si>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</si>
  <si>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</si>
  <si>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</si>
  <si>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</si>
  <si>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</si>
  <si>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</si>
  <si>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</si>
  <si>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</si>
  <si>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</si>
  <si>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</si>
  <si>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</si>
  <si>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</si>
  <si>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</si>
  <si>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</si>
  <si>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</si>
  <si>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</si>
  <si>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</si>
  <si>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</si>
  <si>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</si>
  <si>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</si>
  <si>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</si>
  <si>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</si>
  <si>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</si>
  <si>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</si>
  <si>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</si>
  <si>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</si>
  <si>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</si>
  <si>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</si>
  <si>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</si>
  <si>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</si>
  <si>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</si>
  <si>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</si>
  <si>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</si>
  <si>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</si>
  <si>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</si>
  <si>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</si>
  <si>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</si>
  <si>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</si>
  <si>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</si>
  <si>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</si>
  <si>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</si>
  <si>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</si>
  <si>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</si>
  <si>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</si>
  <si>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</si>
  <si>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</si>
  <si>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</si>
  <si>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</si>
  <si>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</si>
  <si>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</si>
  <si>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</si>
  <si>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</si>
  <si>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</si>
  <si>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</si>
  <si>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</si>
  <si>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</si>
  <si>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</si>
  <si>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</si>
  <si>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</si>
  <si>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</si>
  <si>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</si>
  <si>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</si>
  <si>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</si>
  <si>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</si>
  <si>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</si>
  <si>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</si>
  <si>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</si>
  <si>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</si>
  <si>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</si>
  <si>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</si>
  <si>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</si>
  <si>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</si>
  <si>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</si>
  <si>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</si>
  <si>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</si>
  <si>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</si>
  <si>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</si>
  <si>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</si>
  <si>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</si>
  <si>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</si>
  <si>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</si>
  <si>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</si>
  <si>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</si>
  <si>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</si>
  <si>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</si>
  <si>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</si>
  <si>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</si>
  <si>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</si>
  <si>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</si>
  <si>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</si>
  <si>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</si>
  <si>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</si>
  <si>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</si>
  <si>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</si>
  <si>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</si>
  <si>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</si>
  <si>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</si>
  <si>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</si>
  <si>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</si>
  <si>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</si>
  <si>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</si>
  <si>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</si>
  <si>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</si>
  <si>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</si>
  <si>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</si>
  <si>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</si>
  <si>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</si>
  <si>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</si>
  <si>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</si>
  <si>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</si>
  <si>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</si>
  <si>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</si>
  <si>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</si>
  <si>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</si>
  <si>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</si>
  <si>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</si>
  <si>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</si>
  <si>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</si>
  <si>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</si>
  <si>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</si>
  <si>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</si>
  <si>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</si>
  <si>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</si>
  <si>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</si>
  <si>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</si>
  <si>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</si>
  <si>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</si>
  <si>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</si>
  <si>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</si>
  <si>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</si>
  <si>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</si>
  <si>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</si>
  <si>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</si>
  <si>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</si>
  <si>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</si>
  <si>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</si>
  <si>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</si>
  <si>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</si>
  <si>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</si>
  <si>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</si>
  <si>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</si>
  <si>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</si>
  <si>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</si>
  <si>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</si>
  <si>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</si>
  <si>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</si>
  <si>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</si>
  <si>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</si>
  <si>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</si>
  <si>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</si>
  <si>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</si>
  <si>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</si>
  <si>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</si>
  <si>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</si>
  <si>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</si>
  <si>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</si>
  <si>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</si>
  <si>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</si>
  <si>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</si>
  <si>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</si>
  <si>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</si>
  <si>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</si>
  <si>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</si>
  <si>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</si>
  <si>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</si>
  <si>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</si>
  <si>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</si>
  <si>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</si>
  <si>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</si>
  <si>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</si>
  <si>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</si>
  <si>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</si>
  <si>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</si>
  <si>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</si>
  <si>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</si>
  <si>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</si>
  <si>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</si>
  <si>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</si>
  <si>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</si>
  <si>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</si>
  <si>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</si>
  <si>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</si>
  <si>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</si>
  <si>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</si>
  <si>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</si>
  <si>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</si>
  <si>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</si>
  <si>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</si>
  <si>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</si>
  <si>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</si>
  <si>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</si>
  <si>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</si>
  <si>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</si>
  <si>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</si>
  <si>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</si>
  <si>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</si>
  <si>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</si>
  <si>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</si>
  <si>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</si>
  <si>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</si>
  <si>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</si>
  <si>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</si>
  <si>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</si>
  <si>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</si>
  <si>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</si>
  <si>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</si>
  <si>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</si>
  <si>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</si>
  <si>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</si>
  <si>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</si>
  <si>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</si>
  <si>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</si>
  <si>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</si>
  <si>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</si>
  <si>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</si>
  <si>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</si>
  <si>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</si>
  <si>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</si>
  <si>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</si>
  <si>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</si>
  <si>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</si>
  <si>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</si>
  <si>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</si>
  <si>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</si>
  <si>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</si>
  <si>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</si>
  <si>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</si>
  <si>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</si>
  <si>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</si>
  <si>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</si>
  <si>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</si>
  <si>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</si>
  <si>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</si>
  <si>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</si>
  <si>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</si>
  <si>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</si>
  <si>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</si>
  <si>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</si>
  <si>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</si>
  <si>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</si>
  <si>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</si>
  <si>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</si>
  <si>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</si>
  <si>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</si>
  <si>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</si>
  <si>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</si>
  <si>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</si>
  <si>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</si>
  <si>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</si>
  <si>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</si>
  <si>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</si>
  <si>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</si>
  <si>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</si>
  <si>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</si>
  <si>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</si>
  <si>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</si>
  <si>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</si>
  <si>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</si>
  <si>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</si>
  <si>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</si>
  <si>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</si>
  <si>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</si>
  <si>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</si>
  <si>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</si>
  <si>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</si>
  <si>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</si>
  <si>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</si>
  <si>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</si>
  <si>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</si>
  <si>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</si>
  <si>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</si>
  <si>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</si>
  <si>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</si>
  <si>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</si>
  <si>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</si>
  <si>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</si>
  <si>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</si>
  <si>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</si>
  <si>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</si>
  <si>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</si>
  <si>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</si>
  <si>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</si>
  <si>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</si>
  <si>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</si>
  <si>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</si>
  <si>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</si>
  <si>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</si>
  <si>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</si>
  <si>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</si>
  <si>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</si>
  <si>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</si>
  <si>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</si>
  <si>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</si>
  <si>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</si>
  <si>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</si>
  <si>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</si>
  <si>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</si>
  <si>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</si>
  <si>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</si>
  <si>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</si>
  <si>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</si>
  <si>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</si>
  <si>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</si>
  <si>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</si>
  <si>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</si>
  <si>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</si>
  <si>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</si>
  <si>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</si>
  <si>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</si>
  <si>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</si>
  <si>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</si>
  <si>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</si>
  <si>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</si>
  <si>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</si>
  <si>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</si>
  <si>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</si>
  <si>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</si>
  <si>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</si>
  <si>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</si>
  <si>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</si>
  <si>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</si>
  <si>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</si>
  <si>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</si>
  <si>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</si>
  <si>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</si>
  <si>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</si>
  <si>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</si>
  <si>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</si>
  <si>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</si>
  <si>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</si>
  <si>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</si>
  <si>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</si>
  <si>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</si>
  <si>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</si>
  <si>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</si>
  <si>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</si>
  <si>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</si>
  <si>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</si>
  <si>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</si>
  <si>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</si>
  <si>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</si>
  <si>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</si>
  <si>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</si>
  <si>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</si>
  <si>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</si>
  <si>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</si>
  <si>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</si>
  <si>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</si>
  <si>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</si>
  <si>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</si>
  <si>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</si>
  <si>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</si>
  <si>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</si>
  <si>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</si>
  <si>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</si>
  <si>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</si>
  <si>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</si>
  <si>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</si>
  <si>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</si>
  <si>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</si>
  <si>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</si>
  <si>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</si>
  <si>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</si>
  <si>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</si>
  <si>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</si>
  <si>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</si>
  <si>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</si>
  <si>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</si>
  <si>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</si>
  <si>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</si>
  <si>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</si>
  <si>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</si>
  <si>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</si>
  <si>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</si>
  <si>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</si>
  <si>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</si>
  <si>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</si>
  <si>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</si>
  <si>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</si>
  <si>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</si>
  <si>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</si>
  <si>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</si>
  <si>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</si>
  <si>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</si>
  <si>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</si>
  <si>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</si>
  <si>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</si>
  <si>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</si>
  <si>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</si>
  <si>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</si>
  <si>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</si>
  <si>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</si>
  <si>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</si>
  <si>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</si>
  <si>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</si>
  <si>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</si>
  <si>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</si>
  <si>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</si>
  <si>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</si>
  <si>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</si>
  <si>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</si>
  <si>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</si>
  <si>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</si>
  <si>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</si>
  <si>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</si>
  <si>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</si>
  <si>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</si>
  <si>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</si>
  <si>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</si>
  <si>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</si>
  <si>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</si>
  <si>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</si>
  <si>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</si>
  <si>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</si>
  <si>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</si>
  <si>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</si>
  <si>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</si>
  <si>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</si>
  <si>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</si>
  <si>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</si>
  <si>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</si>
  <si>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</si>
  <si>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</si>
  <si>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</si>
  <si>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</si>
  <si>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</si>
  <si>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</si>
  <si>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</si>
  <si>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</si>
  <si>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</si>
  <si>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</si>
  <si>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</si>
  <si>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</si>
  <si>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</si>
  <si>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</si>
  <si>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</si>
  <si>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</si>
  <si>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</si>
  <si>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</si>
  <si>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</si>
  <si>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</si>
  <si>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</si>
  <si>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</si>
  <si>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</si>
  <si>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</si>
  <si>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</si>
  <si>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</si>
  <si>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</si>
  <si>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</si>
  <si>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</si>
  <si>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</si>
  <si>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</si>
  <si>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</si>
  <si>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</si>
  <si>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</si>
  <si>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</si>
  <si>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</si>
  <si>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</si>
  <si>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</si>
  <si>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</si>
  <si>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</si>
  <si>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</si>
  <si>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</si>
  <si>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</si>
  <si>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</si>
  <si>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</si>
  <si>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</si>
  <si>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</si>
  <si>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</si>
  <si>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</si>
  <si>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</si>
  <si>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</si>
  <si>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</si>
  <si>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</si>
  <si>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</si>
  <si>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</si>
  <si>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</si>
  <si>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</si>
  <si>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</si>
  <si>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</si>
  <si>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</si>
  <si>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</si>
  <si>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</si>
  <si>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</si>
  <si>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</si>
  <si>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</si>
  <si>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</si>
  <si>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</si>
  <si>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</si>
  <si>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</si>
  <si>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</si>
  <si>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</si>
  <si>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</si>
  <si>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</si>
  <si>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</si>
  <si>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</si>
  <si>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</si>
  <si>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</si>
  <si>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</si>
  <si>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</si>
  <si>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</si>
  <si>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</si>
  <si>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</si>
  <si>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</si>
  <si>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</si>
  <si>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</si>
  <si>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</si>
  <si>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</si>
  <si>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</si>
  <si>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</si>
  <si>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</si>
  <si>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</si>
  <si>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</si>
  <si>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</si>
  <si>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</si>
  <si>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</si>
  <si>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</si>
  <si>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</si>
  <si>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</si>
  <si>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</si>
  <si>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</si>
  <si>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</si>
  <si>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</si>
  <si>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</si>
  <si>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</si>
  <si>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</si>
  <si>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</si>
  <si>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</si>
  <si>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</si>
  <si>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</si>
  <si>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</si>
  <si>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</si>
  <si>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</si>
  <si>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</si>
  <si>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</si>
  <si>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</si>
  <si>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</si>
  <si>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</si>
  <si>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</si>
  <si>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</si>
  <si>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</si>
  <si>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</si>
  <si>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</si>
  <si>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</si>
  <si>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</si>
  <si>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</si>
  <si>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</si>
  <si>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</si>
  <si>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</si>
  <si>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</si>
  <si>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</si>
  <si>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</si>
  <si>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</si>
  <si>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</si>
  <si>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</si>
  <si>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</si>
  <si>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</si>
  <si>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</si>
  <si>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</si>
  <si>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</si>
  <si>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</si>
  <si>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</si>
  <si>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</si>
  <si>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</si>
  <si>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</si>
  <si>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</si>
  <si>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</si>
  <si>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</si>
  <si>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</si>
  <si>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</si>
  <si>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</si>
  <si>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</si>
  <si>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</si>
  <si>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</si>
  <si>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</si>
  <si>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</si>
  <si>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</si>
  <si>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</si>
  <si>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</si>
  <si>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Приобретение техники для выполнения работ по дорожной деятельности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</si>
  <si>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</si>
  <si>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</si>
  <si>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</si>
  <si>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</si>
  <si>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</si>
  <si>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</si>
  <si>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</si>
  <si>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</si>
  <si>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</si>
  <si>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</si>
  <si>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</si>
  <si>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</si>
  <si>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</si>
  <si>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</si>
  <si>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</si>
  <si>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</si>
  <si>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</si>
  <si>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</si>
  <si>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</si>
  <si>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</si>
  <si>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</si>
  <si>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</si>
  <si>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</si>
  <si>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</si>
  <si>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</si>
  <si>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</si>
  <si>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</si>
  <si>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</si>
  <si>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</si>
  <si>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</si>
  <si>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</si>
  <si>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</si>
  <si>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</si>
  <si>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</si>
  <si>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</si>
  <si>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</si>
  <si>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</si>
  <si>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</si>
  <si>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</si>
  <si>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</si>
  <si>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</si>
  <si>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</si>
  <si>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</si>
  <si>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</si>
  <si>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</si>
  <si>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</si>
  <si>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</si>
  <si>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</si>
  <si>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</si>
  <si>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</si>
  <si>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</si>
  <si>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</si>
  <si>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</si>
  <si>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</si>
  <si>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</si>
  <si>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</si>
  <si>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</si>
  <si>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</si>
  <si>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</si>
  <si>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</si>
  <si>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</si>
  <si>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</si>
  <si>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</si>
  <si>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</si>
  <si>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</si>
  <si>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</si>
  <si>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</si>
  <si>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</si>
  <si>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</si>
  <si>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</si>
  <si>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</si>
  <si>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</si>
  <si>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</si>
  <si>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</si>
  <si>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</si>
  <si>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</si>
  <si>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</si>
  <si>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</si>
  <si>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</si>
  <si>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</si>
  <si>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Иные дотации</t>
  </si>
  <si>
    <t>96 0 00 78030</t>
  </si>
  <si>
    <t>Поддержка мер по обеспечению сбалансированности местных бюджетов</t>
  </si>
  <si>
    <t>90 0 00 81110</t>
  </si>
  <si>
    <t>90 0 00 00000</t>
  </si>
  <si>
    <t>Непрограммные расходы в сфере жилищно-коммунального хозяйства</t>
  </si>
  <si>
    <t>13 0 00 85414</t>
  </si>
  <si>
    <t>Субсидия на капитальный ремонт крытых спортивных объектов муниципальных образований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</si>
  <si>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</si>
  <si>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13 0 00 85415</t>
  </si>
  <si>
    <t>Субсидия на выполнение проекта перепланировки помещения Центральной районной библиотеки п. Октябрьский</t>
  </si>
  <si>
    <t>12 0  00 85063</t>
  </si>
  <si>
    <t>Субсидия на проведение экспертизы проектно-сметной документации учреждений культуры</t>
  </si>
  <si>
    <t>12 0  00 85064</t>
  </si>
  <si>
    <t>Субсидия на проведение военно-спортивной эстафеты "Внуки Маргелова"и учебных сборов юношей 10-х классов в центре "Авангард"</t>
  </si>
  <si>
    <t>15 0 00 88321</t>
  </si>
  <si>
    <t>Уплата иных платежей</t>
  </si>
  <si>
    <t>07 0 00 88292</t>
  </si>
  <si>
    <t>Субсидия на корректировку проектно-сметной и рабочей документации для строительства по объекту "Спортивный зал МБОУ "ОСОШ № 1"</t>
  </si>
  <si>
    <t>Субсидия на приобретение и установку системы очистки воды для приготовления пищи</t>
  </si>
  <si>
    <t>08 2 00 80144</t>
  </si>
  <si>
    <t>22 0 00 83141</t>
  </si>
  <si>
    <t>Строительство участка теплосети, расположенного по адресу: рп.Октябрьский, ул.Магистральная, д.26</t>
  </si>
  <si>
    <t>12 0  00 85062</t>
  </si>
  <si>
    <t>Субсидия на установку пожарной сигнализации и огнезащитную обработку</t>
  </si>
  <si>
    <t>04 0 00 88877</t>
  </si>
  <si>
    <t>Разработка проектной документации на строительство детской спортивной площадки</t>
  </si>
  <si>
    <t>06 8 00 00000</t>
  </si>
  <si>
    <t>06 8 00 83062</t>
  </si>
  <si>
    <t>06 9 00 00000</t>
  </si>
  <si>
    <t>06 9 00 83061</t>
  </si>
  <si>
    <t>22 0 00 87158</t>
  </si>
  <si>
    <t>Плата за ограниченное пользование частями земельного участка (плата за сервитут) по соглашению с ОАО "РЖД"</t>
  </si>
  <si>
    <t>Утверждено</t>
  </si>
  <si>
    <t>Исполнено</t>
  </si>
  <si>
    <t>360</t>
  </si>
  <si>
    <t xml:space="preserve">Отчет о распределении бюджетных ассигнований на по разделам и подразделам классификации расходов бюджета Устьянского муниципального района за 2022 год </t>
  </si>
  <si>
    <t>Отчет по ведомственной структуре расходов бюджета Устьянского муниципального района за 2022 год</t>
  </si>
  <si>
    <t xml:space="preserve">Отчет о распределении бюджетных ассигнований на реализацию муниципальных программ  и непрограммных направлений деятельности бюджета Устьянского муниципального района за 2022 год </t>
  </si>
  <si>
    <t>Муниципальная программа "Профилактика преступлений, терроризма, экстремизма и иных правонарушений в Устьянском муниципальном районе"</t>
  </si>
  <si>
    <t>Муниципальная программа "Развитие АПК и торговли Устьянского муниципального района"</t>
  </si>
  <si>
    <t xml:space="preserve">Муниципальная программа "Комплексное развитие систем коммунальной инфраструктуры  на территории Устьянского муниципального  района" </t>
  </si>
  <si>
    <t>Муниципальная программа "Управление муниципальным имуществом  Устьянского муниципального района"</t>
  </si>
  <si>
    <t>Муниципальная программа "Комплексное развитие сельских территорий  Устьянского муниципального  района"</t>
  </si>
  <si>
    <t xml:space="preserve">Муниципальная программа "Безопасное обращение с отходами производства и потребления в  Устьянском муниципальном районе" </t>
  </si>
  <si>
    <t>Муниципальная программа "Ремонт и пожарная безопасность недвижимого имущества Устьянского  муниципального района"</t>
  </si>
  <si>
    <t>к  решению сессии первого созыва Собрания депутатов № 120 от 22 июня 2023 года</t>
  </si>
  <si>
    <t>к решению сессии первого созыва Собрания депутатов № 120 от 22 июня 2023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</si>
</sst>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8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49" fontId="8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82"/>
  <sheetViews>
    <sheetView view="pageBreakPreview" zoomScaleSheetLayoutView="100" workbookViewId="0">
      <selection activeCell="F2" sqref="F2:G2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4" hidden="1" customWidth="1"/>
    <col min="4" max="4" width="6.5703125" style="64" customWidth="1"/>
    <col min="5" max="5" width="8" style="64" customWidth="1"/>
    <col min="6" max="7" width="22.140625" style="63" customWidth="1"/>
    <col min="8" max="8" width="13.85546875" style="62" hidden="1" customWidth="1"/>
    <col min="9" max="16384" width="9.140625" style="62"/>
  </cols>
  <sheetData>
    <row r="1" spans="2:15" s="1" customFormat="1" ht="12.75" customHeight="1">
      <c r="B1" s="59"/>
      <c r="C1" s="59"/>
      <c r="D1" s="59"/>
      <c r="E1" s="294"/>
      <c r="F1" s="311" t="s">
        <v>961</v>
      </c>
      <c r="G1" s="311"/>
      <c r="H1" s="177"/>
      <c r="I1" s="177"/>
      <c r="J1" s="177"/>
      <c r="K1" s="177"/>
      <c r="L1" s="177"/>
      <c r="M1" s="177"/>
      <c r="N1" s="177"/>
      <c r="O1" s="177"/>
    </row>
    <row r="2" spans="2:15" s="1" customFormat="1" ht="56.25" customHeight="1">
      <c r="B2" s="59"/>
      <c r="C2" s="59"/>
      <c r="D2" s="59"/>
      <c r="F2" s="312" t="s">
        <v>1131</v>
      </c>
      <c r="G2" s="312"/>
      <c r="H2" s="177"/>
      <c r="I2" s="177"/>
      <c r="J2" s="177"/>
      <c r="K2" s="177"/>
      <c r="L2" s="177"/>
      <c r="M2" s="177"/>
      <c r="N2" s="177"/>
      <c r="O2" s="177"/>
    </row>
    <row r="3" spans="2:15" s="61" customFormat="1" ht="69.75" customHeight="1">
      <c r="B3" s="310" t="s">
        <v>1121</v>
      </c>
      <c r="C3" s="310"/>
      <c r="D3" s="310"/>
      <c r="E3" s="310"/>
      <c r="F3" s="310"/>
      <c r="G3" s="310"/>
    </row>
    <row r="4" spans="2:15" s="61" customFormat="1" ht="16.5" customHeight="1">
      <c r="B4" s="313" t="s">
        <v>12</v>
      </c>
      <c r="C4" s="96"/>
      <c r="D4" s="315" t="s">
        <v>14</v>
      </c>
      <c r="E4" s="315" t="s">
        <v>15</v>
      </c>
      <c r="F4" s="318" t="s">
        <v>370</v>
      </c>
      <c r="G4" s="313"/>
    </row>
    <row r="5" spans="2:15" s="3" customFormat="1" ht="12.75" customHeight="1">
      <c r="B5" s="314"/>
      <c r="C5" s="315" t="s">
        <v>13</v>
      </c>
      <c r="D5" s="314"/>
      <c r="E5" s="314"/>
      <c r="F5" s="316" t="s">
        <v>1118</v>
      </c>
      <c r="G5" s="316" t="s">
        <v>1119</v>
      </c>
    </row>
    <row r="6" spans="2:15" s="3" customFormat="1" ht="35.25" customHeight="1">
      <c r="B6" s="314"/>
      <c r="C6" s="315"/>
      <c r="D6" s="314"/>
      <c r="E6" s="314"/>
      <c r="F6" s="317"/>
      <c r="G6" s="317"/>
    </row>
    <row r="7" spans="2:15" s="3" customFormat="1">
      <c r="B7" s="97">
        <v>1</v>
      </c>
      <c r="C7" s="97">
        <v>2</v>
      </c>
      <c r="D7" s="97">
        <v>2</v>
      </c>
      <c r="E7" s="97">
        <v>3</v>
      </c>
      <c r="F7" s="98">
        <v>4</v>
      </c>
      <c r="G7" s="98">
        <v>5</v>
      </c>
    </row>
    <row r="8" spans="2:15" ht="16.5">
      <c r="B8" s="67"/>
      <c r="C8" s="67"/>
      <c r="D8" s="67"/>
      <c r="E8" s="67"/>
      <c r="F8" s="67"/>
      <c r="G8" s="67"/>
    </row>
    <row r="9" spans="2:15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111945179.89999999</v>
      </c>
      <c r="G9" s="38">
        <f t="shared" ref="G9" si="0">G10+G11+G12+G14+G16+G17+G13+G15</f>
        <v>108823058.67</v>
      </c>
    </row>
    <row r="10" spans="2:15" s="3" customFormat="1" ht="25.5">
      <c r="B10" s="53" t="s">
        <v>316</v>
      </c>
      <c r="C10" s="78">
        <v>793</v>
      </c>
      <c r="D10" s="10" t="s">
        <v>19</v>
      </c>
      <c r="E10" s="10" t="s">
        <v>28</v>
      </c>
      <c r="F10" s="27">
        <f>'прил 5,'!G1124</f>
        <v>2484412.7399999998</v>
      </c>
      <c r="G10" s="27">
        <f>'прил 5,'!H1124</f>
        <v>2484412.7399999998</v>
      </c>
    </row>
    <row r="11" spans="2:15" s="3" customFormat="1" ht="38.25">
      <c r="B11" s="51" t="s">
        <v>361</v>
      </c>
      <c r="C11" s="78">
        <v>794</v>
      </c>
      <c r="D11" s="52" t="s">
        <v>19</v>
      </c>
      <c r="E11" s="52" t="s">
        <v>70</v>
      </c>
      <c r="F11" s="27">
        <f>'прил 5,'!G1811</f>
        <v>3254488.71</v>
      </c>
      <c r="G11" s="27">
        <f>'прил 5,'!H1811</f>
        <v>3110766.7800000003</v>
      </c>
    </row>
    <row r="12" spans="2:15" s="3" customFormat="1" ht="38.25">
      <c r="B12" s="53" t="s">
        <v>75</v>
      </c>
      <c r="C12" s="78">
        <v>793</v>
      </c>
      <c r="D12" s="10" t="s">
        <v>19</v>
      </c>
      <c r="E12" s="10" t="s">
        <v>54</v>
      </c>
      <c r="F12" s="27">
        <f>'прил 5,'!G378+'прил 5,'!G1051+'прил 5,'!G1133</f>
        <v>61622211.07</v>
      </c>
      <c r="G12" s="27">
        <f>'прил 5,'!H378+'прил 5,'!H1051+'прил 5,'!H1133</f>
        <v>60757742.960000001</v>
      </c>
    </row>
    <row r="13" spans="2:15" s="3" customFormat="1">
      <c r="B13" s="16" t="s">
        <v>276</v>
      </c>
      <c r="C13" s="78"/>
      <c r="D13" s="10" t="s">
        <v>19</v>
      </c>
      <c r="E13" s="10" t="s">
        <v>173</v>
      </c>
      <c r="F13" s="25">
        <f>'прил 5,'!G1172</f>
        <v>124287.62999999999</v>
      </c>
      <c r="G13" s="25">
        <f>'прил 5,'!H1172</f>
        <v>124287.63</v>
      </c>
    </row>
    <row r="14" spans="2:15" s="3" customFormat="1" ht="25.5">
      <c r="B14" s="53" t="s">
        <v>160</v>
      </c>
      <c r="C14" s="45">
        <v>792</v>
      </c>
      <c r="D14" s="10" t="s">
        <v>19</v>
      </c>
      <c r="E14" s="10" t="s">
        <v>161</v>
      </c>
      <c r="F14" s="25">
        <f>'прил 5,'!G1058+'прил 5,'!G2250</f>
        <v>14415015.789999999</v>
      </c>
      <c r="G14" s="25">
        <f>'прил 5,'!H1058+'прил 5,'!H2250</f>
        <v>14359862.169999998</v>
      </c>
    </row>
    <row r="15" spans="2:15" s="3" customFormat="1" hidden="1">
      <c r="B15" s="53" t="s">
        <v>804</v>
      </c>
      <c r="C15" s="45"/>
      <c r="D15" s="10" t="s">
        <v>19</v>
      </c>
      <c r="E15" s="10" t="s">
        <v>26</v>
      </c>
      <c r="F15" s="25">
        <f>'прил 5,'!G1177</f>
        <v>4829049.2</v>
      </c>
      <c r="G15" s="25">
        <f>'прил 5,'!H1177</f>
        <v>4659430.8</v>
      </c>
    </row>
    <row r="16" spans="2:15" s="3" customFormat="1">
      <c r="B16" s="51" t="s">
        <v>331</v>
      </c>
      <c r="C16" s="78">
        <v>793</v>
      </c>
      <c r="D16" s="52" t="s">
        <v>19</v>
      </c>
      <c r="E16" s="52" t="s">
        <v>72</v>
      </c>
      <c r="F16" s="27">
        <f>'прил 5,'!G1182</f>
        <v>4954.46</v>
      </c>
      <c r="G16" s="27">
        <f>'прил 5,'!H1182</f>
        <v>0</v>
      </c>
    </row>
    <row r="17" spans="2:8" s="3" customFormat="1">
      <c r="B17" s="9" t="s">
        <v>22</v>
      </c>
      <c r="C17" s="78">
        <v>793</v>
      </c>
      <c r="D17" s="10" t="s">
        <v>19</v>
      </c>
      <c r="E17" s="10" t="s">
        <v>23</v>
      </c>
      <c r="F17" s="27">
        <f>'прил 5,'!G1187+'прил 5,'!G387+'прил 5,'!G1068+'прил 5,'!G450+'прил 5,'!G1834+'прил 5,'!G2141</f>
        <v>25210760.300000001</v>
      </c>
      <c r="G17" s="27">
        <f>'прил 5,'!H1187+'прил 5,'!H387+'прил 5,'!H1068+'прил 5,'!H450+'прил 5,'!H1834+'прил 5,'!H2141</f>
        <v>23326555.59</v>
      </c>
    </row>
    <row r="18" spans="2:8" s="3" customFormat="1">
      <c r="B18" s="47" t="s">
        <v>165</v>
      </c>
      <c r="C18" s="45">
        <v>792</v>
      </c>
      <c r="D18" s="20" t="s">
        <v>28</v>
      </c>
      <c r="E18" s="20"/>
      <c r="F18" s="12">
        <f>F19</f>
        <v>3750613.11</v>
      </c>
      <c r="G18" s="12">
        <f t="shared" ref="G18" si="1">G19</f>
        <v>3750613.11</v>
      </c>
    </row>
    <row r="19" spans="2:8" s="3" customFormat="1">
      <c r="B19" s="9" t="s">
        <v>166</v>
      </c>
      <c r="C19" s="45">
        <v>792</v>
      </c>
      <c r="D19" s="10" t="s">
        <v>28</v>
      </c>
      <c r="E19" s="10" t="s">
        <v>70</v>
      </c>
      <c r="F19" s="25">
        <f>'прил 5,'!G1074</f>
        <v>3750613.11</v>
      </c>
      <c r="G19" s="25">
        <f>'прил 5,'!H1074</f>
        <v>3750613.11</v>
      </c>
    </row>
    <row r="20" spans="2:8" s="3" customFormat="1" ht="25.5">
      <c r="B20" s="11" t="s">
        <v>168</v>
      </c>
      <c r="C20" s="6">
        <v>793</v>
      </c>
      <c r="D20" s="7" t="s">
        <v>70</v>
      </c>
      <c r="E20" s="7"/>
      <c r="F20" s="38">
        <f>F21+F23+F22</f>
        <v>6397555.8799999999</v>
      </c>
      <c r="G20" s="38">
        <f t="shared" ref="G20" si="2">G21+G23+G22</f>
        <v>6057629.3100000005</v>
      </c>
    </row>
    <row r="21" spans="2:8" s="3" customFormat="1">
      <c r="B21" s="48" t="s">
        <v>789</v>
      </c>
      <c r="C21" s="45">
        <v>793</v>
      </c>
      <c r="D21" s="52" t="s">
        <v>70</v>
      </c>
      <c r="E21" s="52" t="s">
        <v>123</v>
      </c>
      <c r="F21" s="27">
        <f>'прил 5,'!G1277</f>
        <v>93500</v>
      </c>
      <c r="G21" s="27">
        <f>'прил 5,'!H1277</f>
        <v>72000</v>
      </c>
    </row>
    <row r="22" spans="2:8" s="3" customFormat="1" ht="45.75" customHeight="1">
      <c r="B22" s="48" t="s">
        <v>790</v>
      </c>
      <c r="C22" s="45"/>
      <c r="D22" s="52" t="s">
        <v>70</v>
      </c>
      <c r="E22" s="52" t="s">
        <v>69</v>
      </c>
      <c r="F22" s="27">
        <f>'прил 5,'!G1309</f>
        <v>5756765.8799999999</v>
      </c>
      <c r="G22" s="27">
        <f>'прил 5,'!H1309</f>
        <v>5458339.3100000005</v>
      </c>
    </row>
    <row r="23" spans="2:8" s="3" customFormat="1" ht="25.5">
      <c r="B23" s="16" t="s">
        <v>335</v>
      </c>
      <c r="C23" s="45"/>
      <c r="D23" s="41" t="s">
        <v>70</v>
      </c>
      <c r="E23" s="41" t="s">
        <v>309</v>
      </c>
      <c r="F23" s="27">
        <f>'прил 5,'!G1342+'прил 5,'!G457</f>
        <v>547290</v>
      </c>
      <c r="G23" s="27">
        <f>'прил 5,'!H1342+'прил 5,'!H461+'прил 5,'!H463</f>
        <v>527290</v>
      </c>
    </row>
    <row r="24" spans="2:8" s="3" customFormat="1">
      <c r="B24" s="11" t="s">
        <v>86</v>
      </c>
      <c r="C24" s="6">
        <v>793</v>
      </c>
      <c r="D24" s="7" t="s">
        <v>54</v>
      </c>
      <c r="E24" s="7"/>
      <c r="F24" s="38">
        <f>F26+F27+F28+F25</f>
        <v>55977592.759999998</v>
      </c>
      <c r="G24" s="38">
        <f t="shared" ref="G24" si="3">G26+G27+G28+G25</f>
        <v>52425038.819999993</v>
      </c>
    </row>
    <row r="25" spans="2:8" s="46" customFormat="1" hidden="1">
      <c r="B25" s="162" t="s">
        <v>783</v>
      </c>
      <c r="C25" s="49"/>
      <c r="D25" s="65" t="s">
        <v>54</v>
      </c>
      <c r="E25" s="65" t="s">
        <v>173</v>
      </c>
      <c r="F25" s="29">
        <f>'прил 5,'!G1362+'прил 5,'!G399</f>
        <v>0</v>
      </c>
      <c r="G25" s="29">
        <f>'прил 5,'!H1362</f>
        <v>0</v>
      </c>
    </row>
    <row r="26" spans="2:8" s="3" customFormat="1">
      <c r="B26" s="53" t="s">
        <v>342</v>
      </c>
      <c r="C26" s="78"/>
      <c r="D26" s="41" t="s">
        <v>54</v>
      </c>
      <c r="E26" s="41" t="s">
        <v>44</v>
      </c>
      <c r="F26" s="25">
        <f>'прил 5,'!G1367</f>
        <v>7056128.1399999997</v>
      </c>
      <c r="G26" s="25">
        <f>'прил 5,'!H1367</f>
        <v>6817106.0199999996</v>
      </c>
      <c r="H26" s="108"/>
    </row>
    <row r="27" spans="2:8" s="3" customFormat="1">
      <c r="B27" s="87" t="s">
        <v>172</v>
      </c>
      <c r="C27" s="45">
        <v>792</v>
      </c>
      <c r="D27" s="52" t="s">
        <v>54</v>
      </c>
      <c r="E27" s="52" t="s">
        <v>123</v>
      </c>
      <c r="F27" s="25">
        <f>'прил 5,'!G1836+'прил 5,'!G1382+'прил 5,'!G464+'прил 5,'!G2150</f>
        <v>45676972.259999998</v>
      </c>
      <c r="G27" s="25">
        <f>'прил 5,'!H1836+'прил 5,'!H1382+'прил 5,'!H464+'прил 5,'!H2150</f>
        <v>42414346.359999999</v>
      </c>
      <c r="H27" s="108"/>
    </row>
    <row r="28" spans="2:8" s="3" customFormat="1">
      <c r="B28" s="51" t="s">
        <v>87</v>
      </c>
      <c r="C28" s="78">
        <v>793</v>
      </c>
      <c r="D28" s="52" t="s">
        <v>54</v>
      </c>
      <c r="E28" s="52" t="s">
        <v>88</v>
      </c>
      <c r="F28" s="27">
        <f>'прил 5,'!G1921+'прил 5,'!G1427+'прил 5,'!G404+'прил 5,'!G10+'прил 5,'!G2177</f>
        <v>3244492.36</v>
      </c>
      <c r="G28" s="27">
        <f>'прил 5,'!H1921+'прил 5,'!H1427+'прил 5,'!H404+'прил 5,'!H10+'прил 5,'!H2177</f>
        <v>3193586.44</v>
      </c>
    </row>
    <row r="29" spans="2:8" s="3" customFormat="1">
      <c r="B29" s="54" t="s">
        <v>346</v>
      </c>
      <c r="C29" s="45">
        <v>792</v>
      </c>
      <c r="D29" s="7" t="s">
        <v>173</v>
      </c>
      <c r="E29" s="7"/>
      <c r="F29" s="38">
        <f>F31+F30+F32+F33</f>
        <v>87020505.080000013</v>
      </c>
      <c r="G29" s="38">
        <f t="shared" ref="G29" si="4">G31+G30+G32+G33</f>
        <v>70405216.840000018</v>
      </c>
      <c r="H29" s="108"/>
    </row>
    <row r="30" spans="2:8" s="46" customFormat="1">
      <c r="B30" s="66" t="s">
        <v>174</v>
      </c>
      <c r="C30" s="49"/>
      <c r="D30" s="65" t="s">
        <v>173</v>
      </c>
      <c r="E30" s="65" t="s">
        <v>19</v>
      </c>
      <c r="F30" s="29">
        <f>'прил 5,'!G1931+'прил 5,'!G1470+'прил 5,'!G434+'прил 5,'!G2187</f>
        <v>53942238.710000001</v>
      </c>
      <c r="G30" s="29">
        <f>'прил 5,'!H1931+'прил 5,'!H1470+'прил 5,'!H434+'прил 5,'!H2187</f>
        <v>46058929.310000002</v>
      </c>
    </row>
    <row r="31" spans="2:8" s="1" customFormat="1">
      <c r="B31" s="55" t="s">
        <v>175</v>
      </c>
      <c r="C31" s="45"/>
      <c r="D31" s="10" t="s">
        <v>173</v>
      </c>
      <c r="E31" s="10" t="s">
        <v>28</v>
      </c>
      <c r="F31" s="25">
        <f>'прил 5,'!G1960+'прил 5,'!G1080+'прил 5,'!G1512+'прил 5,'!G2212</f>
        <v>26564573.320000004</v>
      </c>
      <c r="G31" s="25">
        <f>'прил 5,'!H1960+'прил 5,'!H1080+'прил 5,'!H1512+'прил 5,'!H2212</f>
        <v>20334262.230000004</v>
      </c>
    </row>
    <row r="32" spans="2:8" s="3" customFormat="1">
      <c r="B32" s="55" t="s">
        <v>182</v>
      </c>
      <c r="C32" s="45"/>
      <c r="D32" s="10" t="s">
        <v>173</v>
      </c>
      <c r="E32" s="10" t="s">
        <v>70</v>
      </c>
      <c r="F32" s="25">
        <f>'прил 5,'!G1450+'прил 5,'!G2037+'прил 5,'!G1576+'прил 5,'!G2230</f>
        <v>2059882.54</v>
      </c>
      <c r="G32" s="25">
        <f>'прил 5,'!H1450+'прил 5,'!H2037+'прил 5,'!H1576+'прил 5,'!H2230</f>
        <v>1839275.54</v>
      </c>
    </row>
    <row r="33" spans="2:7" s="3" customFormat="1">
      <c r="B33" s="55" t="s">
        <v>582</v>
      </c>
      <c r="C33" s="45"/>
      <c r="D33" s="10" t="s">
        <v>173</v>
      </c>
      <c r="E33" s="10" t="s">
        <v>173</v>
      </c>
      <c r="F33" s="25">
        <f>'прил 5,'!G2060+'прил 5,'!G1609+'прил 5,'!G2237</f>
        <v>4453810.51</v>
      </c>
      <c r="G33" s="25">
        <f>'прил 5,'!H2060+'прил 5,'!H1609+'прил 5,'!H2237</f>
        <v>2172749.7600000002</v>
      </c>
    </row>
    <row r="34" spans="2:7" s="3" customFormat="1">
      <c r="B34" s="54" t="s">
        <v>2</v>
      </c>
      <c r="C34" s="45">
        <v>792</v>
      </c>
      <c r="D34" s="7" t="s">
        <v>161</v>
      </c>
      <c r="E34" s="7"/>
      <c r="F34" s="38">
        <f>F35</f>
        <v>10234846.610000001</v>
      </c>
      <c r="G34" s="38">
        <f t="shared" ref="G34" si="5">G35</f>
        <v>10018012.040000001</v>
      </c>
    </row>
    <row r="35" spans="2:7" s="3" customFormat="1" ht="21" customHeight="1">
      <c r="B35" s="16" t="s">
        <v>352</v>
      </c>
      <c r="C35" s="45"/>
      <c r="D35" s="10" t="s">
        <v>161</v>
      </c>
      <c r="E35" s="10" t="s">
        <v>173</v>
      </c>
      <c r="F35" s="25">
        <f>'прил 5,'!G2089+'прил 5,'!G1644+'прил 5,'!G2243</f>
        <v>10234846.610000001</v>
      </c>
      <c r="G35" s="25">
        <f>'прил 5,'!H2089+'прил 5,'!H1644</f>
        <v>10018012.040000001</v>
      </c>
    </row>
    <row r="36" spans="2:7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1253916762.1399999</v>
      </c>
      <c r="G36" s="38">
        <f t="shared" ref="G36" si="6">G37+G38+G40+G41+G39</f>
        <v>1252531386.5899999</v>
      </c>
    </row>
    <row r="37" spans="2:7" s="3" customFormat="1">
      <c r="B37" s="53" t="s">
        <v>89</v>
      </c>
      <c r="C37" s="78">
        <v>774</v>
      </c>
      <c r="D37" s="10" t="s">
        <v>26</v>
      </c>
      <c r="E37" s="10" t="s">
        <v>19</v>
      </c>
      <c r="F37" s="27">
        <f>'прил 5,'!G470</f>
        <v>332086862.06999999</v>
      </c>
      <c r="G37" s="27">
        <f>'прил 5,'!H470</f>
        <v>331638250.95999998</v>
      </c>
    </row>
    <row r="38" spans="2:7" s="3" customFormat="1">
      <c r="B38" s="55" t="s">
        <v>27</v>
      </c>
      <c r="C38" s="78">
        <v>774</v>
      </c>
      <c r="D38" s="10" t="s">
        <v>26</v>
      </c>
      <c r="E38" s="10" t="s">
        <v>28</v>
      </c>
      <c r="F38" s="27">
        <f>'прил 5,'!G549</f>
        <v>767332492.10000002</v>
      </c>
      <c r="G38" s="27">
        <f>'прил 5,'!H549+'прил 5,'!H2125</f>
        <v>766769758.89999998</v>
      </c>
    </row>
    <row r="39" spans="2:7" s="3" customFormat="1">
      <c r="B39" s="53" t="s">
        <v>95</v>
      </c>
      <c r="C39" s="78"/>
      <c r="D39" s="10" t="s">
        <v>26</v>
      </c>
      <c r="E39" s="10" t="s">
        <v>70</v>
      </c>
      <c r="F39" s="25">
        <f>'прил 5,'!G21+'прил 5,'!G793</f>
        <v>133917974.81000003</v>
      </c>
      <c r="G39" s="25">
        <f>'прил 5,'!H21+'прил 5,'!H793</f>
        <v>133610502.73000002</v>
      </c>
    </row>
    <row r="40" spans="2:7" s="3" customFormat="1">
      <c r="B40" s="53" t="s">
        <v>281</v>
      </c>
      <c r="C40" s="78">
        <v>774</v>
      </c>
      <c r="D40" s="10" t="s">
        <v>26</v>
      </c>
      <c r="E40" s="10" t="s">
        <v>26</v>
      </c>
      <c r="F40" s="27">
        <f>'прил 5,'!G909+'прил 5,'!G101+'прил 5,'!G1668</f>
        <v>5591812.5599999996</v>
      </c>
      <c r="G40" s="27">
        <f>'прил 5,'!H909+'прил 5,'!H101+'прил 5,'!H1668</f>
        <v>5536675</v>
      </c>
    </row>
    <row r="41" spans="2:7" s="3" customFormat="1">
      <c r="B41" s="53" t="s">
        <v>122</v>
      </c>
      <c r="C41" s="78">
        <v>774</v>
      </c>
      <c r="D41" s="10" t="s">
        <v>26</v>
      </c>
      <c r="E41" s="10" t="s">
        <v>123</v>
      </c>
      <c r="F41" s="27">
        <f>'прил 5,'!G961</f>
        <v>14987620.6</v>
      </c>
      <c r="G41" s="27">
        <f>'прил 5,'!H961</f>
        <v>14976199</v>
      </c>
    </row>
    <row r="42" spans="2:7" s="3" customFormat="1">
      <c r="B42" s="11" t="s">
        <v>43</v>
      </c>
      <c r="C42" s="78">
        <v>757</v>
      </c>
      <c r="D42" s="7" t="s">
        <v>44</v>
      </c>
      <c r="E42" s="7"/>
      <c r="F42" s="38">
        <f>F43+F44</f>
        <v>161907203.45000005</v>
      </c>
      <c r="G42" s="38">
        <f t="shared" ref="G42" si="7">G43+G44</f>
        <v>161711128.60000002</v>
      </c>
    </row>
    <row r="43" spans="2:7" s="3" customFormat="1">
      <c r="B43" s="53" t="s">
        <v>45</v>
      </c>
      <c r="C43" s="78">
        <v>757</v>
      </c>
      <c r="D43" s="10" t="s">
        <v>44</v>
      </c>
      <c r="E43" s="10" t="s">
        <v>19</v>
      </c>
      <c r="F43" s="25">
        <f>'прил 5,'!G120+'прил 5,'!G1689</f>
        <v>156571664.45000005</v>
      </c>
      <c r="G43" s="25">
        <f>'прил 5,'!H120+'прил 5,'!H1689</f>
        <v>156375891.56000003</v>
      </c>
    </row>
    <row r="44" spans="2:7" s="3" customFormat="1" ht="13.5" customHeight="1">
      <c r="B44" s="55" t="s">
        <v>53</v>
      </c>
      <c r="C44" s="78">
        <v>757</v>
      </c>
      <c r="D44" s="10" t="s">
        <v>44</v>
      </c>
      <c r="E44" s="10" t="s">
        <v>54</v>
      </c>
      <c r="F44" s="25">
        <f>'прил 5,'!G336</f>
        <v>5335539</v>
      </c>
      <c r="G44" s="25">
        <f>'прил 5,'!H336</f>
        <v>5335237.04</v>
      </c>
    </row>
    <row r="45" spans="2:7" s="3" customFormat="1">
      <c r="B45" s="11" t="s">
        <v>145</v>
      </c>
      <c r="C45" s="78">
        <v>757</v>
      </c>
      <c r="D45" s="7" t="s">
        <v>69</v>
      </c>
      <c r="E45" s="7"/>
      <c r="F45" s="38">
        <f>F46+F47+F48</f>
        <v>133330611.06999999</v>
      </c>
      <c r="G45" s="38">
        <f>G46+G47+G48</f>
        <v>112669903.45000002</v>
      </c>
    </row>
    <row r="46" spans="2:7" s="3" customFormat="1">
      <c r="B46" s="53" t="s">
        <v>146</v>
      </c>
      <c r="C46" s="78">
        <v>774</v>
      </c>
      <c r="D46" s="10" t="s">
        <v>69</v>
      </c>
      <c r="E46" s="10" t="s">
        <v>19</v>
      </c>
      <c r="F46" s="25">
        <f>'прил 5,'!G1001+'прил 5,'!G1695+'прил 5,'!G1086</f>
        <v>437050.85</v>
      </c>
      <c r="G46" s="25">
        <f>'прил 5,'!H1001+'прил 5,'!H1695+'прил 5,'!H1086</f>
        <v>334273.63</v>
      </c>
    </row>
    <row r="47" spans="2:7" s="3" customFormat="1">
      <c r="B47" s="53" t="s">
        <v>68</v>
      </c>
      <c r="C47" s="78">
        <v>757</v>
      </c>
      <c r="D47" s="10" t="s">
        <v>69</v>
      </c>
      <c r="E47" s="10" t="s">
        <v>70</v>
      </c>
      <c r="F47" s="25">
        <f>'прил 5,'!G1700</f>
        <v>71629374.75</v>
      </c>
      <c r="G47" s="25">
        <f>'прил 5,'!H1700</f>
        <v>55825051.440000005</v>
      </c>
    </row>
    <row r="48" spans="2:7" s="3" customFormat="1">
      <c r="B48" s="55" t="s">
        <v>153</v>
      </c>
      <c r="C48" s="78">
        <v>774</v>
      </c>
      <c r="D48" s="10" t="s">
        <v>69</v>
      </c>
      <c r="E48" s="10" t="s">
        <v>54</v>
      </c>
      <c r="F48" s="8">
        <f>'прил 5,'!G1006+'прил 5,'!G1746</f>
        <v>61264185.469999999</v>
      </c>
      <c r="G48" s="8">
        <f>'прил 5,'!H1006+'прил 5,'!H1746</f>
        <v>56510578.380000003</v>
      </c>
    </row>
    <row r="49" spans="2:9" s="3" customFormat="1">
      <c r="B49" s="11" t="s">
        <v>360</v>
      </c>
      <c r="C49" s="6">
        <v>757</v>
      </c>
      <c r="D49" s="7" t="s">
        <v>72</v>
      </c>
      <c r="E49" s="7"/>
      <c r="F49" s="38">
        <f>F51+F50</f>
        <v>441360</v>
      </c>
      <c r="G49" s="38">
        <f t="shared" ref="G49" si="8">G51+G50</f>
        <v>441360</v>
      </c>
    </row>
    <row r="50" spans="2:9" s="3" customFormat="1" hidden="1">
      <c r="B50" s="112" t="s">
        <v>490</v>
      </c>
      <c r="C50" s="6"/>
      <c r="D50" s="65" t="s">
        <v>72</v>
      </c>
      <c r="E50" s="65" t="s">
        <v>19</v>
      </c>
      <c r="F50" s="29">
        <f>'прил 5,'!G352</f>
        <v>0</v>
      </c>
      <c r="G50" s="29">
        <f>'прил 5,'!H352</f>
        <v>0</v>
      </c>
    </row>
    <row r="51" spans="2:9" s="3" customFormat="1">
      <c r="B51" s="51" t="s">
        <v>71</v>
      </c>
      <c r="C51" s="78">
        <v>757</v>
      </c>
      <c r="D51" s="10" t="s">
        <v>72</v>
      </c>
      <c r="E51" s="10" t="s">
        <v>28</v>
      </c>
      <c r="F51" s="25">
        <f>'прил 5,'!G367+'прил 5,'!G1781+'прил 5,'!G1037</f>
        <v>441360</v>
      </c>
      <c r="G51" s="25">
        <f>'прил 5,'!H367+'прил 5,'!H1781+'прил 5,'!H1037</f>
        <v>441360</v>
      </c>
    </row>
    <row r="52" spans="2:9" s="3" customFormat="1" ht="25.5">
      <c r="B52" s="54" t="s">
        <v>300</v>
      </c>
      <c r="C52" s="45">
        <v>792</v>
      </c>
      <c r="D52" s="7" t="s">
        <v>23</v>
      </c>
      <c r="E52" s="7"/>
      <c r="F52" s="38">
        <f>F53</f>
        <v>390950.79999999981</v>
      </c>
      <c r="G52" s="38">
        <f t="shared" ref="G52" si="9">G53</f>
        <v>272120.55</v>
      </c>
    </row>
    <row r="53" spans="2:9" s="3" customFormat="1" ht="25.5">
      <c r="B53" s="55" t="s">
        <v>301</v>
      </c>
      <c r="C53" s="45">
        <v>792</v>
      </c>
      <c r="D53" s="10" t="s">
        <v>23</v>
      </c>
      <c r="E53" s="10" t="s">
        <v>19</v>
      </c>
      <c r="F53" s="25">
        <f>'прил 5,'!G1092+'прил 5,'!G1798</f>
        <v>390950.79999999981</v>
      </c>
      <c r="G53" s="25">
        <f>'прил 5,'!H1092+'прил 5,'!H1798</f>
        <v>272120.55</v>
      </c>
    </row>
    <row r="54" spans="2:9" s="3" customFormat="1" ht="38.25">
      <c r="B54" s="54" t="s">
        <v>308</v>
      </c>
      <c r="C54" s="45">
        <v>792</v>
      </c>
      <c r="D54" s="7" t="s">
        <v>309</v>
      </c>
      <c r="E54" s="7"/>
      <c r="F54" s="38">
        <f>F55+F57+F56</f>
        <v>43817170.5</v>
      </c>
      <c r="G54" s="38">
        <f t="shared" ref="G54:H54" si="10">G55+G57+G56</f>
        <v>43817170.5</v>
      </c>
      <c r="H54" s="38">
        <f t="shared" si="10"/>
        <v>0</v>
      </c>
    </row>
    <row r="55" spans="2:9" s="3" customFormat="1" ht="27" customHeight="1">
      <c r="B55" s="128" t="s">
        <v>310</v>
      </c>
      <c r="C55" s="243">
        <v>792</v>
      </c>
      <c r="D55" s="149" t="s">
        <v>309</v>
      </c>
      <c r="E55" s="149" t="s">
        <v>19</v>
      </c>
      <c r="F55" s="94">
        <f>'прил 5,'!G1099</f>
        <v>20147049.5</v>
      </c>
      <c r="G55" s="94">
        <f>'прил 5,'!H1099</f>
        <v>20147049.5</v>
      </c>
      <c r="H55" s="147"/>
      <c r="I55" s="147"/>
    </row>
    <row r="56" spans="2:9" s="3" customFormat="1" ht="19.5" customHeight="1">
      <c r="B56" s="128" t="s">
        <v>1085</v>
      </c>
      <c r="C56" s="243"/>
      <c r="D56" s="149" t="s">
        <v>309</v>
      </c>
      <c r="E56" s="149" t="s">
        <v>28</v>
      </c>
      <c r="F56" s="94">
        <f>'прил 5,'!G1108</f>
        <v>449460</v>
      </c>
      <c r="G56" s="94">
        <f>'прил 5,'!H1108</f>
        <v>449460</v>
      </c>
      <c r="H56" s="147"/>
      <c r="I56" s="147"/>
    </row>
    <row r="57" spans="2:9" s="3" customFormat="1" ht="17.25" customHeight="1">
      <c r="B57" s="128" t="s">
        <v>315</v>
      </c>
      <c r="C57" s="243">
        <v>792</v>
      </c>
      <c r="D57" s="149" t="s">
        <v>309</v>
      </c>
      <c r="E57" s="149" t="s">
        <v>70</v>
      </c>
      <c r="F57" s="94">
        <f>'прил 5,'!G1113</f>
        <v>23220661</v>
      </c>
      <c r="G57" s="94">
        <f>'прил 5,'!H1113</f>
        <v>23220661</v>
      </c>
      <c r="H57" s="147"/>
      <c r="I57" s="147"/>
    </row>
    <row r="58" spans="2:9" s="22" customFormat="1" ht="24" customHeight="1">
      <c r="B58" s="244" t="s">
        <v>368</v>
      </c>
      <c r="C58" s="244"/>
      <c r="D58" s="244"/>
      <c r="E58" s="244"/>
      <c r="F58" s="245">
        <f>F9+F24+F42+F45+F54+F18+F52+F36+F29+F34+F49+F20</f>
        <v>1869130351.3</v>
      </c>
      <c r="G58" s="245">
        <f>G9+G24+G42+G45+G54+G18+G52+G36+G29+G34+G49+G20</f>
        <v>1822922638.4799998</v>
      </c>
      <c r="H58" s="120"/>
      <c r="I58" s="120"/>
    </row>
    <row r="59" spans="2:9" hidden="1">
      <c r="B59" s="246"/>
      <c r="C59" s="247"/>
      <c r="D59" s="248"/>
      <c r="E59" s="248"/>
      <c r="F59" s="173">
        <v>875721795.65999997</v>
      </c>
      <c r="G59" s="173">
        <v>875721795.65999997</v>
      </c>
      <c r="H59" s="190"/>
      <c r="I59" s="190"/>
    </row>
    <row r="60" spans="2:9" hidden="1">
      <c r="B60" s="190"/>
      <c r="C60" s="249"/>
      <c r="D60" s="249"/>
      <c r="E60" s="249"/>
      <c r="F60" s="173">
        <f>F58-F59</f>
        <v>993408555.63999999</v>
      </c>
      <c r="G60" s="173">
        <f>G58-G59</f>
        <v>947200842.81999981</v>
      </c>
      <c r="H60" s="190"/>
      <c r="I60" s="190"/>
    </row>
    <row r="61" spans="2:9">
      <c r="B61" s="190"/>
      <c r="C61" s="249"/>
      <c r="D61" s="249"/>
      <c r="E61" s="249"/>
      <c r="F61" s="173"/>
      <c r="G61" s="173"/>
      <c r="H61" s="190"/>
      <c r="I61" s="190"/>
    </row>
    <row r="62" spans="2:9">
      <c r="B62" s="190"/>
      <c r="C62" s="249"/>
      <c r="D62" s="249"/>
      <c r="E62" s="249"/>
      <c r="F62" s="173"/>
      <c r="G62" s="173">
        <f>'прил 5,'!H2263-'прил 6.'!H1521</f>
        <v>0</v>
      </c>
      <c r="H62" s="190"/>
      <c r="I62" s="190"/>
    </row>
    <row r="63" spans="2:9">
      <c r="B63" s="190"/>
      <c r="C63" s="249"/>
      <c r="D63" s="249"/>
      <c r="E63" s="249"/>
      <c r="F63" s="173"/>
      <c r="G63" s="173"/>
      <c r="H63" s="190"/>
      <c r="I63" s="190"/>
    </row>
    <row r="64" spans="2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82" spans="6:7">
      <c r="F82" s="63">
        <f>'прил 5,'!G2263-'прил 4 '!F58</f>
        <v>0</v>
      </c>
      <c r="G82" s="63">
        <f>'прил 5,'!H2263-'прил 4 '!G58</f>
        <v>0</v>
      </c>
    </row>
  </sheetData>
  <mergeCells count="10">
    <mergeCell ref="B3:G3"/>
    <mergeCell ref="F1:G1"/>
    <mergeCell ref="F2:G2"/>
    <mergeCell ref="B4:B6"/>
    <mergeCell ref="C5:C6"/>
    <mergeCell ref="F5:F6"/>
    <mergeCell ref="G5:G6"/>
    <mergeCell ref="F4:G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95"/>
  <sheetViews>
    <sheetView view="pageBreakPreview" zoomScaleSheetLayoutView="100" workbookViewId="0">
      <selection activeCell="C2" sqref="C2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8" width="17.5703125" style="60" customWidth="1"/>
    <col min="9" max="9" width="17.5703125" style="173" customWidth="1"/>
    <col min="10" max="10" width="19.5703125" style="177" customWidth="1"/>
    <col min="11" max="11" width="17" style="177" customWidth="1"/>
    <col min="12" max="12" width="15" style="177" customWidth="1"/>
    <col min="13" max="13" width="14.5703125" style="177" customWidth="1"/>
    <col min="14" max="14" width="14.85546875" style="177" customWidth="1"/>
    <col min="15" max="15" width="13.85546875" style="177" bestFit="1" customWidth="1"/>
    <col min="16" max="16" width="14.42578125" style="177" bestFit="1" customWidth="1"/>
    <col min="17" max="17" width="15.28515625" style="177" customWidth="1"/>
    <col min="18" max="18" width="16.85546875" style="1" customWidth="1"/>
    <col min="19" max="16384" width="9.140625" style="1"/>
  </cols>
  <sheetData>
    <row r="1" spans="1:17">
      <c r="F1" s="311" t="s">
        <v>751</v>
      </c>
      <c r="G1" s="319"/>
      <c r="H1" s="319"/>
    </row>
    <row r="2" spans="1:17" ht="30" customHeight="1">
      <c r="F2" s="312" t="s">
        <v>1131</v>
      </c>
      <c r="G2" s="312"/>
      <c r="H2" s="312"/>
    </row>
    <row r="3" spans="1:17" ht="37.5" customHeight="1">
      <c r="A3" s="310" t="s">
        <v>1122</v>
      </c>
      <c r="B3" s="310"/>
      <c r="C3" s="310"/>
      <c r="D3" s="310"/>
      <c r="E3" s="310"/>
      <c r="F3" s="310"/>
      <c r="G3" s="310"/>
      <c r="H3" s="310"/>
      <c r="I3" s="178"/>
    </row>
    <row r="4" spans="1:17" ht="33.75" customHeight="1">
      <c r="A4" s="320" t="s">
        <v>12</v>
      </c>
      <c r="B4" s="322" t="s">
        <v>13</v>
      </c>
      <c r="C4" s="322" t="s">
        <v>14</v>
      </c>
      <c r="D4" s="322" t="s">
        <v>15</v>
      </c>
      <c r="E4" s="322" t="s">
        <v>16</v>
      </c>
      <c r="F4" s="322" t="s">
        <v>17</v>
      </c>
      <c r="G4" s="323" t="s">
        <v>370</v>
      </c>
      <c r="H4" s="324"/>
      <c r="I4" s="179"/>
    </row>
    <row r="5" spans="1:17" s="3" customFormat="1" ht="23.25" customHeight="1">
      <c r="A5" s="321"/>
      <c r="B5" s="321"/>
      <c r="C5" s="321"/>
      <c r="D5" s="321"/>
      <c r="E5" s="321"/>
      <c r="F5" s="321"/>
      <c r="G5" s="316" t="s">
        <v>1118</v>
      </c>
      <c r="H5" s="316" t="s">
        <v>1119</v>
      </c>
      <c r="I5" s="180"/>
      <c r="J5" s="190"/>
      <c r="K5" s="190"/>
      <c r="L5" s="190"/>
      <c r="M5" s="190"/>
      <c r="N5" s="190"/>
      <c r="O5" s="190"/>
      <c r="P5" s="190"/>
      <c r="Q5" s="190"/>
    </row>
    <row r="6" spans="1:17" s="3" customFormat="1" ht="49.5" customHeight="1">
      <c r="A6" s="321"/>
      <c r="B6" s="321"/>
      <c r="C6" s="321"/>
      <c r="D6" s="321"/>
      <c r="E6" s="321"/>
      <c r="F6" s="321"/>
      <c r="G6" s="317"/>
      <c r="H6" s="317"/>
      <c r="I6" s="180"/>
      <c r="J6" s="190"/>
      <c r="K6" s="190"/>
      <c r="L6" s="190"/>
      <c r="M6" s="190"/>
      <c r="N6" s="190"/>
      <c r="O6" s="190"/>
      <c r="P6" s="190"/>
      <c r="Q6" s="190"/>
    </row>
    <row r="7" spans="1:17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1">
        <v>7</v>
      </c>
      <c r="H7" s="71">
        <v>8</v>
      </c>
      <c r="I7" s="181"/>
      <c r="J7" s="190"/>
      <c r="K7" s="190"/>
      <c r="L7" s="190"/>
      <c r="M7" s="190"/>
      <c r="N7" s="190"/>
      <c r="O7" s="190"/>
      <c r="P7" s="190"/>
      <c r="Q7" s="190"/>
    </row>
    <row r="8" spans="1:17" s="117" customFormat="1" ht="48.75" customHeight="1">
      <c r="A8" s="298" t="s">
        <v>970</v>
      </c>
      <c r="B8" s="299">
        <v>757</v>
      </c>
      <c r="C8" s="299"/>
      <c r="D8" s="299"/>
      <c r="E8" s="300"/>
      <c r="F8" s="299"/>
      <c r="G8" s="301"/>
      <c r="H8" s="301"/>
      <c r="I8" s="182"/>
      <c r="J8" s="193"/>
      <c r="K8" s="193"/>
      <c r="L8" s="193"/>
      <c r="M8" s="193"/>
      <c r="N8" s="193"/>
      <c r="O8" s="193"/>
      <c r="P8" s="193"/>
      <c r="Q8" s="193"/>
    </row>
    <row r="9" spans="1:17">
      <c r="A9" s="252" t="s">
        <v>86</v>
      </c>
      <c r="B9" s="253">
        <v>757</v>
      </c>
      <c r="C9" s="254" t="s">
        <v>54</v>
      </c>
      <c r="D9" s="254"/>
      <c r="E9" s="254"/>
      <c r="F9" s="254"/>
      <c r="G9" s="251">
        <f>SUM(G10)</f>
        <v>161100</v>
      </c>
      <c r="H9" s="251">
        <f>SUM(H10)</f>
        <v>161100</v>
      </c>
      <c r="I9" s="182"/>
    </row>
    <row r="10" spans="1:17">
      <c r="A10" s="81" t="s">
        <v>87</v>
      </c>
      <c r="B10" s="145">
        <v>757</v>
      </c>
      <c r="C10" s="83" t="s">
        <v>54</v>
      </c>
      <c r="D10" s="83" t="s">
        <v>88</v>
      </c>
      <c r="E10" s="83"/>
      <c r="F10" s="83"/>
      <c r="G10" s="86">
        <f>G11</f>
        <v>161100</v>
      </c>
      <c r="H10" s="86">
        <f>H11</f>
        <v>161100</v>
      </c>
      <c r="I10" s="171"/>
    </row>
    <row r="11" spans="1:17" s="32" customFormat="1" ht="29.25" customHeight="1">
      <c r="A11" s="132" t="s">
        <v>463</v>
      </c>
      <c r="B11" s="145">
        <v>757</v>
      </c>
      <c r="C11" s="83" t="s">
        <v>54</v>
      </c>
      <c r="D11" s="83" t="s">
        <v>88</v>
      </c>
      <c r="E11" s="83" t="s">
        <v>202</v>
      </c>
      <c r="F11" s="83"/>
      <c r="G11" s="86">
        <f>G12+G17</f>
        <v>161100</v>
      </c>
      <c r="H11" s="86">
        <f>H12+H17</f>
        <v>161100</v>
      </c>
      <c r="I11" s="171"/>
      <c r="J11" s="194"/>
      <c r="K11" s="194"/>
      <c r="L11" s="194"/>
      <c r="M11" s="194"/>
      <c r="N11" s="194"/>
      <c r="O11" s="194"/>
      <c r="P11" s="194"/>
      <c r="Q11" s="194"/>
    </row>
    <row r="12" spans="1:17" s="32" customFormat="1" ht="27.75" customHeight="1">
      <c r="A12" s="132" t="s">
        <v>137</v>
      </c>
      <c r="B12" s="145">
        <v>757</v>
      </c>
      <c r="C12" s="83" t="s">
        <v>54</v>
      </c>
      <c r="D12" s="83" t="s">
        <v>88</v>
      </c>
      <c r="E12" s="83" t="s">
        <v>203</v>
      </c>
      <c r="F12" s="83"/>
      <c r="G12" s="86">
        <f>G15+G13</f>
        <v>161100</v>
      </c>
      <c r="H12" s="86">
        <f>H15+H13</f>
        <v>161100</v>
      </c>
      <c r="I12" s="171"/>
      <c r="J12" s="194"/>
      <c r="K12" s="194"/>
      <c r="L12" s="194"/>
      <c r="M12" s="194"/>
      <c r="N12" s="194"/>
      <c r="O12" s="194"/>
      <c r="P12" s="194"/>
      <c r="Q12" s="194"/>
    </row>
    <row r="13" spans="1:17" ht="33.75" hidden="1" customHeight="1">
      <c r="A13" s="81" t="s">
        <v>36</v>
      </c>
      <c r="B13" s="145">
        <v>757</v>
      </c>
      <c r="C13" s="83" t="s">
        <v>54</v>
      </c>
      <c r="D13" s="83" t="s">
        <v>88</v>
      </c>
      <c r="E13" s="83" t="s">
        <v>203</v>
      </c>
      <c r="F13" s="83" t="s">
        <v>37</v>
      </c>
      <c r="G13" s="86">
        <f>G14</f>
        <v>0</v>
      </c>
      <c r="H13" s="86">
        <f t="shared" ref="H13" si="0">H14</f>
        <v>0</v>
      </c>
      <c r="I13" s="171"/>
    </row>
    <row r="14" spans="1:17" ht="26.25" hidden="1" customHeight="1">
      <c r="A14" s="81" t="s">
        <v>38</v>
      </c>
      <c r="B14" s="145">
        <v>757</v>
      </c>
      <c r="C14" s="83" t="s">
        <v>54</v>
      </c>
      <c r="D14" s="83" t="s">
        <v>88</v>
      </c>
      <c r="E14" s="83" t="s">
        <v>203</v>
      </c>
      <c r="F14" s="83" t="s">
        <v>39</v>
      </c>
      <c r="G14" s="84">
        <f>75000-75000</f>
        <v>0</v>
      </c>
      <c r="H14" s="84"/>
      <c r="I14" s="172"/>
    </row>
    <row r="15" spans="1:17" ht="25.5">
      <c r="A15" s="81" t="s">
        <v>30</v>
      </c>
      <c r="B15" s="145">
        <v>757</v>
      </c>
      <c r="C15" s="83" t="s">
        <v>54</v>
      </c>
      <c r="D15" s="83" t="s">
        <v>88</v>
      </c>
      <c r="E15" s="83" t="s">
        <v>203</v>
      </c>
      <c r="F15" s="83" t="s">
        <v>31</v>
      </c>
      <c r="G15" s="84">
        <f t="shared" ref="G15:H15" si="1">G16</f>
        <v>161100</v>
      </c>
      <c r="H15" s="84">
        <f t="shared" si="1"/>
        <v>161100</v>
      </c>
      <c r="I15" s="172"/>
    </row>
    <row r="16" spans="1:17" ht="18" customHeight="1">
      <c r="A16" s="81" t="s">
        <v>32</v>
      </c>
      <c r="B16" s="145">
        <v>757</v>
      </c>
      <c r="C16" s="83" t="s">
        <v>54</v>
      </c>
      <c r="D16" s="83" t="s">
        <v>88</v>
      </c>
      <c r="E16" s="83" t="s">
        <v>203</v>
      </c>
      <c r="F16" s="83" t="s">
        <v>33</v>
      </c>
      <c r="G16" s="84">
        <f>86100+75000</f>
        <v>161100</v>
      </c>
      <c r="H16" s="84">
        <v>161100</v>
      </c>
      <c r="I16" s="172"/>
    </row>
    <row r="17" spans="1:16" ht="15" hidden="1" customHeight="1">
      <c r="A17" s="81" t="s">
        <v>496</v>
      </c>
      <c r="B17" s="145">
        <v>757</v>
      </c>
      <c r="C17" s="83" t="s">
        <v>54</v>
      </c>
      <c r="D17" s="83" t="s">
        <v>88</v>
      </c>
      <c r="E17" s="83" t="s">
        <v>495</v>
      </c>
      <c r="F17" s="83"/>
      <c r="G17" s="86">
        <f>G18</f>
        <v>0</v>
      </c>
      <c r="H17" s="86">
        <f t="shared" ref="H17" si="2">H18</f>
        <v>0</v>
      </c>
      <c r="I17" s="171"/>
    </row>
    <row r="18" spans="1:16" ht="35.25" hidden="1" customHeight="1">
      <c r="A18" s="81" t="s">
        <v>36</v>
      </c>
      <c r="B18" s="145">
        <v>757</v>
      </c>
      <c r="C18" s="83" t="s">
        <v>54</v>
      </c>
      <c r="D18" s="83" t="s">
        <v>88</v>
      </c>
      <c r="E18" s="83" t="s">
        <v>495</v>
      </c>
      <c r="F18" s="83" t="s">
        <v>37</v>
      </c>
      <c r="G18" s="86">
        <f>G19</f>
        <v>0</v>
      </c>
      <c r="H18" s="86">
        <f t="shared" ref="H18" si="3">H19</f>
        <v>0</v>
      </c>
      <c r="I18" s="171"/>
    </row>
    <row r="19" spans="1:16" ht="30" hidden="1" customHeight="1">
      <c r="A19" s="81" t="s">
        <v>38</v>
      </c>
      <c r="B19" s="145">
        <v>757</v>
      </c>
      <c r="C19" s="83" t="s">
        <v>54</v>
      </c>
      <c r="D19" s="83" t="s">
        <v>88</v>
      </c>
      <c r="E19" s="83" t="s">
        <v>495</v>
      </c>
      <c r="F19" s="83" t="s">
        <v>39</v>
      </c>
      <c r="G19" s="86"/>
      <c r="H19" s="86">
        <v>0</v>
      </c>
      <c r="I19" s="171"/>
    </row>
    <row r="20" spans="1:16" ht="16.5" customHeight="1">
      <c r="A20" s="252" t="s">
        <v>25</v>
      </c>
      <c r="B20" s="254">
        <v>757</v>
      </c>
      <c r="C20" s="254" t="s">
        <v>26</v>
      </c>
      <c r="D20" s="254"/>
      <c r="E20" s="254"/>
      <c r="F20" s="254"/>
      <c r="G20" s="95">
        <f>G101+G21</f>
        <v>30791821.18</v>
      </c>
      <c r="H20" s="95">
        <f>H101+H21</f>
        <v>30791005.539999999</v>
      </c>
      <c r="I20" s="183"/>
    </row>
    <row r="21" spans="1:16" ht="18.75" customHeight="1">
      <c r="A21" s="81" t="s">
        <v>95</v>
      </c>
      <c r="B21" s="145">
        <v>757</v>
      </c>
      <c r="C21" s="83" t="s">
        <v>26</v>
      </c>
      <c r="D21" s="83" t="s">
        <v>70</v>
      </c>
      <c r="E21" s="83"/>
      <c r="F21" s="145"/>
      <c r="G21" s="86">
        <f>G22+G84+G59+G80+G89</f>
        <v>30791821.18</v>
      </c>
      <c r="H21" s="86">
        <f>H22+H84+H59</f>
        <v>30791005.539999999</v>
      </c>
      <c r="I21" s="171"/>
    </row>
    <row r="22" spans="1:16" ht="35.25" customHeight="1">
      <c r="A22" s="81" t="s">
        <v>482</v>
      </c>
      <c r="B22" s="145">
        <v>757</v>
      </c>
      <c r="C22" s="83" t="s">
        <v>26</v>
      </c>
      <c r="D22" s="83" t="s">
        <v>70</v>
      </c>
      <c r="E22" s="83" t="s">
        <v>193</v>
      </c>
      <c r="F22" s="83"/>
      <c r="G22" s="86">
        <f>+G26+G56+G53+G41+G47+G44+G50+G74+G77+G38+G63+G66+G69+G29+G23+G35+G32</f>
        <v>28016836.18</v>
      </c>
      <c r="H22" s="86">
        <f>+H26+H56+H53+H41+H47+H44+H50+H74+H77+H38+H63+H66+H69+H29+H23+H35+H32</f>
        <v>28016836.18</v>
      </c>
      <c r="I22" s="171"/>
      <c r="P22" s="200"/>
    </row>
    <row r="23" spans="1:16" ht="38.25">
      <c r="A23" s="81" t="s">
        <v>663</v>
      </c>
      <c r="B23" s="145">
        <v>757</v>
      </c>
      <c r="C23" s="83" t="s">
        <v>26</v>
      </c>
      <c r="D23" s="83" t="s">
        <v>70</v>
      </c>
      <c r="E23" s="83" t="s">
        <v>848</v>
      </c>
      <c r="F23" s="83"/>
      <c r="G23" s="86">
        <f>G24</f>
        <v>0</v>
      </c>
      <c r="H23" s="86">
        <f t="shared" ref="H23" si="4">H24</f>
        <v>0</v>
      </c>
      <c r="I23" s="171"/>
    </row>
    <row r="24" spans="1:16" ht="25.5">
      <c r="A24" s="81" t="s">
        <v>30</v>
      </c>
      <c r="B24" s="145">
        <v>757</v>
      </c>
      <c r="C24" s="83" t="s">
        <v>26</v>
      </c>
      <c r="D24" s="83" t="s">
        <v>70</v>
      </c>
      <c r="E24" s="83" t="s">
        <v>848</v>
      </c>
      <c r="F24" s="83" t="s">
        <v>31</v>
      </c>
      <c r="G24" s="86">
        <f>G25</f>
        <v>0</v>
      </c>
      <c r="H24" s="86">
        <f>H25</f>
        <v>0</v>
      </c>
      <c r="I24" s="171"/>
    </row>
    <row r="25" spans="1:16" ht="19.5" customHeight="1">
      <c r="A25" s="81" t="s">
        <v>32</v>
      </c>
      <c r="B25" s="145">
        <v>757</v>
      </c>
      <c r="C25" s="83" t="s">
        <v>26</v>
      </c>
      <c r="D25" s="83" t="s">
        <v>70</v>
      </c>
      <c r="E25" s="83" t="s">
        <v>848</v>
      </c>
      <c r="F25" s="83" t="s">
        <v>33</v>
      </c>
      <c r="G25" s="86">
        <v>0</v>
      </c>
      <c r="H25" s="86">
        <v>0</v>
      </c>
      <c r="I25" s="171"/>
    </row>
    <row r="26" spans="1:16" ht="25.5">
      <c r="A26" s="81" t="s">
        <v>29</v>
      </c>
      <c r="B26" s="145">
        <v>757</v>
      </c>
      <c r="C26" s="83" t="s">
        <v>26</v>
      </c>
      <c r="D26" s="83" t="s">
        <v>70</v>
      </c>
      <c r="E26" s="83" t="s">
        <v>194</v>
      </c>
      <c r="F26" s="83"/>
      <c r="G26" s="86">
        <f>G27</f>
        <v>27684755.579999998</v>
      </c>
      <c r="H26" s="86">
        <f t="shared" ref="H26" si="5">H27</f>
        <v>27684755.579999998</v>
      </c>
      <c r="I26" s="171"/>
    </row>
    <row r="27" spans="1:16" ht="25.5">
      <c r="A27" s="81" t="s">
        <v>30</v>
      </c>
      <c r="B27" s="145">
        <v>757</v>
      </c>
      <c r="C27" s="83" t="s">
        <v>26</v>
      </c>
      <c r="D27" s="83" t="s">
        <v>70</v>
      </c>
      <c r="E27" s="83" t="s">
        <v>194</v>
      </c>
      <c r="F27" s="83" t="s">
        <v>31</v>
      </c>
      <c r="G27" s="86">
        <f>G28</f>
        <v>27684755.579999998</v>
      </c>
      <c r="H27" s="86">
        <f>H28</f>
        <v>27684755.579999998</v>
      </c>
      <c r="I27" s="171"/>
    </row>
    <row r="28" spans="1:16" ht="19.5" customHeight="1">
      <c r="A28" s="81" t="s">
        <v>32</v>
      </c>
      <c r="B28" s="145">
        <v>757</v>
      </c>
      <c r="C28" s="83" t="s">
        <v>26</v>
      </c>
      <c r="D28" s="83" t="s">
        <v>70</v>
      </c>
      <c r="E28" s="83" t="s">
        <v>194</v>
      </c>
      <c r="F28" s="83" t="s">
        <v>33</v>
      </c>
      <c r="G28" s="86">
        <f>27703550.58-18795</f>
        <v>27684755.579999998</v>
      </c>
      <c r="H28" s="86">
        <v>27684755.579999998</v>
      </c>
      <c r="I28" s="171"/>
    </row>
    <row r="29" spans="1:16" ht="25.5">
      <c r="A29" s="81" t="s">
        <v>846</v>
      </c>
      <c r="B29" s="145">
        <v>757</v>
      </c>
      <c r="C29" s="83" t="s">
        <v>26</v>
      </c>
      <c r="D29" s="83" t="s">
        <v>70</v>
      </c>
      <c r="E29" s="83" t="s">
        <v>845</v>
      </c>
      <c r="F29" s="83"/>
      <c r="G29" s="86">
        <f>G30</f>
        <v>106780.6</v>
      </c>
      <c r="H29" s="86">
        <f t="shared" ref="H29" si="6">H30</f>
        <v>106780.6</v>
      </c>
      <c r="I29" s="171"/>
    </row>
    <row r="30" spans="1:16" ht="25.5">
      <c r="A30" s="81" t="s">
        <v>30</v>
      </c>
      <c r="B30" s="145">
        <v>757</v>
      </c>
      <c r="C30" s="83" t="s">
        <v>26</v>
      </c>
      <c r="D30" s="83" t="s">
        <v>70</v>
      </c>
      <c r="E30" s="83" t="s">
        <v>845</v>
      </c>
      <c r="F30" s="83" t="s">
        <v>31</v>
      </c>
      <c r="G30" s="86">
        <f>G31</f>
        <v>106780.6</v>
      </c>
      <c r="H30" s="86">
        <f>H31</f>
        <v>106780.6</v>
      </c>
      <c r="I30" s="171"/>
    </row>
    <row r="31" spans="1:16" ht="19.5" customHeight="1">
      <c r="A31" s="81" t="s">
        <v>32</v>
      </c>
      <c r="B31" s="145">
        <v>757</v>
      </c>
      <c r="C31" s="83" t="s">
        <v>26</v>
      </c>
      <c r="D31" s="83" t="s">
        <v>70</v>
      </c>
      <c r="E31" s="83" t="s">
        <v>845</v>
      </c>
      <c r="F31" s="83" t="s">
        <v>33</v>
      </c>
      <c r="G31" s="86">
        <f>100000+6780.6</f>
        <v>106780.6</v>
      </c>
      <c r="H31" s="86">
        <v>106780.6</v>
      </c>
      <c r="I31" s="171"/>
    </row>
    <row r="32" spans="1:16">
      <c r="A32" s="81" t="s">
        <v>851</v>
      </c>
      <c r="B32" s="145">
        <v>757</v>
      </c>
      <c r="C32" s="83" t="s">
        <v>26</v>
      </c>
      <c r="D32" s="83" t="s">
        <v>70</v>
      </c>
      <c r="E32" s="83" t="s">
        <v>850</v>
      </c>
      <c r="F32" s="83"/>
      <c r="G32" s="86">
        <f>G33</f>
        <v>45000</v>
      </c>
      <c r="H32" s="86">
        <f t="shared" ref="H32" si="7">H33</f>
        <v>45000</v>
      </c>
      <c r="I32" s="171"/>
    </row>
    <row r="33" spans="1:11" ht="25.5">
      <c r="A33" s="81" t="s">
        <v>30</v>
      </c>
      <c r="B33" s="145">
        <v>757</v>
      </c>
      <c r="C33" s="83" t="s">
        <v>26</v>
      </c>
      <c r="D33" s="83" t="s">
        <v>70</v>
      </c>
      <c r="E33" s="83" t="s">
        <v>850</v>
      </c>
      <c r="F33" s="83" t="s">
        <v>31</v>
      </c>
      <c r="G33" s="86">
        <f>G34</f>
        <v>45000</v>
      </c>
      <c r="H33" s="86">
        <f>H34</f>
        <v>45000</v>
      </c>
      <c r="I33" s="171"/>
    </row>
    <row r="34" spans="1:11" ht="19.5" customHeight="1">
      <c r="A34" s="81" t="s">
        <v>32</v>
      </c>
      <c r="B34" s="145">
        <v>757</v>
      </c>
      <c r="C34" s="83" t="s">
        <v>26</v>
      </c>
      <c r="D34" s="83" t="s">
        <v>70</v>
      </c>
      <c r="E34" s="83" t="s">
        <v>850</v>
      </c>
      <c r="F34" s="83" t="s">
        <v>33</v>
      </c>
      <c r="G34" s="86">
        <v>45000</v>
      </c>
      <c r="H34" s="86">
        <v>45000</v>
      </c>
      <c r="I34" s="171"/>
    </row>
    <row r="35" spans="1:11" ht="25.5">
      <c r="A35" s="81" t="s">
        <v>849</v>
      </c>
      <c r="B35" s="145">
        <v>757</v>
      </c>
      <c r="C35" s="83" t="s">
        <v>26</v>
      </c>
      <c r="D35" s="83" t="s">
        <v>70</v>
      </c>
      <c r="E35" s="83" t="s">
        <v>861</v>
      </c>
      <c r="F35" s="83"/>
      <c r="G35" s="86">
        <f>G36</f>
        <v>55000</v>
      </c>
      <c r="H35" s="86">
        <f t="shared" ref="H35" si="8">H36</f>
        <v>55000</v>
      </c>
      <c r="I35" s="171"/>
    </row>
    <row r="36" spans="1:11" ht="25.5">
      <c r="A36" s="81" t="s">
        <v>30</v>
      </c>
      <c r="B36" s="145">
        <v>757</v>
      </c>
      <c r="C36" s="83" t="s">
        <v>26</v>
      </c>
      <c r="D36" s="83" t="s">
        <v>70</v>
      </c>
      <c r="E36" s="83" t="s">
        <v>861</v>
      </c>
      <c r="F36" s="83" t="s">
        <v>31</v>
      </c>
      <c r="G36" s="86">
        <f>G37</f>
        <v>55000</v>
      </c>
      <c r="H36" s="86">
        <f>H37</f>
        <v>55000</v>
      </c>
      <c r="I36" s="171"/>
    </row>
    <row r="37" spans="1:11" ht="19.5" customHeight="1">
      <c r="A37" s="81" t="s">
        <v>32</v>
      </c>
      <c r="B37" s="145">
        <v>757</v>
      </c>
      <c r="C37" s="83" t="s">
        <v>26</v>
      </c>
      <c r="D37" s="83" t="s">
        <v>70</v>
      </c>
      <c r="E37" s="83" t="s">
        <v>861</v>
      </c>
      <c r="F37" s="83" t="s">
        <v>33</v>
      </c>
      <c r="G37" s="86">
        <v>55000</v>
      </c>
      <c r="H37" s="86">
        <v>55000</v>
      </c>
      <c r="I37" s="171"/>
    </row>
    <row r="38" spans="1:11" ht="60" hidden="1" customHeight="1">
      <c r="A38" s="81" t="s">
        <v>663</v>
      </c>
      <c r="B38" s="145">
        <v>757</v>
      </c>
      <c r="C38" s="83" t="s">
        <v>26</v>
      </c>
      <c r="D38" s="83" t="s">
        <v>70</v>
      </c>
      <c r="E38" s="83" t="s">
        <v>664</v>
      </c>
      <c r="F38" s="83"/>
      <c r="G38" s="86">
        <f>G39</f>
        <v>0</v>
      </c>
      <c r="H38" s="86">
        <f t="shared" ref="H38:H39" si="9">H39</f>
        <v>0</v>
      </c>
      <c r="I38" s="171"/>
    </row>
    <row r="39" spans="1:11" ht="47.25" hidden="1" customHeight="1">
      <c r="A39" s="81" t="s">
        <v>30</v>
      </c>
      <c r="B39" s="145">
        <v>757</v>
      </c>
      <c r="C39" s="83" t="s">
        <v>26</v>
      </c>
      <c r="D39" s="83" t="s">
        <v>70</v>
      </c>
      <c r="E39" s="83" t="s">
        <v>664</v>
      </c>
      <c r="F39" s="83" t="s">
        <v>31</v>
      </c>
      <c r="G39" s="86">
        <f>G40</f>
        <v>0</v>
      </c>
      <c r="H39" s="86">
        <f t="shared" si="9"/>
        <v>0</v>
      </c>
      <c r="I39" s="171"/>
      <c r="J39" s="171"/>
      <c r="K39" s="171"/>
    </row>
    <row r="40" spans="1:11" ht="41.25" hidden="1" customHeight="1">
      <c r="A40" s="81" t="s">
        <v>32</v>
      </c>
      <c r="B40" s="145">
        <v>757</v>
      </c>
      <c r="C40" s="83" t="s">
        <v>26</v>
      </c>
      <c r="D40" s="83" t="s">
        <v>70</v>
      </c>
      <c r="E40" s="83" t="s">
        <v>664</v>
      </c>
      <c r="F40" s="83" t="s">
        <v>33</v>
      </c>
      <c r="G40" s="86"/>
      <c r="H40" s="86"/>
      <c r="I40" s="171"/>
    </row>
    <row r="41" spans="1:11" ht="36" hidden="1" customHeight="1">
      <c r="A41" s="81" t="s">
        <v>539</v>
      </c>
      <c r="B41" s="145">
        <v>757</v>
      </c>
      <c r="C41" s="83" t="s">
        <v>26</v>
      </c>
      <c r="D41" s="83" t="s">
        <v>70</v>
      </c>
      <c r="E41" s="83" t="s">
        <v>540</v>
      </c>
      <c r="F41" s="83"/>
      <c r="G41" s="86">
        <f>G43</f>
        <v>0</v>
      </c>
      <c r="H41" s="86">
        <v>0</v>
      </c>
      <c r="I41" s="171"/>
    </row>
    <row r="42" spans="1:11" ht="36" hidden="1" customHeight="1">
      <c r="A42" s="81" t="s">
        <v>30</v>
      </c>
      <c r="B42" s="145">
        <v>757</v>
      </c>
      <c r="C42" s="83" t="s">
        <v>26</v>
      </c>
      <c r="D42" s="83" t="s">
        <v>70</v>
      </c>
      <c r="E42" s="83" t="s">
        <v>540</v>
      </c>
      <c r="F42" s="83" t="s">
        <v>31</v>
      </c>
      <c r="G42" s="86">
        <f>G43</f>
        <v>0</v>
      </c>
      <c r="H42" s="86">
        <v>0</v>
      </c>
      <c r="I42" s="171"/>
    </row>
    <row r="43" spans="1:11" ht="19.5" hidden="1" customHeight="1">
      <c r="A43" s="81" t="s">
        <v>32</v>
      </c>
      <c r="B43" s="145">
        <v>757</v>
      </c>
      <c r="C43" s="83" t="s">
        <v>26</v>
      </c>
      <c r="D43" s="83" t="s">
        <v>70</v>
      </c>
      <c r="E43" s="83" t="s">
        <v>540</v>
      </c>
      <c r="F43" s="83" t="s">
        <v>33</v>
      </c>
      <c r="G43" s="86"/>
      <c r="H43" s="86">
        <v>0</v>
      </c>
      <c r="I43" s="171"/>
    </row>
    <row r="44" spans="1:11" ht="66" hidden="1" customHeight="1">
      <c r="A44" s="81" t="s">
        <v>535</v>
      </c>
      <c r="B44" s="145">
        <v>757</v>
      </c>
      <c r="C44" s="83" t="s">
        <v>26</v>
      </c>
      <c r="D44" s="83" t="s">
        <v>70</v>
      </c>
      <c r="E44" s="83" t="s">
        <v>623</v>
      </c>
      <c r="F44" s="83"/>
      <c r="G44" s="86">
        <f>G45</f>
        <v>0</v>
      </c>
      <c r="H44" s="86">
        <f t="shared" ref="H44:H45" si="10">H45</f>
        <v>0</v>
      </c>
      <c r="I44" s="171"/>
    </row>
    <row r="45" spans="1:11" ht="33.75" hidden="1" customHeight="1">
      <c r="A45" s="81" t="s">
        <v>30</v>
      </c>
      <c r="B45" s="145">
        <v>757</v>
      </c>
      <c r="C45" s="83" t="s">
        <v>26</v>
      </c>
      <c r="D45" s="83" t="s">
        <v>70</v>
      </c>
      <c r="E45" s="83" t="s">
        <v>623</v>
      </c>
      <c r="F45" s="83" t="s">
        <v>31</v>
      </c>
      <c r="G45" s="86">
        <f>G46</f>
        <v>0</v>
      </c>
      <c r="H45" s="86">
        <f t="shared" si="10"/>
        <v>0</v>
      </c>
      <c r="I45" s="171"/>
    </row>
    <row r="46" spans="1:11" ht="27.75" hidden="1" customHeight="1">
      <c r="A46" s="81" t="s">
        <v>32</v>
      </c>
      <c r="B46" s="145">
        <v>757</v>
      </c>
      <c r="C46" s="83" t="s">
        <v>26</v>
      </c>
      <c r="D46" s="83" t="s">
        <v>70</v>
      </c>
      <c r="E46" s="83" t="s">
        <v>623</v>
      </c>
      <c r="F46" s="83" t="s">
        <v>33</v>
      </c>
      <c r="G46" s="86"/>
      <c r="H46" s="86"/>
      <c r="I46" s="171"/>
    </row>
    <row r="47" spans="1:11" ht="78.75" customHeight="1">
      <c r="A47" s="81" t="s">
        <v>271</v>
      </c>
      <c r="B47" s="145">
        <v>757</v>
      </c>
      <c r="C47" s="83" t="s">
        <v>26</v>
      </c>
      <c r="D47" s="83" t="s">
        <v>70</v>
      </c>
      <c r="E47" s="83" t="s">
        <v>587</v>
      </c>
      <c r="F47" s="83"/>
      <c r="G47" s="86">
        <f>G49</f>
        <v>125300</v>
      </c>
      <c r="H47" s="86">
        <f>H49</f>
        <v>125300</v>
      </c>
      <c r="I47" s="171"/>
    </row>
    <row r="48" spans="1:11" ht="36" customHeight="1">
      <c r="A48" s="81" t="s">
        <v>30</v>
      </c>
      <c r="B48" s="145">
        <v>757</v>
      </c>
      <c r="C48" s="83" t="s">
        <v>26</v>
      </c>
      <c r="D48" s="83" t="s">
        <v>70</v>
      </c>
      <c r="E48" s="83" t="s">
        <v>587</v>
      </c>
      <c r="F48" s="83" t="s">
        <v>31</v>
      </c>
      <c r="G48" s="86">
        <f>G49</f>
        <v>125300</v>
      </c>
      <c r="H48" s="86">
        <f>H49</f>
        <v>125300</v>
      </c>
      <c r="I48" s="171"/>
    </row>
    <row r="49" spans="1:17" ht="19.5" customHeight="1">
      <c r="A49" s="81" t="s">
        <v>32</v>
      </c>
      <c r="B49" s="145">
        <v>757</v>
      </c>
      <c r="C49" s="83" t="s">
        <v>26</v>
      </c>
      <c r="D49" s="83" t="s">
        <v>70</v>
      </c>
      <c r="E49" s="83" t="s">
        <v>587</v>
      </c>
      <c r="F49" s="83" t="s">
        <v>33</v>
      </c>
      <c r="G49" s="86">
        <f>106505+18795</f>
        <v>125300</v>
      </c>
      <c r="H49" s="86">
        <v>125300</v>
      </c>
      <c r="I49" s="171"/>
    </row>
    <row r="50" spans="1:17" ht="81.75" hidden="1" customHeight="1">
      <c r="A50" s="81" t="s">
        <v>625</v>
      </c>
      <c r="B50" s="145">
        <v>757</v>
      </c>
      <c r="C50" s="83" t="s">
        <v>26</v>
      </c>
      <c r="D50" s="83" t="s">
        <v>70</v>
      </c>
      <c r="E50" s="83" t="s">
        <v>624</v>
      </c>
      <c r="F50" s="83"/>
      <c r="G50" s="86">
        <f>G51</f>
        <v>0</v>
      </c>
      <c r="H50" s="86">
        <f t="shared" ref="H50:H51" si="11">H51</f>
        <v>0</v>
      </c>
      <c r="I50" s="171"/>
    </row>
    <row r="51" spans="1:17" ht="47.25" hidden="1" customHeight="1">
      <c r="A51" s="81" t="s">
        <v>96</v>
      </c>
      <c r="B51" s="145">
        <v>757</v>
      </c>
      <c r="C51" s="83" t="s">
        <v>26</v>
      </c>
      <c r="D51" s="83" t="s">
        <v>70</v>
      </c>
      <c r="E51" s="83" t="s">
        <v>624</v>
      </c>
      <c r="F51" s="83" t="s">
        <v>348</v>
      </c>
      <c r="G51" s="86">
        <f>G52</f>
        <v>0</v>
      </c>
      <c r="H51" s="86">
        <f t="shared" si="11"/>
        <v>0</v>
      </c>
      <c r="I51" s="171"/>
    </row>
    <row r="52" spans="1:17" ht="98.25" hidden="1" customHeight="1">
      <c r="A52" s="129" t="s">
        <v>419</v>
      </c>
      <c r="B52" s="145">
        <v>757</v>
      </c>
      <c r="C52" s="83" t="s">
        <v>26</v>
      </c>
      <c r="D52" s="83" t="s">
        <v>70</v>
      </c>
      <c r="E52" s="83" t="s">
        <v>624</v>
      </c>
      <c r="F52" s="83" t="s">
        <v>418</v>
      </c>
      <c r="G52" s="86"/>
      <c r="H52" s="86">
        <v>0</v>
      </c>
      <c r="I52" s="171"/>
    </row>
    <row r="53" spans="1:17" ht="19.5" hidden="1" customHeight="1">
      <c r="A53" s="81" t="s">
        <v>392</v>
      </c>
      <c r="B53" s="145">
        <v>757</v>
      </c>
      <c r="C53" s="83" t="s">
        <v>26</v>
      </c>
      <c r="D53" s="83" t="s">
        <v>70</v>
      </c>
      <c r="E53" s="83" t="s">
        <v>126</v>
      </c>
      <c r="F53" s="83"/>
      <c r="G53" s="86">
        <f>G54</f>
        <v>0</v>
      </c>
      <c r="H53" s="86">
        <v>0</v>
      </c>
      <c r="I53" s="171"/>
    </row>
    <row r="54" spans="1:17" ht="39.75" hidden="1" customHeight="1">
      <c r="A54" s="81" t="s">
        <v>30</v>
      </c>
      <c r="B54" s="145">
        <v>757</v>
      </c>
      <c r="C54" s="83" t="s">
        <v>26</v>
      </c>
      <c r="D54" s="83" t="s">
        <v>70</v>
      </c>
      <c r="E54" s="83" t="s">
        <v>126</v>
      </c>
      <c r="F54" s="83" t="s">
        <v>31</v>
      </c>
      <c r="G54" s="86">
        <f>G55</f>
        <v>0</v>
      </c>
      <c r="H54" s="86">
        <v>0</v>
      </c>
      <c r="I54" s="171"/>
    </row>
    <row r="55" spans="1:17" ht="20.25" hidden="1" customHeight="1">
      <c r="A55" s="81" t="s">
        <v>32</v>
      </c>
      <c r="B55" s="145">
        <v>757</v>
      </c>
      <c r="C55" s="83" t="s">
        <v>26</v>
      </c>
      <c r="D55" s="83" t="s">
        <v>70</v>
      </c>
      <c r="E55" s="83" t="s">
        <v>126</v>
      </c>
      <c r="F55" s="83" t="s">
        <v>33</v>
      </c>
      <c r="G55" s="86"/>
      <c r="H55" s="86">
        <v>0</v>
      </c>
      <c r="I55" s="171"/>
    </row>
    <row r="56" spans="1:17" ht="87.75" hidden="1" customHeight="1">
      <c r="A56" s="81" t="s">
        <v>506</v>
      </c>
      <c r="B56" s="145">
        <v>757</v>
      </c>
      <c r="C56" s="83" t="s">
        <v>26</v>
      </c>
      <c r="D56" s="83" t="s">
        <v>70</v>
      </c>
      <c r="E56" s="83" t="s">
        <v>507</v>
      </c>
      <c r="F56" s="83"/>
      <c r="G56" s="86">
        <f>G57</f>
        <v>0</v>
      </c>
      <c r="H56" s="86">
        <f t="shared" ref="H56" si="12">H57</f>
        <v>0</v>
      </c>
      <c r="I56" s="171"/>
    </row>
    <row r="57" spans="1:17" ht="45" hidden="1" customHeight="1">
      <c r="A57" s="81" t="s">
        <v>30</v>
      </c>
      <c r="B57" s="145">
        <v>757</v>
      </c>
      <c r="C57" s="83" t="s">
        <v>26</v>
      </c>
      <c r="D57" s="83" t="s">
        <v>70</v>
      </c>
      <c r="E57" s="83" t="s">
        <v>507</v>
      </c>
      <c r="F57" s="83" t="s">
        <v>31</v>
      </c>
      <c r="G57" s="86">
        <f>G58</f>
        <v>0</v>
      </c>
      <c r="H57" s="86">
        <f t="shared" ref="H57" si="13">H58</f>
        <v>0</v>
      </c>
      <c r="I57" s="171"/>
      <c r="J57" s="171"/>
      <c r="K57" s="171"/>
    </row>
    <row r="58" spans="1:17" ht="19.5" hidden="1" customHeight="1">
      <c r="A58" s="81" t="s">
        <v>32</v>
      </c>
      <c r="B58" s="145">
        <v>757</v>
      </c>
      <c r="C58" s="83" t="s">
        <v>26</v>
      </c>
      <c r="D58" s="83" t="s">
        <v>70</v>
      </c>
      <c r="E58" s="83" t="s">
        <v>507</v>
      </c>
      <c r="F58" s="83" t="s">
        <v>33</v>
      </c>
      <c r="G58" s="86">
        <v>0</v>
      </c>
      <c r="H58" s="86"/>
      <c r="I58" s="171"/>
    </row>
    <row r="59" spans="1:17" s="18" customFormat="1" ht="51" hidden="1">
      <c r="A59" s="81" t="s">
        <v>508</v>
      </c>
      <c r="B59" s="145">
        <v>757</v>
      </c>
      <c r="C59" s="83" t="s">
        <v>26</v>
      </c>
      <c r="D59" s="83" t="s">
        <v>70</v>
      </c>
      <c r="E59" s="83" t="s">
        <v>214</v>
      </c>
      <c r="F59" s="83"/>
      <c r="G59" s="86">
        <f>G60</f>
        <v>0</v>
      </c>
      <c r="H59" s="86">
        <f>H60</f>
        <v>0</v>
      </c>
      <c r="I59" s="171"/>
      <c r="J59" s="191"/>
      <c r="K59" s="191"/>
      <c r="L59" s="191"/>
      <c r="M59" s="191"/>
      <c r="N59" s="191"/>
      <c r="O59" s="191"/>
      <c r="P59" s="191"/>
      <c r="Q59" s="191"/>
    </row>
    <row r="60" spans="1:17" s="18" customFormat="1" ht="38.25" hidden="1">
      <c r="A60" s="81" t="s">
        <v>598</v>
      </c>
      <c r="B60" s="145">
        <v>757</v>
      </c>
      <c r="C60" s="83" t="s">
        <v>26</v>
      </c>
      <c r="D60" s="83" t="s">
        <v>70</v>
      </c>
      <c r="E60" s="83" t="s">
        <v>579</v>
      </c>
      <c r="F60" s="83"/>
      <c r="G60" s="86">
        <f>G61</f>
        <v>0</v>
      </c>
      <c r="H60" s="86">
        <f t="shared" ref="H60:H61" si="14">H61</f>
        <v>0</v>
      </c>
      <c r="I60" s="171"/>
      <c r="J60" s="191"/>
      <c r="K60" s="191"/>
      <c r="L60" s="191"/>
      <c r="M60" s="191"/>
      <c r="N60" s="191"/>
      <c r="O60" s="191"/>
      <c r="P60" s="191"/>
      <c r="Q60" s="191"/>
    </row>
    <row r="61" spans="1:17" s="18" customFormat="1" ht="36" hidden="1" customHeight="1">
      <c r="A61" s="81" t="s">
        <v>96</v>
      </c>
      <c r="B61" s="145">
        <v>757</v>
      </c>
      <c r="C61" s="83" t="s">
        <v>26</v>
      </c>
      <c r="D61" s="83" t="s">
        <v>70</v>
      </c>
      <c r="E61" s="83" t="s">
        <v>579</v>
      </c>
      <c r="F61" s="83" t="s">
        <v>348</v>
      </c>
      <c r="G61" s="86">
        <f>G62</f>
        <v>0</v>
      </c>
      <c r="H61" s="86">
        <f t="shared" si="14"/>
        <v>0</v>
      </c>
      <c r="I61" s="171"/>
      <c r="J61" s="191"/>
      <c r="K61" s="191"/>
      <c r="L61" s="191"/>
      <c r="M61" s="191"/>
      <c r="N61" s="191"/>
      <c r="O61" s="191"/>
      <c r="P61" s="191"/>
      <c r="Q61" s="191"/>
    </row>
    <row r="62" spans="1:17" s="18" customFormat="1" ht="99" hidden="1" customHeight="1">
      <c r="A62" s="129" t="s">
        <v>419</v>
      </c>
      <c r="B62" s="145">
        <v>757</v>
      </c>
      <c r="C62" s="83" t="s">
        <v>26</v>
      </c>
      <c r="D62" s="83" t="s">
        <v>70</v>
      </c>
      <c r="E62" s="83" t="s">
        <v>579</v>
      </c>
      <c r="F62" s="83" t="s">
        <v>418</v>
      </c>
      <c r="G62" s="86">
        <v>0</v>
      </c>
      <c r="H62" s="86"/>
      <c r="I62" s="171"/>
      <c r="J62" s="191"/>
      <c r="K62" s="191"/>
      <c r="L62" s="191"/>
      <c r="M62" s="191"/>
      <c r="N62" s="191"/>
      <c r="O62" s="191"/>
      <c r="P62" s="191"/>
      <c r="Q62" s="191"/>
    </row>
    <row r="63" spans="1:17" ht="27.75" hidden="1" customHeight="1">
      <c r="A63" s="81" t="s">
        <v>745</v>
      </c>
      <c r="B63" s="145">
        <v>757</v>
      </c>
      <c r="C63" s="83" t="s">
        <v>26</v>
      </c>
      <c r="D63" s="83" t="s">
        <v>70</v>
      </c>
      <c r="E63" s="83" t="s">
        <v>744</v>
      </c>
      <c r="F63" s="83"/>
      <c r="G63" s="86">
        <f>G64</f>
        <v>0</v>
      </c>
      <c r="H63" s="86">
        <f t="shared" ref="H63:H64" si="15">H64</f>
        <v>0</v>
      </c>
      <c r="I63" s="171"/>
    </row>
    <row r="64" spans="1:17" ht="45.75" hidden="1" customHeight="1">
      <c r="A64" s="81" t="s">
        <v>30</v>
      </c>
      <c r="B64" s="145">
        <v>757</v>
      </c>
      <c r="C64" s="83" t="s">
        <v>26</v>
      </c>
      <c r="D64" s="83" t="s">
        <v>70</v>
      </c>
      <c r="E64" s="83" t="s">
        <v>744</v>
      </c>
      <c r="F64" s="83" t="s">
        <v>31</v>
      </c>
      <c r="G64" s="86">
        <f>G65</f>
        <v>0</v>
      </c>
      <c r="H64" s="86">
        <f t="shared" si="15"/>
        <v>0</v>
      </c>
      <c r="I64" s="171"/>
      <c r="J64" s="171"/>
      <c r="K64" s="171"/>
    </row>
    <row r="65" spans="1:17" ht="45.75" hidden="1" customHeight="1">
      <c r="A65" s="81" t="s">
        <v>32</v>
      </c>
      <c r="B65" s="145">
        <v>757</v>
      </c>
      <c r="C65" s="83" t="s">
        <v>26</v>
      </c>
      <c r="D65" s="83" t="s">
        <v>70</v>
      </c>
      <c r="E65" s="83" t="s">
        <v>744</v>
      </c>
      <c r="F65" s="83" t="s">
        <v>33</v>
      </c>
      <c r="G65" s="86"/>
      <c r="H65" s="86"/>
      <c r="I65" s="171"/>
    </row>
    <row r="66" spans="1:17" ht="101.25" hidden="1" customHeight="1">
      <c r="A66" s="81" t="s">
        <v>271</v>
      </c>
      <c r="B66" s="145">
        <v>757</v>
      </c>
      <c r="C66" s="83" t="s">
        <v>26</v>
      </c>
      <c r="D66" s="83" t="s">
        <v>70</v>
      </c>
      <c r="E66" s="83" t="s">
        <v>765</v>
      </c>
      <c r="F66" s="83"/>
      <c r="G66" s="86">
        <f>G67</f>
        <v>0</v>
      </c>
      <c r="H66" s="86">
        <f t="shared" ref="H66:H72" si="16">H67</f>
        <v>0</v>
      </c>
      <c r="I66" s="171"/>
    </row>
    <row r="67" spans="1:17" ht="47.25" hidden="1" customHeight="1">
      <c r="A67" s="81" t="s">
        <v>30</v>
      </c>
      <c r="B67" s="145">
        <v>757</v>
      </c>
      <c r="C67" s="83" t="s">
        <v>26</v>
      </c>
      <c r="D67" s="83" t="s">
        <v>70</v>
      </c>
      <c r="E67" s="83" t="s">
        <v>765</v>
      </c>
      <c r="F67" s="83" t="s">
        <v>31</v>
      </c>
      <c r="G67" s="86">
        <f>G68</f>
        <v>0</v>
      </c>
      <c r="H67" s="86">
        <f t="shared" si="16"/>
        <v>0</v>
      </c>
      <c r="I67" s="171"/>
      <c r="J67" s="171"/>
      <c r="K67" s="171"/>
    </row>
    <row r="68" spans="1:17" ht="41.25" hidden="1" customHeight="1">
      <c r="A68" s="81" t="s">
        <v>32</v>
      </c>
      <c r="B68" s="145">
        <v>757</v>
      </c>
      <c r="C68" s="83" t="s">
        <v>26</v>
      </c>
      <c r="D68" s="83" t="s">
        <v>70</v>
      </c>
      <c r="E68" s="83" t="s">
        <v>765</v>
      </c>
      <c r="F68" s="83" t="s">
        <v>33</v>
      </c>
      <c r="G68" s="86"/>
      <c r="H68" s="86">
        <v>0</v>
      </c>
      <c r="I68" s="171"/>
    </row>
    <row r="69" spans="1:17" ht="101.25" hidden="1" customHeight="1">
      <c r="A69" s="81" t="s">
        <v>271</v>
      </c>
      <c r="B69" s="145">
        <v>757</v>
      </c>
      <c r="C69" s="83" t="s">
        <v>26</v>
      </c>
      <c r="D69" s="83" t="s">
        <v>70</v>
      </c>
      <c r="E69" s="83" t="s">
        <v>587</v>
      </c>
      <c r="F69" s="83"/>
      <c r="G69" s="86">
        <f>G70+G72</f>
        <v>0</v>
      </c>
      <c r="H69" s="86">
        <f t="shared" si="16"/>
        <v>0</v>
      </c>
      <c r="I69" s="171"/>
    </row>
    <row r="70" spans="1:17" ht="47.25" hidden="1" customHeight="1">
      <c r="A70" s="81" t="s">
        <v>30</v>
      </c>
      <c r="B70" s="145">
        <v>757</v>
      </c>
      <c r="C70" s="83" t="s">
        <v>26</v>
      </c>
      <c r="D70" s="83" t="s">
        <v>70</v>
      </c>
      <c r="E70" s="83" t="s">
        <v>587</v>
      </c>
      <c r="F70" s="83" t="s">
        <v>31</v>
      </c>
      <c r="G70" s="86">
        <f>G71</f>
        <v>0</v>
      </c>
      <c r="H70" s="86">
        <f t="shared" si="16"/>
        <v>0</v>
      </c>
      <c r="I70" s="171"/>
      <c r="J70" s="171"/>
      <c r="K70" s="171"/>
    </row>
    <row r="71" spans="1:17" ht="41.25" hidden="1" customHeight="1">
      <c r="A71" s="81" t="s">
        <v>32</v>
      </c>
      <c r="B71" s="145">
        <v>757</v>
      </c>
      <c r="C71" s="83" t="s">
        <v>26</v>
      </c>
      <c r="D71" s="83" t="s">
        <v>70</v>
      </c>
      <c r="E71" s="83" t="s">
        <v>587</v>
      </c>
      <c r="F71" s="83" t="s">
        <v>33</v>
      </c>
      <c r="G71" s="86"/>
      <c r="H71" s="86"/>
      <c r="I71" s="171"/>
    </row>
    <row r="72" spans="1:17" ht="47.25" hidden="1" customHeight="1">
      <c r="A72" s="81" t="s">
        <v>63</v>
      </c>
      <c r="B72" s="145">
        <v>757</v>
      </c>
      <c r="C72" s="83" t="s">
        <v>26</v>
      </c>
      <c r="D72" s="83" t="s">
        <v>70</v>
      </c>
      <c r="E72" s="83" t="s">
        <v>587</v>
      </c>
      <c r="F72" s="83" t="s">
        <v>64</v>
      </c>
      <c r="G72" s="86">
        <f>G73</f>
        <v>0</v>
      </c>
      <c r="H72" s="86">
        <f t="shared" si="16"/>
        <v>0</v>
      </c>
      <c r="I72" s="171"/>
      <c r="J72" s="171"/>
      <c r="K72" s="171"/>
    </row>
    <row r="73" spans="1:17" ht="41.25" hidden="1" customHeight="1">
      <c r="A73" s="81" t="s">
        <v>180</v>
      </c>
      <c r="B73" s="145">
        <v>757</v>
      </c>
      <c r="C73" s="83" t="s">
        <v>26</v>
      </c>
      <c r="D73" s="83" t="s">
        <v>70</v>
      </c>
      <c r="E73" s="83" t="s">
        <v>587</v>
      </c>
      <c r="F73" s="83" t="s">
        <v>181</v>
      </c>
      <c r="G73" s="86"/>
      <c r="H73" s="86"/>
      <c r="I73" s="171"/>
    </row>
    <row r="74" spans="1:17" ht="84" hidden="1" customHeight="1">
      <c r="A74" s="81" t="s">
        <v>506</v>
      </c>
      <c r="B74" s="145">
        <v>757</v>
      </c>
      <c r="C74" s="83" t="s">
        <v>26</v>
      </c>
      <c r="D74" s="83" t="s">
        <v>70</v>
      </c>
      <c r="E74" s="83" t="s">
        <v>681</v>
      </c>
      <c r="F74" s="83"/>
      <c r="G74" s="86">
        <f>G75</f>
        <v>0</v>
      </c>
      <c r="H74" s="86">
        <v>0</v>
      </c>
      <c r="I74" s="171"/>
    </row>
    <row r="75" spans="1:17" ht="60" hidden="1" customHeight="1">
      <c r="A75" s="81" t="s">
        <v>30</v>
      </c>
      <c r="B75" s="145">
        <v>757</v>
      </c>
      <c r="C75" s="83" t="s">
        <v>26</v>
      </c>
      <c r="D75" s="83" t="s">
        <v>70</v>
      </c>
      <c r="E75" s="83" t="s">
        <v>681</v>
      </c>
      <c r="F75" s="83" t="s">
        <v>31</v>
      </c>
      <c r="G75" s="86">
        <f>G76</f>
        <v>0</v>
      </c>
      <c r="H75" s="86">
        <v>0</v>
      </c>
      <c r="I75" s="171"/>
      <c r="J75" s="171"/>
      <c r="K75" s="171"/>
    </row>
    <row r="76" spans="1:17" ht="60" hidden="1" customHeight="1">
      <c r="A76" s="81" t="s">
        <v>32</v>
      </c>
      <c r="B76" s="145">
        <v>757</v>
      </c>
      <c r="C76" s="83" t="s">
        <v>26</v>
      </c>
      <c r="D76" s="83" t="s">
        <v>70</v>
      </c>
      <c r="E76" s="83" t="s">
        <v>681</v>
      </c>
      <c r="F76" s="83" t="s">
        <v>33</v>
      </c>
      <c r="G76" s="86"/>
      <c r="H76" s="86"/>
      <c r="I76" s="171"/>
    </row>
    <row r="77" spans="1:17" ht="84" hidden="1" customHeight="1">
      <c r="A77" s="81" t="s">
        <v>683</v>
      </c>
      <c r="B77" s="145">
        <v>757</v>
      </c>
      <c r="C77" s="83" t="s">
        <v>26</v>
      </c>
      <c r="D77" s="83" t="s">
        <v>70</v>
      </c>
      <c r="E77" s="83" t="s">
        <v>682</v>
      </c>
      <c r="F77" s="83"/>
      <c r="G77" s="86">
        <f>G78</f>
        <v>0</v>
      </c>
      <c r="H77" s="86">
        <f>H78</f>
        <v>0</v>
      </c>
      <c r="I77" s="171"/>
    </row>
    <row r="78" spans="1:17" ht="60" hidden="1" customHeight="1">
      <c r="A78" s="81" t="s">
        <v>30</v>
      </c>
      <c r="B78" s="145">
        <v>757</v>
      </c>
      <c r="C78" s="83" t="s">
        <v>26</v>
      </c>
      <c r="D78" s="83" t="s">
        <v>70</v>
      </c>
      <c r="E78" s="83" t="s">
        <v>682</v>
      </c>
      <c r="F78" s="83" t="s">
        <v>31</v>
      </c>
      <c r="G78" s="86">
        <f>G79</f>
        <v>0</v>
      </c>
      <c r="H78" s="86">
        <f t="shared" ref="H78" si="17">H79</f>
        <v>0</v>
      </c>
      <c r="I78" s="171"/>
      <c r="J78" s="171"/>
      <c r="K78" s="171"/>
    </row>
    <row r="79" spans="1:17" ht="60" hidden="1" customHeight="1">
      <c r="A79" s="81" t="s">
        <v>32</v>
      </c>
      <c r="B79" s="145">
        <v>757</v>
      </c>
      <c r="C79" s="83" t="s">
        <v>26</v>
      </c>
      <c r="D79" s="83" t="s">
        <v>70</v>
      </c>
      <c r="E79" s="83" t="s">
        <v>682</v>
      </c>
      <c r="F79" s="83" t="s">
        <v>33</v>
      </c>
      <c r="G79" s="86"/>
      <c r="H79" s="86"/>
      <c r="I79" s="171"/>
    </row>
    <row r="80" spans="1:17" s="28" customFormat="1" ht="28.5" customHeight="1">
      <c r="A80" s="135" t="s">
        <v>479</v>
      </c>
      <c r="B80" s="145">
        <v>757</v>
      </c>
      <c r="C80" s="83" t="s">
        <v>26</v>
      </c>
      <c r="D80" s="83" t="s">
        <v>70</v>
      </c>
      <c r="E80" s="83" t="s">
        <v>195</v>
      </c>
      <c r="F80" s="83"/>
      <c r="G80" s="86">
        <f>G81</f>
        <v>0</v>
      </c>
      <c r="H80" s="86">
        <f>H81</f>
        <v>0</v>
      </c>
      <c r="I80" s="171"/>
      <c r="J80" s="195"/>
      <c r="K80" s="195"/>
      <c r="L80" s="195"/>
      <c r="M80" s="195"/>
      <c r="N80" s="195"/>
      <c r="O80" s="195"/>
      <c r="P80" s="195"/>
      <c r="Q80" s="195"/>
    </row>
    <row r="81" spans="1:17" s="28" customFormat="1" ht="27.75" customHeight="1">
      <c r="A81" s="135" t="s">
        <v>696</v>
      </c>
      <c r="B81" s="145">
        <v>757</v>
      </c>
      <c r="C81" s="83" t="s">
        <v>26</v>
      </c>
      <c r="D81" s="83" t="s">
        <v>70</v>
      </c>
      <c r="E81" s="83" t="s">
        <v>695</v>
      </c>
      <c r="F81" s="83"/>
      <c r="G81" s="86">
        <f>G82</f>
        <v>0</v>
      </c>
      <c r="H81" s="86">
        <f t="shared" ref="H81" si="18">H82</f>
        <v>0</v>
      </c>
      <c r="I81" s="171"/>
      <c r="J81" s="195"/>
      <c r="K81" s="195"/>
      <c r="L81" s="195"/>
      <c r="M81" s="195"/>
      <c r="N81" s="195"/>
      <c r="O81" s="195"/>
      <c r="P81" s="195"/>
      <c r="Q81" s="195"/>
    </row>
    <row r="82" spans="1:17" s="32" customFormat="1" ht="28.5" customHeight="1">
      <c r="A82" s="81" t="s">
        <v>30</v>
      </c>
      <c r="B82" s="145">
        <v>757</v>
      </c>
      <c r="C82" s="83" t="s">
        <v>26</v>
      </c>
      <c r="D82" s="83" t="s">
        <v>70</v>
      </c>
      <c r="E82" s="83" t="s">
        <v>695</v>
      </c>
      <c r="F82" s="83" t="s">
        <v>31</v>
      </c>
      <c r="G82" s="86">
        <f>G83</f>
        <v>0</v>
      </c>
      <c r="H82" s="86">
        <f>H83</f>
        <v>0</v>
      </c>
      <c r="I82" s="171"/>
      <c r="J82" s="194"/>
      <c r="K82" s="194"/>
      <c r="L82" s="194"/>
      <c r="M82" s="194"/>
      <c r="N82" s="194"/>
      <c r="O82" s="194"/>
      <c r="P82" s="194"/>
      <c r="Q82" s="194"/>
    </row>
    <row r="83" spans="1:17" s="32" customFormat="1">
      <c r="A83" s="81" t="s">
        <v>32</v>
      </c>
      <c r="B83" s="145">
        <v>757</v>
      </c>
      <c r="C83" s="83" t="s">
        <v>26</v>
      </c>
      <c r="D83" s="83" t="s">
        <v>70</v>
      </c>
      <c r="E83" s="83" t="s">
        <v>695</v>
      </c>
      <c r="F83" s="83" t="s">
        <v>33</v>
      </c>
      <c r="G83" s="86"/>
      <c r="H83" s="86"/>
      <c r="I83" s="171"/>
      <c r="J83" s="196"/>
      <c r="K83" s="194"/>
      <c r="L83" s="194"/>
      <c r="M83" s="194"/>
      <c r="N83" s="194"/>
      <c r="O83" s="194"/>
      <c r="P83" s="194"/>
      <c r="Q83" s="194"/>
    </row>
    <row r="84" spans="1:17" ht="32.25" customHeight="1">
      <c r="A84" s="81" t="s">
        <v>473</v>
      </c>
      <c r="B84" s="145">
        <v>757</v>
      </c>
      <c r="C84" s="83" t="s">
        <v>26</v>
      </c>
      <c r="D84" s="83" t="s">
        <v>70</v>
      </c>
      <c r="E84" s="83" t="s">
        <v>396</v>
      </c>
      <c r="F84" s="83"/>
      <c r="G84" s="86">
        <f>G86</f>
        <v>2774985</v>
      </c>
      <c r="H84" s="86">
        <f>H86</f>
        <v>2774169.36</v>
      </c>
      <c r="I84" s="171"/>
    </row>
    <row r="85" spans="1:17" ht="32.25" customHeight="1">
      <c r="A85" s="81" t="s">
        <v>90</v>
      </c>
      <c r="B85" s="145">
        <v>757</v>
      </c>
      <c r="C85" s="83" t="s">
        <v>26</v>
      </c>
      <c r="D85" s="83" t="s">
        <v>70</v>
      </c>
      <c r="E85" s="83" t="s">
        <v>903</v>
      </c>
      <c r="F85" s="83"/>
      <c r="G85" s="86">
        <f t="shared" ref="G85:H87" si="19">G86</f>
        <v>2774985</v>
      </c>
      <c r="H85" s="86">
        <f t="shared" si="19"/>
        <v>2774169.36</v>
      </c>
      <c r="I85" s="171"/>
    </row>
    <row r="86" spans="1:17" ht="51">
      <c r="A86" s="81" t="s">
        <v>3</v>
      </c>
      <c r="B86" s="145">
        <v>757</v>
      </c>
      <c r="C86" s="83" t="s">
        <v>26</v>
      </c>
      <c r="D86" s="83" t="s">
        <v>70</v>
      </c>
      <c r="E86" s="83" t="s">
        <v>903</v>
      </c>
      <c r="F86" s="83"/>
      <c r="G86" s="86">
        <f t="shared" si="19"/>
        <v>2774985</v>
      </c>
      <c r="H86" s="86">
        <f t="shared" si="19"/>
        <v>2774169.36</v>
      </c>
      <c r="I86" s="171"/>
    </row>
    <row r="87" spans="1:17" ht="25.5">
      <c r="A87" s="81" t="s">
        <v>30</v>
      </c>
      <c r="B87" s="145">
        <v>757</v>
      </c>
      <c r="C87" s="83" t="s">
        <v>26</v>
      </c>
      <c r="D87" s="83" t="s">
        <v>70</v>
      </c>
      <c r="E87" s="83" t="s">
        <v>903</v>
      </c>
      <c r="F87" s="83" t="s">
        <v>31</v>
      </c>
      <c r="G87" s="86">
        <f t="shared" si="19"/>
        <v>2774985</v>
      </c>
      <c r="H87" s="86">
        <f t="shared" si="19"/>
        <v>2774169.36</v>
      </c>
      <c r="I87" s="171"/>
    </row>
    <row r="88" spans="1:17" ht="19.5" customHeight="1">
      <c r="A88" s="81" t="s">
        <v>32</v>
      </c>
      <c r="B88" s="145">
        <v>757</v>
      </c>
      <c r="C88" s="83" t="s">
        <v>26</v>
      </c>
      <c r="D88" s="83" t="s">
        <v>70</v>
      </c>
      <c r="E88" s="83" t="s">
        <v>903</v>
      </c>
      <c r="F88" s="83" t="s">
        <v>33</v>
      </c>
      <c r="G88" s="86">
        <v>2774985</v>
      </c>
      <c r="H88" s="86">
        <v>2774169.36</v>
      </c>
      <c r="I88" s="171"/>
    </row>
    <row r="89" spans="1:17" s="161" customFormat="1" ht="30.75" hidden="1" customHeight="1">
      <c r="A89" s="135" t="s">
        <v>272</v>
      </c>
      <c r="B89" s="255">
        <v>757</v>
      </c>
      <c r="C89" s="83" t="s">
        <v>26</v>
      </c>
      <c r="D89" s="83" t="s">
        <v>70</v>
      </c>
      <c r="E89" s="83" t="s">
        <v>565</v>
      </c>
      <c r="F89" s="83"/>
      <c r="G89" s="86">
        <f>G90</f>
        <v>0</v>
      </c>
      <c r="H89" s="256">
        <v>0</v>
      </c>
      <c r="I89" s="184"/>
      <c r="J89" s="197"/>
      <c r="K89" s="197"/>
      <c r="L89" s="197"/>
      <c r="M89" s="197"/>
      <c r="N89" s="197"/>
      <c r="O89" s="197"/>
      <c r="P89" s="197"/>
      <c r="Q89" s="197"/>
    </row>
    <row r="90" spans="1:17" ht="30.75" hidden="1" customHeight="1">
      <c r="A90" s="81" t="s">
        <v>272</v>
      </c>
      <c r="B90" s="145">
        <v>793</v>
      </c>
      <c r="C90" s="83" t="s">
        <v>26</v>
      </c>
      <c r="D90" s="83" t="s">
        <v>70</v>
      </c>
      <c r="E90" s="83" t="s">
        <v>566</v>
      </c>
      <c r="F90" s="83"/>
      <c r="G90" s="86"/>
      <c r="H90" s="86"/>
      <c r="I90" s="171"/>
    </row>
    <row r="91" spans="1:17" ht="30.75" hidden="1" customHeight="1">
      <c r="A91" s="81" t="s">
        <v>36</v>
      </c>
      <c r="B91" s="82">
        <v>795</v>
      </c>
      <c r="C91" s="83" t="s">
        <v>26</v>
      </c>
      <c r="D91" s="83" t="s">
        <v>70</v>
      </c>
      <c r="E91" s="83" t="s">
        <v>566</v>
      </c>
      <c r="F91" s="83" t="s">
        <v>37</v>
      </c>
      <c r="G91" s="86">
        <f>G92</f>
        <v>1803468</v>
      </c>
      <c r="H91" s="86">
        <v>0</v>
      </c>
      <c r="I91" s="171"/>
    </row>
    <row r="92" spans="1:17" ht="30.75" hidden="1" customHeight="1">
      <c r="A92" s="81" t="s">
        <v>38</v>
      </c>
      <c r="B92" s="82">
        <v>795</v>
      </c>
      <c r="C92" s="83" t="s">
        <v>26</v>
      </c>
      <c r="D92" s="83" t="s">
        <v>70</v>
      </c>
      <c r="E92" s="83" t="s">
        <v>566</v>
      </c>
      <c r="F92" s="83" t="s">
        <v>39</v>
      </c>
      <c r="G92" s="86">
        <f>'прил 5,'!G596</f>
        <v>1803468</v>
      </c>
      <c r="H92" s="86">
        <v>0</v>
      </c>
      <c r="I92" s="171"/>
    </row>
    <row r="93" spans="1:17" ht="23.25" hidden="1" customHeight="1">
      <c r="A93" s="81" t="s">
        <v>148</v>
      </c>
      <c r="B93" s="145">
        <v>793</v>
      </c>
      <c r="C93" s="83" t="s">
        <v>26</v>
      </c>
      <c r="D93" s="83" t="s">
        <v>70</v>
      </c>
      <c r="E93" s="83" t="s">
        <v>566</v>
      </c>
      <c r="F93" s="83" t="s">
        <v>149</v>
      </c>
      <c r="G93" s="86">
        <f>G94</f>
        <v>0</v>
      </c>
      <c r="H93" s="86">
        <v>0</v>
      </c>
      <c r="I93" s="171"/>
    </row>
    <row r="94" spans="1:17" ht="30.75" hidden="1" customHeight="1">
      <c r="A94" s="81" t="s">
        <v>150</v>
      </c>
      <c r="B94" s="145">
        <v>793</v>
      </c>
      <c r="C94" s="83" t="s">
        <v>26</v>
      </c>
      <c r="D94" s="83" t="s">
        <v>70</v>
      </c>
      <c r="E94" s="83" t="s">
        <v>566</v>
      </c>
      <c r="F94" s="83" t="s">
        <v>151</v>
      </c>
      <c r="G94" s="86">
        <f>'прил 5,'!G60</f>
        <v>0</v>
      </c>
      <c r="H94" s="86">
        <v>0</v>
      </c>
      <c r="I94" s="171"/>
    </row>
    <row r="95" spans="1:17" ht="21.75" hidden="1" customHeight="1">
      <c r="A95" s="81" t="s">
        <v>156</v>
      </c>
      <c r="B95" s="145">
        <v>793</v>
      </c>
      <c r="C95" s="83" t="s">
        <v>26</v>
      </c>
      <c r="D95" s="83" t="s">
        <v>70</v>
      </c>
      <c r="E95" s="83" t="s">
        <v>566</v>
      </c>
      <c r="F95" s="83" t="s">
        <v>157</v>
      </c>
      <c r="G95" s="86">
        <f>G96</f>
        <v>0</v>
      </c>
      <c r="H95" s="86">
        <v>0</v>
      </c>
      <c r="I95" s="171"/>
    </row>
    <row r="96" spans="1:17" ht="22.5" hidden="1" customHeight="1">
      <c r="A96" s="81" t="s">
        <v>178</v>
      </c>
      <c r="B96" s="145">
        <v>793</v>
      </c>
      <c r="C96" s="83" t="s">
        <v>26</v>
      </c>
      <c r="D96" s="83" t="s">
        <v>70</v>
      </c>
      <c r="E96" s="83" t="s">
        <v>566</v>
      </c>
      <c r="F96" s="83" t="s">
        <v>179</v>
      </c>
      <c r="G96" s="86"/>
      <c r="H96" s="86">
        <v>0</v>
      </c>
      <c r="I96" s="171"/>
    </row>
    <row r="97" spans="1:17" hidden="1">
      <c r="A97" s="81"/>
      <c r="B97" s="82"/>
      <c r="C97" s="83"/>
      <c r="D97" s="83"/>
      <c r="E97" s="83"/>
      <c r="F97" s="83"/>
      <c r="G97" s="84"/>
      <c r="H97" s="84"/>
      <c r="I97" s="172"/>
    </row>
    <row r="98" spans="1:17" hidden="1">
      <c r="A98" s="81"/>
      <c r="B98" s="82"/>
      <c r="C98" s="83"/>
      <c r="D98" s="83"/>
      <c r="E98" s="83"/>
      <c r="F98" s="83"/>
      <c r="G98" s="84"/>
      <c r="H98" s="84"/>
      <c r="I98" s="172"/>
    </row>
    <row r="99" spans="1:17" ht="25.5" hidden="1">
      <c r="A99" s="81" t="s">
        <v>30</v>
      </c>
      <c r="B99" s="145">
        <v>757</v>
      </c>
      <c r="C99" s="83" t="s">
        <v>26</v>
      </c>
      <c r="D99" s="83" t="s">
        <v>70</v>
      </c>
      <c r="E99" s="83" t="s">
        <v>566</v>
      </c>
      <c r="F99" s="83" t="s">
        <v>31</v>
      </c>
      <c r="G99" s="84">
        <f t="shared" ref="G99:H99" si="20">G100</f>
        <v>0</v>
      </c>
      <c r="H99" s="84">
        <f t="shared" si="20"/>
        <v>0</v>
      </c>
      <c r="I99" s="172"/>
    </row>
    <row r="100" spans="1:17" hidden="1">
      <c r="A100" s="81" t="s">
        <v>32</v>
      </c>
      <c r="B100" s="145">
        <v>757</v>
      </c>
      <c r="C100" s="83" t="s">
        <v>26</v>
      </c>
      <c r="D100" s="83" t="s">
        <v>70</v>
      </c>
      <c r="E100" s="83" t="s">
        <v>566</v>
      </c>
      <c r="F100" s="83" t="s">
        <v>33</v>
      </c>
      <c r="G100" s="84"/>
      <c r="H100" s="84"/>
      <c r="I100" s="172"/>
    </row>
    <row r="101" spans="1:17" ht="14.25" hidden="1" customHeight="1">
      <c r="A101" s="81" t="s">
        <v>281</v>
      </c>
      <c r="B101" s="145">
        <v>757</v>
      </c>
      <c r="C101" s="83" t="s">
        <v>26</v>
      </c>
      <c r="D101" s="83" t="s">
        <v>26</v>
      </c>
      <c r="E101" s="83"/>
      <c r="F101" s="145"/>
      <c r="G101" s="86">
        <f>G110+G102</f>
        <v>0</v>
      </c>
      <c r="H101" s="86">
        <f t="shared" ref="H101" si="21">H110+H102</f>
        <v>0</v>
      </c>
      <c r="I101" s="171"/>
    </row>
    <row r="102" spans="1:17" ht="32.25" hidden="1" customHeight="1">
      <c r="A102" s="81" t="s">
        <v>473</v>
      </c>
      <c r="B102" s="145">
        <v>757</v>
      </c>
      <c r="C102" s="83" t="s">
        <v>26</v>
      </c>
      <c r="D102" s="83" t="s">
        <v>26</v>
      </c>
      <c r="E102" s="83" t="s">
        <v>396</v>
      </c>
      <c r="F102" s="83"/>
      <c r="G102" s="86">
        <f>G103</f>
        <v>0</v>
      </c>
      <c r="H102" s="86">
        <f>H104</f>
        <v>0</v>
      </c>
      <c r="I102" s="171"/>
    </row>
    <row r="103" spans="1:17" ht="22.5" hidden="1" customHeight="1">
      <c r="A103" s="81" t="s">
        <v>119</v>
      </c>
      <c r="B103" s="145">
        <v>757</v>
      </c>
      <c r="C103" s="83" t="s">
        <v>26</v>
      </c>
      <c r="D103" s="83" t="s">
        <v>26</v>
      </c>
      <c r="E103" s="83" t="s">
        <v>602</v>
      </c>
      <c r="F103" s="83"/>
      <c r="G103" s="86">
        <f>G104+G107</f>
        <v>0</v>
      </c>
      <c r="H103" s="86">
        <f t="shared" ref="H103" si="22">H104+H107</f>
        <v>0</v>
      </c>
      <c r="I103" s="171"/>
    </row>
    <row r="104" spans="1:17" ht="51" hidden="1">
      <c r="A104" s="81" t="s">
        <v>127</v>
      </c>
      <c r="B104" s="145">
        <v>757</v>
      </c>
      <c r="C104" s="83" t="s">
        <v>26</v>
      </c>
      <c r="D104" s="83" t="s">
        <v>26</v>
      </c>
      <c r="E104" s="83" t="s">
        <v>191</v>
      </c>
      <c r="F104" s="83"/>
      <c r="G104" s="86">
        <f t="shared" ref="G104:H105" si="23">G105</f>
        <v>0</v>
      </c>
      <c r="H104" s="86">
        <f t="shared" si="23"/>
        <v>0</v>
      </c>
      <c r="I104" s="171"/>
    </row>
    <row r="105" spans="1:17" ht="25.5" hidden="1">
      <c r="A105" s="81" t="s">
        <v>30</v>
      </c>
      <c r="B105" s="145">
        <v>757</v>
      </c>
      <c r="C105" s="83" t="s">
        <v>26</v>
      </c>
      <c r="D105" s="83" t="s">
        <v>26</v>
      </c>
      <c r="E105" s="83" t="s">
        <v>191</v>
      </c>
      <c r="F105" s="83" t="s">
        <v>31</v>
      </c>
      <c r="G105" s="86">
        <f t="shared" si="23"/>
        <v>0</v>
      </c>
      <c r="H105" s="86">
        <f t="shared" si="23"/>
        <v>0</v>
      </c>
      <c r="I105" s="171"/>
    </row>
    <row r="106" spans="1:17" ht="19.5" hidden="1" customHeight="1">
      <c r="A106" s="81" t="s">
        <v>32</v>
      </c>
      <c r="B106" s="145">
        <v>757</v>
      </c>
      <c r="C106" s="83" t="s">
        <v>26</v>
      </c>
      <c r="D106" s="83" t="s">
        <v>26</v>
      </c>
      <c r="E106" s="83" t="s">
        <v>191</v>
      </c>
      <c r="F106" s="83" t="s">
        <v>33</v>
      </c>
      <c r="G106" s="86"/>
      <c r="H106" s="86">
        <v>0</v>
      </c>
      <c r="I106" s="171"/>
    </row>
    <row r="107" spans="1:17" s="18" customFormat="1" ht="61.5" hidden="1" customHeight="1">
      <c r="A107" s="131" t="s">
        <v>351</v>
      </c>
      <c r="B107" s="83" t="s">
        <v>51</v>
      </c>
      <c r="C107" s="83" t="s">
        <v>26</v>
      </c>
      <c r="D107" s="83" t="s">
        <v>26</v>
      </c>
      <c r="E107" s="83" t="s">
        <v>192</v>
      </c>
      <c r="F107" s="83"/>
      <c r="G107" s="86">
        <f>G108</f>
        <v>0</v>
      </c>
      <c r="H107" s="86">
        <f t="shared" ref="H107" si="24">H108</f>
        <v>0</v>
      </c>
      <c r="I107" s="171"/>
      <c r="J107" s="191"/>
      <c r="K107" s="191"/>
      <c r="L107" s="191"/>
      <c r="M107" s="191"/>
      <c r="N107" s="191"/>
      <c r="O107" s="191"/>
      <c r="P107" s="191"/>
      <c r="Q107" s="191"/>
    </row>
    <row r="108" spans="1:17" s="18" customFormat="1" ht="25.5" hidden="1">
      <c r="A108" s="81" t="s">
        <v>30</v>
      </c>
      <c r="B108" s="83" t="s">
        <v>51</v>
      </c>
      <c r="C108" s="83" t="s">
        <v>26</v>
      </c>
      <c r="D108" s="83" t="s">
        <v>26</v>
      </c>
      <c r="E108" s="83" t="s">
        <v>192</v>
      </c>
      <c r="F108" s="83" t="s">
        <v>31</v>
      </c>
      <c r="G108" s="86">
        <f>G109</f>
        <v>0</v>
      </c>
      <c r="H108" s="86">
        <f>H109</f>
        <v>0</v>
      </c>
      <c r="I108" s="171"/>
      <c r="J108" s="191"/>
      <c r="K108" s="191"/>
      <c r="L108" s="191"/>
      <c r="M108" s="191"/>
      <c r="N108" s="191"/>
      <c r="O108" s="191"/>
      <c r="P108" s="191"/>
      <c r="Q108" s="191"/>
    </row>
    <row r="109" spans="1:17" s="18" customFormat="1" hidden="1">
      <c r="A109" s="81" t="s">
        <v>32</v>
      </c>
      <c r="B109" s="83" t="s">
        <v>51</v>
      </c>
      <c r="C109" s="83" t="s">
        <v>26</v>
      </c>
      <c r="D109" s="83" t="s">
        <v>26</v>
      </c>
      <c r="E109" s="83" t="s">
        <v>192</v>
      </c>
      <c r="F109" s="83" t="s">
        <v>33</v>
      </c>
      <c r="G109" s="86"/>
      <c r="H109" s="86"/>
      <c r="I109" s="171"/>
      <c r="J109" s="191"/>
      <c r="K109" s="191"/>
      <c r="L109" s="191"/>
      <c r="M109" s="191"/>
      <c r="N109" s="191"/>
      <c r="O109" s="191"/>
      <c r="P109" s="191"/>
      <c r="Q109" s="191"/>
    </row>
    <row r="110" spans="1:17" s="18" customFormat="1" ht="25.5" hidden="1">
      <c r="A110" s="81" t="s">
        <v>476</v>
      </c>
      <c r="B110" s="145">
        <v>757</v>
      </c>
      <c r="C110" s="83" t="s">
        <v>26</v>
      </c>
      <c r="D110" s="83" t="s">
        <v>26</v>
      </c>
      <c r="E110" s="83" t="s">
        <v>197</v>
      </c>
      <c r="F110" s="83"/>
      <c r="G110" s="86">
        <f>G111+G116</f>
        <v>0</v>
      </c>
      <c r="H110" s="86">
        <f t="shared" ref="H110" si="25">H111</f>
        <v>0</v>
      </c>
      <c r="I110" s="171"/>
      <c r="J110" s="171"/>
      <c r="K110" s="171"/>
      <c r="L110" s="171"/>
      <c r="M110" s="171"/>
      <c r="N110" s="191"/>
      <c r="O110" s="191"/>
      <c r="P110" s="191"/>
      <c r="Q110" s="191"/>
    </row>
    <row r="111" spans="1:17" s="18" customFormat="1" hidden="1">
      <c r="A111" s="81" t="s">
        <v>339</v>
      </c>
      <c r="B111" s="145">
        <v>757</v>
      </c>
      <c r="C111" s="83" t="s">
        <v>26</v>
      </c>
      <c r="D111" s="83" t="s">
        <v>26</v>
      </c>
      <c r="E111" s="83" t="s">
        <v>198</v>
      </c>
      <c r="F111" s="83"/>
      <c r="G111" s="86">
        <f>G112+G114</f>
        <v>0</v>
      </c>
      <c r="H111" s="86">
        <f>H112+H114</f>
        <v>0</v>
      </c>
      <c r="I111" s="171"/>
      <c r="J111" s="191"/>
      <c r="K111" s="191"/>
      <c r="L111" s="191"/>
      <c r="M111" s="191"/>
      <c r="N111" s="191"/>
      <c r="O111" s="191"/>
      <c r="P111" s="191"/>
      <c r="Q111" s="191"/>
    </row>
    <row r="112" spans="1:17" s="18" customFormat="1" ht="25.5" hidden="1">
      <c r="A112" s="81" t="s">
        <v>36</v>
      </c>
      <c r="B112" s="145">
        <v>757</v>
      </c>
      <c r="C112" s="83" t="s">
        <v>26</v>
      </c>
      <c r="D112" s="83" t="s">
        <v>26</v>
      </c>
      <c r="E112" s="83" t="s">
        <v>198</v>
      </c>
      <c r="F112" s="83" t="s">
        <v>37</v>
      </c>
      <c r="G112" s="86">
        <f>G113</f>
        <v>0</v>
      </c>
      <c r="H112" s="86">
        <f>H113</f>
        <v>0</v>
      </c>
      <c r="I112" s="171"/>
      <c r="J112" s="191"/>
      <c r="K112" s="191"/>
      <c r="L112" s="191"/>
      <c r="M112" s="191"/>
      <c r="N112" s="191"/>
      <c r="O112" s="191"/>
      <c r="P112" s="191"/>
      <c r="Q112" s="191"/>
    </row>
    <row r="113" spans="1:17" s="18" customFormat="1" ht="25.5" hidden="1">
      <c r="A113" s="81" t="s">
        <v>38</v>
      </c>
      <c r="B113" s="145">
        <v>757</v>
      </c>
      <c r="C113" s="83" t="s">
        <v>26</v>
      </c>
      <c r="D113" s="83" t="s">
        <v>26</v>
      </c>
      <c r="E113" s="83" t="s">
        <v>198</v>
      </c>
      <c r="F113" s="83" t="s">
        <v>39</v>
      </c>
      <c r="G113" s="86"/>
      <c r="H113" s="86"/>
      <c r="I113" s="171"/>
      <c r="J113" s="191"/>
      <c r="K113" s="191"/>
      <c r="L113" s="191"/>
      <c r="M113" s="191"/>
      <c r="N113" s="191"/>
      <c r="O113" s="191"/>
      <c r="P113" s="191"/>
      <c r="Q113" s="191"/>
    </row>
    <row r="114" spans="1:17" s="18" customFormat="1" ht="25.5" hidden="1">
      <c r="A114" s="81" t="s">
        <v>30</v>
      </c>
      <c r="B114" s="83" t="s">
        <v>51</v>
      </c>
      <c r="C114" s="83" t="s">
        <v>26</v>
      </c>
      <c r="D114" s="83" t="s">
        <v>26</v>
      </c>
      <c r="E114" s="83" t="s">
        <v>198</v>
      </c>
      <c r="F114" s="83" t="s">
        <v>31</v>
      </c>
      <c r="G114" s="86">
        <f>G115</f>
        <v>0</v>
      </c>
      <c r="H114" s="86">
        <f>H115</f>
        <v>0</v>
      </c>
      <c r="I114" s="171"/>
      <c r="J114" s="191"/>
      <c r="K114" s="191"/>
      <c r="L114" s="191"/>
      <c r="M114" s="191"/>
      <c r="N114" s="191"/>
      <c r="O114" s="191"/>
      <c r="P114" s="191"/>
      <c r="Q114" s="191"/>
    </row>
    <row r="115" spans="1:17" s="18" customFormat="1" hidden="1">
      <c r="A115" s="81" t="s">
        <v>32</v>
      </c>
      <c r="B115" s="83" t="s">
        <v>51</v>
      </c>
      <c r="C115" s="83" t="s">
        <v>26</v>
      </c>
      <c r="D115" s="83" t="s">
        <v>26</v>
      </c>
      <c r="E115" s="83" t="s">
        <v>198</v>
      </c>
      <c r="F115" s="83" t="s">
        <v>33</v>
      </c>
      <c r="G115" s="86">
        <v>0</v>
      </c>
      <c r="H115" s="86"/>
      <c r="I115" s="171"/>
      <c r="J115" s="191"/>
      <c r="K115" s="191"/>
      <c r="L115" s="191"/>
      <c r="M115" s="191"/>
      <c r="N115" s="191"/>
      <c r="O115" s="191"/>
      <c r="P115" s="191"/>
      <c r="Q115" s="191"/>
    </row>
    <row r="116" spans="1:17" s="18" customFormat="1" ht="25.5" hidden="1">
      <c r="A116" s="81" t="s">
        <v>298</v>
      </c>
      <c r="B116" s="145">
        <v>757</v>
      </c>
      <c r="C116" s="83" t="s">
        <v>26</v>
      </c>
      <c r="D116" s="83" t="s">
        <v>26</v>
      </c>
      <c r="E116" s="83" t="s">
        <v>796</v>
      </c>
      <c r="F116" s="83"/>
      <c r="G116" s="86">
        <f>G117</f>
        <v>0</v>
      </c>
      <c r="H116" s="86">
        <v>0</v>
      </c>
      <c r="I116" s="171"/>
      <c r="J116" s="191"/>
      <c r="K116" s="191"/>
      <c r="L116" s="191"/>
      <c r="M116" s="191"/>
      <c r="N116" s="191"/>
      <c r="O116" s="191"/>
      <c r="P116" s="191"/>
      <c r="Q116" s="191"/>
    </row>
    <row r="117" spans="1:17" s="18" customFormat="1" ht="25.5" hidden="1">
      <c r="A117" s="81" t="s">
        <v>36</v>
      </c>
      <c r="B117" s="145">
        <v>757</v>
      </c>
      <c r="C117" s="83" t="s">
        <v>26</v>
      </c>
      <c r="D117" s="83" t="s">
        <v>26</v>
      </c>
      <c r="E117" s="83" t="s">
        <v>796</v>
      </c>
      <c r="F117" s="83" t="s">
        <v>37</v>
      </c>
      <c r="G117" s="86">
        <f>G118</f>
        <v>0</v>
      </c>
      <c r="H117" s="86">
        <v>0</v>
      </c>
      <c r="I117" s="171"/>
      <c r="J117" s="191"/>
      <c r="K117" s="191"/>
      <c r="L117" s="191"/>
      <c r="M117" s="191"/>
      <c r="N117" s="191"/>
      <c r="O117" s="191"/>
      <c r="P117" s="191"/>
      <c r="Q117" s="191"/>
    </row>
    <row r="118" spans="1:17" s="18" customFormat="1" ht="25.5" hidden="1">
      <c r="A118" s="81" t="s">
        <v>38</v>
      </c>
      <c r="B118" s="145">
        <v>757</v>
      </c>
      <c r="C118" s="83" t="s">
        <v>26</v>
      </c>
      <c r="D118" s="83" t="s">
        <v>26</v>
      </c>
      <c r="E118" s="83" t="s">
        <v>796</v>
      </c>
      <c r="F118" s="83" t="s">
        <v>39</v>
      </c>
      <c r="G118" s="86"/>
      <c r="H118" s="86"/>
      <c r="I118" s="171"/>
      <c r="J118" s="191"/>
      <c r="K118" s="191"/>
      <c r="L118" s="191"/>
      <c r="M118" s="191"/>
      <c r="N118" s="191"/>
      <c r="O118" s="191"/>
      <c r="P118" s="191"/>
      <c r="Q118" s="191"/>
    </row>
    <row r="119" spans="1:17" s="22" customFormat="1">
      <c r="A119" s="140" t="s">
        <v>43</v>
      </c>
      <c r="B119" s="257">
        <v>757</v>
      </c>
      <c r="C119" s="158" t="s">
        <v>44</v>
      </c>
      <c r="D119" s="158"/>
      <c r="E119" s="158"/>
      <c r="F119" s="158"/>
      <c r="G119" s="95">
        <f>G120+G336</f>
        <v>161884117.69000006</v>
      </c>
      <c r="H119" s="95">
        <f>H120+H336</f>
        <v>161688042.84000003</v>
      </c>
      <c r="I119" s="183"/>
      <c r="J119" s="198"/>
      <c r="K119" s="198"/>
      <c r="L119" s="199"/>
      <c r="M119" s="198"/>
      <c r="N119" s="198"/>
      <c r="O119" s="198"/>
      <c r="P119" s="198"/>
      <c r="Q119" s="198"/>
    </row>
    <row r="120" spans="1:17">
      <c r="A120" s="81" t="s">
        <v>45</v>
      </c>
      <c r="B120" s="145">
        <v>757</v>
      </c>
      <c r="C120" s="83" t="s">
        <v>44</v>
      </c>
      <c r="D120" s="83" t="s">
        <v>19</v>
      </c>
      <c r="E120" s="83"/>
      <c r="F120" s="83"/>
      <c r="G120" s="86">
        <f>G121+G138+G333+G323</f>
        <v>156548578.69000006</v>
      </c>
      <c r="H120" s="86">
        <f>H121+H138+H333+H323</f>
        <v>156352805.80000004</v>
      </c>
      <c r="I120" s="171"/>
      <c r="L120" s="200"/>
    </row>
    <row r="121" spans="1:17" ht="38.25" hidden="1">
      <c r="A121" s="81" t="s">
        <v>823</v>
      </c>
      <c r="B121" s="145">
        <v>757</v>
      </c>
      <c r="C121" s="83" t="s">
        <v>44</v>
      </c>
      <c r="D121" s="83" t="s">
        <v>19</v>
      </c>
      <c r="E121" s="83" t="s">
        <v>262</v>
      </c>
      <c r="F121" s="83"/>
      <c r="G121" s="84">
        <f>G131</f>
        <v>0</v>
      </c>
      <c r="H121" s="84">
        <f t="shared" ref="H121" si="26">H131</f>
        <v>0</v>
      </c>
      <c r="I121" s="172"/>
      <c r="L121" s="200"/>
    </row>
    <row r="122" spans="1:17" ht="40.5" hidden="1" customHeight="1">
      <c r="A122" s="81" t="s">
        <v>594</v>
      </c>
      <c r="B122" s="83" t="s">
        <v>51</v>
      </c>
      <c r="C122" s="83" t="s">
        <v>44</v>
      </c>
      <c r="D122" s="83" t="s">
        <v>19</v>
      </c>
      <c r="E122" s="83" t="s">
        <v>536</v>
      </c>
      <c r="F122" s="83"/>
      <c r="G122" s="84">
        <f>G123</f>
        <v>0</v>
      </c>
      <c r="H122" s="86">
        <v>0</v>
      </c>
      <c r="I122" s="171"/>
    </row>
    <row r="123" spans="1:17" ht="30" hidden="1" customHeight="1">
      <c r="A123" s="81" t="s">
        <v>96</v>
      </c>
      <c r="B123" s="83" t="s">
        <v>51</v>
      </c>
      <c r="C123" s="83" t="s">
        <v>44</v>
      </c>
      <c r="D123" s="83" t="s">
        <v>19</v>
      </c>
      <c r="E123" s="83" t="s">
        <v>536</v>
      </c>
      <c r="F123" s="83" t="s">
        <v>348</v>
      </c>
      <c r="G123" s="84">
        <f>G124</f>
        <v>0</v>
      </c>
      <c r="H123" s="86">
        <v>0</v>
      </c>
      <c r="I123" s="171"/>
    </row>
    <row r="124" spans="1:17" ht="91.5" hidden="1" customHeight="1">
      <c r="A124" s="129" t="s">
        <v>419</v>
      </c>
      <c r="B124" s="83" t="s">
        <v>51</v>
      </c>
      <c r="C124" s="83" t="s">
        <v>44</v>
      </c>
      <c r="D124" s="83" t="s">
        <v>19</v>
      </c>
      <c r="E124" s="83" t="s">
        <v>536</v>
      </c>
      <c r="F124" s="83" t="s">
        <v>418</v>
      </c>
      <c r="G124" s="84"/>
      <c r="H124" s="86">
        <v>0</v>
      </c>
      <c r="I124" s="171"/>
    </row>
    <row r="125" spans="1:17" ht="43.5" hidden="1" customHeight="1">
      <c r="A125" s="129" t="s">
        <v>595</v>
      </c>
      <c r="B125" s="83" t="s">
        <v>51</v>
      </c>
      <c r="C125" s="83" t="s">
        <v>44</v>
      </c>
      <c r="D125" s="83" t="s">
        <v>19</v>
      </c>
      <c r="E125" s="83" t="s">
        <v>538</v>
      </c>
      <c r="F125" s="83"/>
      <c r="G125" s="84">
        <f>G126</f>
        <v>0</v>
      </c>
      <c r="H125" s="86">
        <v>0</v>
      </c>
      <c r="I125" s="171"/>
    </row>
    <row r="126" spans="1:17" ht="39.75" hidden="1" customHeight="1">
      <c r="A126" s="81" t="s">
        <v>96</v>
      </c>
      <c r="B126" s="83" t="s">
        <v>51</v>
      </c>
      <c r="C126" s="83" t="s">
        <v>44</v>
      </c>
      <c r="D126" s="83" t="s">
        <v>19</v>
      </c>
      <c r="E126" s="83" t="s">
        <v>538</v>
      </c>
      <c r="F126" s="83" t="s">
        <v>348</v>
      </c>
      <c r="G126" s="84">
        <f>G127</f>
        <v>0</v>
      </c>
      <c r="H126" s="86">
        <v>0</v>
      </c>
      <c r="I126" s="171"/>
    </row>
    <row r="127" spans="1:17" ht="86.25" hidden="1" customHeight="1">
      <c r="A127" s="129" t="s">
        <v>419</v>
      </c>
      <c r="B127" s="83" t="s">
        <v>51</v>
      </c>
      <c r="C127" s="83" t="s">
        <v>44</v>
      </c>
      <c r="D127" s="83" t="s">
        <v>19</v>
      </c>
      <c r="E127" s="83" t="s">
        <v>538</v>
      </c>
      <c r="F127" s="83" t="s">
        <v>418</v>
      </c>
      <c r="G127" s="84"/>
      <c r="H127" s="86">
        <v>0</v>
      </c>
      <c r="I127" s="171"/>
    </row>
    <row r="128" spans="1:17" ht="48" hidden="1" customHeight="1">
      <c r="A128" s="138" t="s">
        <v>604</v>
      </c>
      <c r="B128" s="145">
        <v>757</v>
      </c>
      <c r="C128" s="83" t="s">
        <v>44</v>
      </c>
      <c r="D128" s="83" t="s">
        <v>19</v>
      </c>
      <c r="E128" s="83" t="s">
        <v>603</v>
      </c>
      <c r="F128" s="145"/>
      <c r="G128" s="86">
        <f t="shared" ref="G128:H129" si="27">G129</f>
        <v>0</v>
      </c>
      <c r="H128" s="86">
        <f t="shared" si="27"/>
        <v>0</v>
      </c>
      <c r="I128" s="171"/>
    </row>
    <row r="129" spans="1:17" ht="25.5" hidden="1">
      <c r="A129" s="81" t="s">
        <v>30</v>
      </c>
      <c r="B129" s="145">
        <v>757</v>
      </c>
      <c r="C129" s="83" t="s">
        <v>44</v>
      </c>
      <c r="D129" s="83" t="s">
        <v>19</v>
      </c>
      <c r="E129" s="83" t="s">
        <v>603</v>
      </c>
      <c r="F129" s="83" t="s">
        <v>31</v>
      </c>
      <c r="G129" s="94">
        <f t="shared" si="27"/>
        <v>0</v>
      </c>
      <c r="H129" s="94">
        <f t="shared" si="27"/>
        <v>0</v>
      </c>
    </row>
    <row r="130" spans="1:17" hidden="1">
      <c r="A130" s="81" t="s">
        <v>32</v>
      </c>
      <c r="B130" s="145">
        <v>757</v>
      </c>
      <c r="C130" s="83" t="s">
        <v>44</v>
      </c>
      <c r="D130" s="83" t="s">
        <v>19</v>
      </c>
      <c r="E130" s="83" t="s">
        <v>603</v>
      </c>
      <c r="F130" s="83" t="s">
        <v>33</v>
      </c>
      <c r="G130" s="94"/>
      <c r="H130" s="94"/>
    </row>
    <row r="131" spans="1:17" s="166" customFormat="1" ht="42.75" hidden="1" customHeight="1">
      <c r="A131" s="138" t="s">
        <v>889</v>
      </c>
      <c r="B131" s="145">
        <v>757</v>
      </c>
      <c r="C131" s="83" t="s">
        <v>44</v>
      </c>
      <c r="D131" s="83" t="s">
        <v>19</v>
      </c>
      <c r="E131" s="83" t="s">
        <v>890</v>
      </c>
      <c r="F131" s="145"/>
      <c r="G131" s="86">
        <f t="shared" ref="G131:H132" si="28">G132</f>
        <v>0</v>
      </c>
      <c r="H131" s="86">
        <f t="shared" si="28"/>
        <v>0</v>
      </c>
      <c r="I131" s="171"/>
      <c r="J131" s="177"/>
      <c r="K131" s="177"/>
      <c r="L131" s="177"/>
      <c r="M131" s="177"/>
      <c r="N131" s="177"/>
      <c r="O131" s="177"/>
      <c r="P131" s="177"/>
      <c r="Q131" s="177"/>
    </row>
    <row r="132" spans="1:17" s="166" customFormat="1" ht="25.5" hidden="1">
      <c r="A132" s="81" t="s">
        <v>30</v>
      </c>
      <c r="B132" s="145">
        <v>757</v>
      </c>
      <c r="C132" s="83" t="s">
        <v>44</v>
      </c>
      <c r="D132" s="83" t="s">
        <v>19</v>
      </c>
      <c r="E132" s="83" t="s">
        <v>890</v>
      </c>
      <c r="F132" s="83" t="s">
        <v>31</v>
      </c>
      <c r="G132" s="94">
        <f t="shared" si="28"/>
        <v>0</v>
      </c>
      <c r="H132" s="94">
        <f t="shared" si="28"/>
        <v>0</v>
      </c>
      <c r="I132" s="173"/>
      <c r="J132" s="177"/>
      <c r="K132" s="177"/>
      <c r="L132" s="177"/>
      <c r="M132" s="177"/>
      <c r="N132" s="177"/>
      <c r="O132" s="177"/>
      <c r="P132" s="177"/>
      <c r="Q132" s="177"/>
    </row>
    <row r="133" spans="1:17" s="166" customFormat="1" hidden="1">
      <c r="A133" s="81" t="s">
        <v>32</v>
      </c>
      <c r="B133" s="145">
        <v>757</v>
      </c>
      <c r="C133" s="83" t="s">
        <v>44</v>
      </c>
      <c r="D133" s="83" t="s">
        <v>19</v>
      </c>
      <c r="E133" s="83" t="s">
        <v>890</v>
      </c>
      <c r="F133" s="83" t="s">
        <v>33</v>
      </c>
      <c r="G133" s="94">
        <f>320000-320000</f>
        <v>0</v>
      </c>
      <c r="H133" s="94">
        <v>0</v>
      </c>
      <c r="I133" s="173"/>
      <c r="J133" s="177"/>
      <c r="K133" s="177"/>
      <c r="L133" s="177"/>
      <c r="M133" s="177"/>
      <c r="N133" s="177"/>
      <c r="O133" s="177"/>
      <c r="P133" s="177"/>
      <c r="Q133" s="177"/>
    </row>
    <row r="134" spans="1:17" ht="27.75" hidden="1" customHeight="1">
      <c r="A134" s="81"/>
      <c r="B134" s="145"/>
      <c r="C134" s="83"/>
      <c r="D134" s="83"/>
      <c r="E134" s="83"/>
      <c r="F134" s="83"/>
      <c r="G134" s="86"/>
      <c r="H134" s="86"/>
      <c r="I134" s="171"/>
    </row>
    <row r="135" spans="1:17" ht="28.5" hidden="1" customHeight="1">
      <c r="A135" s="129"/>
      <c r="B135" s="145">
        <v>757</v>
      </c>
      <c r="C135" s="83" t="s">
        <v>44</v>
      </c>
      <c r="D135" s="83" t="s">
        <v>19</v>
      </c>
      <c r="E135" s="83" t="s">
        <v>516</v>
      </c>
      <c r="F135" s="83"/>
      <c r="G135" s="86">
        <f>G136</f>
        <v>0</v>
      </c>
      <c r="H135" s="86">
        <f t="shared" ref="H135:H136" si="29">H136</f>
        <v>0</v>
      </c>
      <c r="I135" s="171"/>
    </row>
    <row r="136" spans="1:17" ht="21" hidden="1" customHeight="1">
      <c r="A136" s="81" t="s">
        <v>148</v>
      </c>
      <c r="B136" s="145">
        <v>757</v>
      </c>
      <c r="C136" s="83" t="s">
        <v>44</v>
      </c>
      <c r="D136" s="83" t="s">
        <v>19</v>
      </c>
      <c r="E136" s="83" t="s">
        <v>516</v>
      </c>
      <c r="F136" s="83" t="s">
        <v>149</v>
      </c>
      <c r="G136" s="86">
        <f>G137</f>
        <v>0</v>
      </c>
      <c r="H136" s="86">
        <f t="shared" si="29"/>
        <v>0</v>
      </c>
      <c r="I136" s="171"/>
    </row>
    <row r="137" spans="1:17" ht="30.75" hidden="1" customHeight="1">
      <c r="A137" s="81" t="s">
        <v>150</v>
      </c>
      <c r="B137" s="145">
        <v>757</v>
      </c>
      <c r="C137" s="83" t="s">
        <v>44</v>
      </c>
      <c r="D137" s="83" t="s">
        <v>19</v>
      </c>
      <c r="E137" s="83" t="s">
        <v>516</v>
      </c>
      <c r="F137" s="83" t="s">
        <v>151</v>
      </c>
      <c r="G137" s="86"/>
      <c r="H137" s="86"/>
      <c r="I137" s="171"/>
    </row>
    <row r="138" spans="1:17" ht="25.5">
      <c r="A138" s="81" t="s">
        <v>482</v>
      </c>
      <c r="B138" s="145">
        <v>757</v>
      </c>
      <c r="C138" s="83" t="s">
        <v>44</v>
      </c>
      <c r="D138" s="83" t="s">
        <v>19</v>
      </c>
      <c r="E138" s="83" t="s">
        <v>193</v>
      </c>
      <c r="F138" s="83"/>
      <c r="G138" s="84">
        <f>G151+G154+G157+G160+G195+G205+G208+G211+G213+G219+G142+G244+G241+G247+G183+G180+G186+G254+G189+G257+G198+G260+G263+G266+G272+G275++G278+G281+G284+G269+G296+G287+G290+G201+G250+G293+G194+G319+G320+G238++G311+G299+G302+G305+G314+G308</f>
        <v>155803135.89000005</v>
      </c>
      <c r="H138" s="84">
        <f>H151+H154+H157+H160+H195+H205+H208+H211+H213+H219+H142+H244+H241+H247+H183+H180+H186+H254+H189+H257+H198+H260+H263+H266+H272+H275++H278+H281+H284+H269+H296+H287+H290+H201+H250+H293+H194+H319+H320+H238++H311+H299+H302+H305+H314+H308</f>
        <v>155607363.00000003</v>
      </c>
      <c r="I138" s="172"/>
      <c r="L138" s="200"/>
    </row>
    <row r="139" spans="1:17" ht="40.5" hidden="1" customHeight="1">
      <c r="A139" s="81" t="s">
        <v>594</v>
      </c>
      <c r="B139" s="83" t="s">
        <v>51</v>
      </c>
      <c r="C139" s="83" t="s">
        <v>44</v>
      </c>
      <c r="D139" s="83" t="s">
        <v>19</v>
      </c>
      <c r="E139" s="83" t="s">
        <v>536</v>
      </c>
      <c r="F139" s="83"/>
      <c r="G139" s="84">
        <f>G140</f>
        <v>0</v>
      </c>
      <c r="H139" s="86">
        <v>0</v>
      </c>
      <c r="I139" s="171"/>
    </row>
    <row r="140" spans="1:17" ht="30" hidden="1" customHeight="1">
      <c r="A140" s="81" t="s">
        <v>96</v>
      </c>
      <c r="B140" s="83" t="s">
        <v>51</v>
      </c>
      <c r="C140" s="83" t="s">
        <v>44</v>
      </c>
      <c r="D140" s="83" t="s">
        <v>19</v>
      </c>
      <c r="E140" s="83" t="s">
        <v>536</v>
      </c>
      <c r="F140" s="83" t="s">
        <v>348</v>
      </c>
      <c r="G140" s="84">
        <f>G141</f>
        <v>0</v>
      </c>
      <c r="H140" s="86">
        <v>0</v>
      </c>
      <c r="I140" s="171"/>
    </row>
    <row r="141" spans="1:17" ht="91.5" hidden="1" customHeight="1">
      <c r="A141" s="129" t="s">
        <v>419</v>
      </c>
      <c r="B141" s="83" t="s">
        <v>51</v>
      </c>
      <c r="C141" s="83" t="s">
        <v>44</v>
      </c>
      <c r="D141" s="83" t="s">
        <v>19</v>
      </c>
      <c r="E141" s="83" t="s">
        <v>536</v>
      </c>
      <c r="F141" s="83" t="s">
        <v>418</v>
      </c>
      <c r="G141" s="84"/>
      <c r="H141" s="86">
        <v>0</v>
      </c>
      <c r="I141" s="171"/>
    </row>
    <row r="142" spans="1:17" ht="25.5" customHeight="1">
      <c r="A142" s="138" t="s">
        <v>921</v>
      </c>
      <c r="B142" s="145">
        <v>757</v>
      </c>
      <c r="C142" s="83" t="s">
        <v>44</v>
      </c>
      <c r="D142" s="83" t="s">
        <v>19</v>
      </c>
      <c r="E142" s="83" t="s">
        <v>920</v>
      </c>
      <c r="F142" s="145"/>
      <c r="G142" s="86">
        <f>G145+G148</f>
        <v>12000000</v>
      </c>
      <c r="H142" s="86">
        <f>H145+H148</f>
        <v>12000000</v>
      </c>
      <c r="I142" s="171"/>
    </row>
    <row r="143" spans="1:17" ht="25.5" hidden="1">
      <c r="A143" s="81" t="s">
        <v>30</v>
      </c>
      <c r="B143" s="145">
        <v>757</v>
      </c>
      <c r="C143" s="83" t="s">
        <v>44</v>
      </c>
      <c r="D143" s="83" t="s">
        <v>19</v>
      </c>
      <c r="E143" s="83" t="s">
        <v>920</v>
      </c>
      <c r="F143" s="83" t="s">
        <v>31</v>
      </c>
      <c r="G143" s="94">
        <f>G144</f>
        <v>0</v>
      </c>
      <c r="H143" s="94">
        <f>H144</f>
        <v>0</v>
      </c>
    </row>
    <row r="144" spans="1:17" hidden="1">
      <c r="A144" s="81" t="s">
        <v>32</v>
      </c>
      <c r="B144" s="145">
        <v>757</v>
      </c>
      <c r="C144" s="83" t="s">
        <v>44</v>
      </c>
      <c r="D144" s="83" t="s">
        <v>19</v>
      </c>
      <c r="E144" s="83" t="s">
        <v>920</v>
      </c>
      <c r="F144" s="83" t="s">
        <v>33</v>
      </c>
      <c r="G144" s="94"/>
      <c r="H144" s="94"/>
    </row>
    <row r="145" spans="1:9" ht="25.5">
      <c r="A145" s="81" t="s">
        <v>965</v>
      </c>
      <c r="B145" s="145">
        <v>757</v>
      </c>
      <c r="C145" s="83" t="s">
        <v>44</v>
      </c>
      <c r="D145" s="83" t="s">
        <v>19</v>
      </c>
      <c r="E145" s="83" t="s">
        <v>964</v>
      </c>
      <c r="F145" s="83"/>
      <c r="G145" s="94">
        <f>G146</f>
        <v>2000000</v>
      </c>
      <c r="H145" s="94">
        <f t="shared" ref="H145" si="30">H146</f>
        <v>2000000</v>
      </c>
    </row>
    <row r="146" spans="1:9" ht="25.5">
      <c r="A146" s="81" t="s">
        <v>30</v>
      </c>
      <c r="B146" s="145">
        <v>757</v>
      </c>
      <c r="C146" s="83" t="s">
        <v>44</v>
      </c>
      <c r="D146" s="83" t="s">
        <v>19</v>
      </c>
      <c r="E146" s="83" t="s">
        <v>964</v>
      </c>
      <c r="F146" s="83" t="s">
        <v>31</v>
      </c>
      <c r="G146" s="94">
        <f>G147</f>
        <v>2000000</v>
      </c>
      <c r="H146" s="94">
        <f>H147</f>
        <v>2000000</v>
      </c>
    </row>
    <row r="147" spans="1:9">
      <c r="A147" s="81" t="s">
        <v>32</v>
      </c>
      <c r="B147" s="145">
        <v>757</v>
      </c>
      <c r="C147" s="83" t="s">
        <v>44</v>
      </c>
      <c r="D147" s="83" t="s">
        <v>19</v>
      </c>
      <c r="E147" s="83" t="s">
        <v>964</v>
      </c>
      <c r="F147" s="83" t="s">
        <v>33</v>
      </c>
      <c r="G147" s="94">
        <v>2000000</v>
      </c>
      <c r="H147" s="94">
        <v>2000000</v>
      </c>
    </row>
    <row r="148" spans="1:9" ht="25.5">
      <c r="A148" s="81" t="s">
        <v>967</v>
      </c>
      <c r="B148" s="145">
        <v>757</v>
      </c>
      <c r="C148" s="83" t="s">
        <v>44</v>
      </c>
      <c r="D148" s="83" t="s">
        <v>19</v>
      </c>
      <c r="E148" s="83" t="s">
        <v>966</v>
      </c>
      <c r="F148" s="83"/>
      <c r="G148" s="94">
        <f>G149</f>
        <v>10000000</v>
      </c>
      <c r="H148" s="94">
        <f t="shared" ref="H148" si="31">H149</f>
        <v>10000000</v>
      </c>
    </row>
    <row r="149" spans="1:9" ht="25.5">
      <c r="A149" s="81" t="s">
        <v>30</v>
      </c>
      <c r="B149" s="145">
        <v>757</v>
      </c>
      <c r="C149" s="83" t="s">
        <v>44</v>
      </c>
      <c r="D149" s="83" t="s">
        <v>19</v>
      </c>
      <c r="E149" s="83" t="s">
        <v>966</v>
      </c>
      <c r="F149" s="83" t="s">
        <v>31</v>
      </c>
      <c r="G149" s="94">
        <f>G150</f>
        <v>10000000</v>
      </c>
      <c r="H149" s="94">
        <f>H150</f>
        <v>10000000</v>
      </c>
    </row>
    <row r="150" spans="1:9">
      <c r="A150" s="81" t="s">
        <v>32</v>
      </c>
      <c r="B150" s="145">
        <v>757</v>
      </c>
      <c r="C150" s="83" t="s">
        <v>44</v>
      </c>
      <c r="D150" s="83" t="s">
        <v>19</v>
      </c>
      <c r="E150" s="83" t="s">
        <v>966</v>
      </c>
      <c r="F150" s="83" t="s">
        <v>33</v>
      </c>
      <c r="G150" s="94">
        <v>10000000</v>
      </c>
      <c r="H150" s="94">
        <v>10000000</v>
      </c>
    </row>
    <row r="151" spans="1:9" ht="59.25" customHeight="1">
      <c r="A151" s="129" t="s">
        <v>923</v>
      </c>
      <c r="B151" s="83" t="s">
        <v>51</v>
      </c>
      <c r="C151" s="83" t="s">
        <v>44</v>
      </c>
      <c r="D151" s="83" t="s">
        <v>19</v>
      </c>
      <c r="E151" s="83" t="s">
        <v>922</v>
      </c>
      <c r="F151" s="83"/>
      <c r="G151" s="84">
        <f>G152</f>
        <v>519291.86</v>
      </c>
      <c r="H151" s="84">
        <f t="shared" ref="H151" si="32">H152</f>
        <v>519291.86</v>
      </c>
      <c r="I151" s="171"/>
    </row>
    <row r="152" spans="1:9" ht="39.75" customHeight="1">
      <c r="A152" s="81" t="s">
        <v>30</v>
      </c>
      <c r="B152" s="83" t="s">
        <v>51</v>
      </c>
      <c r="C152" s="83" t="s">
        <v>44</v>
      </c>
      <c r="D152" s="83" t="s">
        <v>19</v>
      </c>
      <c r="E152" s="83" t="s">
        <v>922</v>
      </c>
      <c r="F152" s="83" t="s">
        <v>31</v>
      </c>
      <c r="G152" s="84">
        <f>G153</f>
        <v>519291.86</v>
      </c>
      <c r="H152" s="84">
        <f t="shared" ref="H152" si="33">H153</f>
        <v>519291.86</v>
      </c>
      <c r="I152" s="171"/>
    </row>
    <row r="153" spans="1:9" ht="19.5" customHeight="1">
      <c r="A153" s="129" t="s">
        <v>32</v>
      </c>
      <c r="B153" s="83" t="s">
        <v>51</v>
      </c>
      <c r="C153" s="83" t="s">
        <v>44</v>
      </c>
      <c r="D153" s="83" t="s">
        <v>19</v>
      </c>
      <c r="E153" s="83" t="s">
        <v>922</v>
      </c>
      <c r="F153" s="83" t="s">
        <v>33</v>
      </c>
      <c r="G153" s="84">
        <v>519291.86</v>
      </c>
      <c r="H153" s="86">
        <v>519291.86</v>
      </c>
      <c r="I153" s="171"/>
    </row>
    <row r="154" spans="1:9" ht="92.25" customHeight="1">
      <c r="A154" s="138" t="s">
        <v>371</v>
      </c>
      <c r="B154" s="145">
        <v>757</v>
      </c>
      <c r="C154" s="83" t="s">
        <v>44</v>
      </c>
      <c r="D154" s="83" t="s">
        <v>19</v>
      </c>
      <c r="E154" s="83" t="s">
        <v>659</v>
      </c>
      <c r="F154" s="145"/>
      <c r="G154" s="86">
        <f t="shared" ref="G154:H155" si="34">G155</f>
        <v>1180646</v>
      </c>
      <c r="H154" s="86">
        <f t="shared" si="34"/>
        <v>984873.11</v>
      </c>
      <c r="I154" s="171"/>
    </row>
    <row r="155" spans="1:9" ht="25.5">
      <c r="A155" s="81" t="s">
        <v>30</v>
      </c>
      <c r="B155" s="145">
        <v>757</v>
      </c>
      <c r="C155" s="83" t="s">
        <v>44</v>
      </c>
      <c r="D155" s="83" t="s">
        <v>19</v>
      </c>
      <c r="E155" s="83" t="s">
        <v>659</v>
      </c>
      <c r="F155" s="83" t="s">
        <v>31</v>
      </c>
      <c r="G155" s="94">
        <f t="shared" si="34"/>
        <v>1180646</v>
      </c>
      <c r="H155" s="94">
        <f t="shared" si="34"/>
        <v>984873.11</v>
      </c>
    </row>
    <row r="156" spans="1:9">
      <c r="A156" s="81" t="s">
        <v>32</v>
      </c>
      <c r="B156" s="145">
        <v>757</v>
      </c>
      <c r="C156" s="83" t="s">
        <v>44</v>
      </c>
      <c r="D156" s="83" t="s">
        <v>19</v>
      </c>
      <c r="E156" s="83" t="s">
        <v>659</v>
      </c>
      <c r="F156" s="83" t="s">
        <v>33</v>
      </c>
      <c r="G156" s="94">
        <f>1156984.27+23661.73</f>
        <v>1180646</v>
      </c>
      <c r="H156" s="94">
        <v>984873.11</v>
      </c>
    </row>
    <row r="157" spans="1:9">
      <c r="A157" s="139" t="s">
        <v>47</v>
      </c>
      <c r="B157" s="145">
        <v>757</v>
      </c>
      <c r="C157" s="83" t="s">
        <v>44</v>
      </c>
      <c r="D157" s="83" t="s">
        <v>19</v>
      </c>
      <c r="E157" s="83" t="s">
        <v>199</v>
      </c>
      <c r="F157" s="145"/>
      <c r="G157" s="84">
        <f>G158</f>
        <v>64975828.850000001</v>
      </c>
      <c r="H157" s="84">
        <f t="shared" ref="H157" si="35">H158</f>
        <v>64975828.850000001</v>
      </c>
      <c r="I157" s="172"/>
    </row>
    <row r="158" spans="1:9" ht="37.5" customHeight="1">
      <c r="A158" s="81" t="s">
        <v>30</v>
      </c>
      <c r="B158" s="145">
        <v>757</v>
      </c>
      <c r="C158" s="83" t="s">
        <v>44</v>
      </c>
      <c r="D158" s="83" t="s">
        <v>19</v>
      </c>
      <c r="E158" s="83" t="s">
        <v>199</v>
      </c>
      <c r="F158" s="83" t="s">
        <v>31</v>
      </c>
      <c r="G158" s="84">
        <f>G159</f>
        <v>64975828.850000001</v>
      </c>
      <c r="H158" s="84">
        <f>H159</f>
        <v>64975828.850000001</v>
      </c>
      <c r="I158" s="172"/>
    </row>
    <row r="159" spans="1:9">
      <c r="A159" s="81" t="s">
        <v>32</v>
      </c>
      <c r="B159" s="145">
        <v>757</v>
      </c>
      <c r="C159" s="83" t="s">
        <v>44</v>
      </c>
      <c r="D159" s="83" t="s">
        <v>19</v>
      </c>
      <c r="E159" s="83" t="s">
        <v>199</v>
      </c>
      <c r="F159" s="83" t="s">
        <v>33</v>
      </c>
      <c r="G159" s="84">
        <v>64975828.850000001</v>
      </c>
      <c r="H159" s="84">
        <v>64975828.850000001</v>
      </c>
      <c r="I159" s="172"/>
    </row>
    <row r="160" spans="1:9" ht="82.5" hidden="1" customHeight="1">
      <c r="A160" s="81" t="s">
        <v>570</v>
      </c>
      <c r="B160" s="145">
        <v>757</v>
      </c>
      <c r="C160" s="83" t="s">
        <v>44</v>
      </c>
      <c r="D160" s="83" t="s">
        <v>19</v>
      </c>
      <c r="E160" s="83" t="s">
        <v>569</v>
      </c>
      <c r="F160" s="83"/>
      <c r="G160" s="84">
        <f>G161+G166+G169+G172</f>
        <v>0</v>
      </c>
      <c r="H160" s="84">
        <f t="shared" ref="H160" si="36">H161</f>
        <v>0</v>
      </c>
      <c r="I160" s="172"/>
    </row>
    <row r="161" spans="1:9" ht="91.5" hidden="1" customHeight="1">
      <c r="A161" s="139" t="s">
        <v>568</v>
      </c>
      <c r="B161" s="145">
        <v>757</v>
      </c>
      <c r="C161" s="83" t="s">
        <v>44</v>
      </c>
      <c r="D161" s="83" t="s">
        <v>19</v>
      </c>
      <c r="E161" s="83" t="s">
        <v>567</v>
      </c>
      <c r="F161" s="145"/>
      <c r="G161" s="84">
        <f>G162+G164</f>
        <v>0</v>
      </c>
      <c r="H161" s="86">
        <v>0</v>
      </c>
      <c r="I161" s="171"/>
    </row>
    <row r="162" spans="1:9" ht="25.5" hidden="1" customHeight="1">
      <c r="A162" s="81" t="s">
        <v>30</v>
      </c>
      <c r="B162" s="145">
        <v>757</v>
      </c>
      <c r="C162" s="83" t="s">
        <v>44</v>
      </c>
      <c r="D162" s="83" t="s">
        <v>19</v>
      </c>
      <c r="E162" s="83" t="s">
        <v>567</v>
      </c>
      <c r="F162" s="83" t="s">
        <v>31</v>
      </c>
      <c r="G162" s="84">
        <f>G163</f>
        <v>0</v>
      </c>
      <c r="H162" s="84">
        <f>H163</f>
        <v>0</v>
      </c>
      <c r="I162" s="172"/>
    </row>
    <row r="163" spans="1:9" ht="12.75" hidden="1" customHeight="1">
      <c r="A163" s="81" t="s">
        <v>32</v>
      </c>
      <c r="B163" s="145">
        <v>757</v>
      </c>
      <c r="C163" s="83" t="s">
        <v>44</v>
      </c>
      <c r="D163" s="83" t="s">
        <v>19</v>
      </c>
      <c r="E163" s="83" t="s">
        <v>567</v>
      </c>
      <c r="F163" s="83" t="s">
        <v>33</v>
      </c>
      <c r="G163" s="84"/>
      <c r="H163" s="86">
        <v>0</v>
      </c>
      <c r="I163" s="171"/>
    </row>
    <row r="164" spans="1:9" ht="12.75" hidden="1" customHeight="1">
      <c r="A164" s="81" t="s">
        <v>156</v>
      </c>
      <c r="B164" s="145">
        <v>757</v>
      </c>
      <c r="C164" s="83" t="s">
        <v>44</v>
      </c>
      <c r="D164" s="83" t="s">
        <v>19</v>
      </c>
      <c r="E164" s="83" t="s">
        <v>567</v>
      </c>
      <c r="F164" s="83" t="s">
        <v>157</v>
      </c>
      <c r="G164" s="84">
        <f>G165</f>
        <v>0</v>
      </c>
      <c r="H164" s="86">
        <v>0</v>
      </c>
      <c r="I164" s="171"/>
    </row>
    <row r="165" spans="1:9" ht="12.75" hidden="1" customHeight="1">
      <c r="A165" s="81" t="s">
        <v>170</v>
      </c>
      <c r="B165" s="145">
        <v>757</v>
      </c>
      <c r="C165" s="83" t="s">
        <v>44</v>
      </c>
      <c r="D165" s="83" t="s">
        <v>19</v>
      </c>
      <c r="E165" s="83" t="s">
        <v>567</v>
      </c>
      <c r="F165" s="83" t="s">
        <v>171</v>
      </c>
      <c r="G165" s="84"/>
      <c r="H165" s="86">
        <v>0</v>
      </c>
      <c r="I165" s="171"/>
    </row>
    <row r="166" spans="1:9" ht="77.25" hidden="1" customHeight="1">
      <c r="A166" s="139" t="s">
        <v>572</v>
      </c>
      <c r="B166" s="145">
        <v>757</v>
      </c>
      <c r="C166" s="83" t="s">
        <v>44</v>
      </c>
      <c r="D166" s="83" t="s">
        <v>19</v>
      </c>
      <c r="E166" s="83" t="s">
        <v>571</v>
      </c>
      <c r="F166" s="145"/>
      <c r="G166" s="84">
        <f>G167</f>
        <v>0</v>
      </c>
      <c r="H166" s="86">
        <v>0</v>
      </c>
      <c r="I166" s="171"/>
    </row>
    <row r="167" spans="1:9" ht="25.5" hidden="1" customHeight="1">
      <c r="A167" s="81" t="s">
        <v>30</v>
      </c>
      <c r="B167" s="145">
        <v>757</v>
      </c>
      <c r="C167" s="83" t="s">
        <v>44</v>
      </c>
      <c r="D167" s="83" t="s">
        <v>19</v>
      </c>
      <c r="E167" s="83" t="s">
        <v>571</v>
      </c>
      <c r="F167" s="83" t="s">
        <v>31</v>
      </c>
      <c r="G167" s="84">
        <f>G168</f>
        <v>0</v>
      </c>
      <c r="H167" s="84">
        <f>H168</f>
        <v>0</v>
      </c>
      <c r="I167" s="172"/>
    </row>
    <row r="168" spans="1:9" ht="12.75" hidden="1" customHeight="1">
      <c r="A168" s="81" t="s">
        <v>32</v>
      </c>
      <c r="B168" s="145">
        <v>757</v>
      </c>
      <c r="C168" s="83" t="s">
        <v>44</v>
      </c>
      <c r="D168" s="83" t="s">
        <v>19</v>
      </c>
      <c r="E168" s="83" t="s">
        <v>571</v>
      </c>
      <c r="F168" s="83" t="s">
        <v>33</v>
      </c>
      <c r="G168" s="84"/>
      <c r="H168" s="86">
        <v>0</v>
      </c>
      <c r="I168" s="171"/>
    </row>
    <row r="169" spans="1:9" ht="73.5" hidden="1" customHeight="1">
      <c r="A169" s="139" t="s">
        <v>573</v>
      </c>
      <c r="B169" s="145">
        <v>757</v>
      </c>
      <c r="C169" s="83" t="s">
        <v>44</v>
      </c>
      <c r="D169" s="83" t="s">
        <v>19</v>
      </c>
      <c r="E169" s="83" t="s">
        <v>574</v>
      </c>
      <c r="F169" s="145"/>
      <c r="G169" s="84">
        <f>G170</f>
        <v>0</v>
      </c>
      <c r="H169" s="86">
        <v>0</v>
      </c>
      <c r="I169" s="171"/>
    </row>
    <row r="170" spans="1:9" ht="25.5" hidden="1" customHeight="1">
      <c r="A170" s="81" t="s">
        <v>30</v>
      </c>
      <c r="B170" s="145">
        <v>757</v>
      </c>
      <c r="C170" s="83" t="s">
        <v>44</v>
      </c>
      <c r="D170" s="83" t="s">
        <v>19</v>
      </c>
      <c r="E170" s="83" t="s">
        <v>574</v>
      </c>
      <c r="F170" s="83" t="s">
        <v>31</v>
      </c>
      <c r="G170" s="84">
        <f>G171</f>
        <v>0</v>
      </c>
      <c r="H170" s="84">
        <f>H171</f>
        <v>0</v>
      </c>
      <c r="I170" s="172"/>
    </row>
    <row r="171" spans="1:9" ht="12.75" hidden="1" customHeight="1">
      <c r="A171" s="81" t="s">
        <v>32</v>
      </c>
      <c r="B171" s="145">
        <v>757</v>
      </c>
      <c r="C171" s="83" t="s">
        <v>44</v>
      </c>
      <c r="D171" s="83" t="s">
        <v>19</v>
      </c>
      <c r="E171" s="83" t="s">
        <v>574</v>
      </c>
      <c r="F171" s="83" t="s">
        <v>33</v>
      </c>
      <c r="G171" s="84"/>
      <c r="H171" s="86">
        <v>0</v>
      </c>
      <c r="I171" s="171"/>
    </row>
    <row r="172" spans="1:9" ht="68.25" hidden="1" customHeight="1">
      <c r="A172" s="139" t="s">
        <v>576</v>
      </c>
      <c r="B172" s="145">
        <v>757</v>
      </c>
      <c r="C172" s="83" t="s">
        <v>44</v>
      </c>
      <c r="D172" s="83" t="s">
        <v>19</v>
      </c>
      <c r="E172" s="83" t="s">
        <v>575</v>
      </c>
      <c r="F172" s="145"/>
      <c r="G172" s="84">
        <f>G178+G173</f>
        <v>0</v>
      </c>
      <c r="H172" s="84">
        <f t="shared" ref="H172" si="37">H178+H173</f>
        <v>0</v>
      </c>
      <c r="I172" s="172"/>
    </row>
    <row r="173" spans="1:9" ht="19.5" hidden="1" customHeight="1">
      <c r="A173" s="258" t="s">
        <v>156</v>
      </c>
      <c r="B173" s="145">
        <v>757</v>
      </c>
      <c r="C173" s="83" t="s">
        <v>44</v>
      </c>
      <c r="D173" s="83" t="s">
        <v>19</v>
      </c>
      <c r="E173" s="83" t="s">
        <v>575</v>
      </c>
      <c r="F173" s="145">
        <v>500</v>
      </c>
      <c r="G173" s="84">
        <f>G175</f>
        <v>0</v>
      </c>
      <c r="H173" s="86"/>
      <c r="I173" s="171"/>
    </row>
    <row r="174" spans="1:9" ht="49.5" hidden="1" customHeight="1">
      <c r="A174" s="81"/>
      <c r="B174" s="145"/>
      <c r="C174" s="83"/>
      <c r="D174" s="83"/>
      <c r="E174" s="83"/>
      <c r="F174" s="83"/>
      <c r="G174" s="84"/>
      <c r="H174" s="84"/>
      <c r="I174" s="172"/>
    </row>
    <row r="175" spans="1:9" ht="21.75" hidden="1" customHeight="1">
      <c r="A175" s="258" t="s">
        <v>178</v>
      </c>
      <c r="B175" s="145">
        <v>757</v>
      </c>
      <c r="C175" s="83" t="s">
        <v>44</v>
      </c>
      <c r="D175" s="83" t="s">
        <v>19</v>
      </c>
      <c r="E175" s="83" t="s">
        <v>575</v>
      </c>
      <c r="F175" s="145">
        <v>520</v>
      </c>
      <c r="G175" s="84"/>
      <c r="H175" s="86"/>
      <c r="I175" s="171"/>
    </row>
    <row r="176" spans="1:9" ht="49.5" hidden="1" customHeight="1">
      <c r="A176" s="81"/>
      <c r="B176" s="145"/>
      <c r="C176" s="83"/>
      <c r="D176" s="83"/>
      <c r="E176" s="83"/>
      <c r="F176" s="83"/>
      <c r="G176" s="84"/>
      <c r="H176" s="84"/>
      <c r="I176" s="172"/>
    </row>
    <row r="177" spans="1:9" ht="12.75" hidden="1" customHeight="1">
      <c r="A177" s="81"/>
      <c r="B177" s="145"/>
      <c r="C177" s="83"/>
      <c r="D177" s="83"/>
      <c r="E177" s="83"/>
      <c r="F177" s="83"/>
      <c r="G177" s="84"/>
      <c r="H177" s="84"/>
      <c r="I177" s="172"/>
    </row>
    <row r="178" spans="1:9" ht="12.75" hidden="1" customHeight="1">
      <c r="A178" s="81" t="s">
        <v>63</v>
      </c>
      <c r="B178" s="145">
        <v>757</v>
      </c>
      <c r="C178" s="83" t="s">
        <v>44</v>
      </c>
      <c r="D178" s="83" t="s">
        <v>19</v>
      </c>
      <c r="E178" s="83" t="s">
        <v>575</v>
      </c>
      <c r="F178" s="83" t="s">
        <v>64</v>
      </c>
      <c r="G178" s="84">
        <f>G179</f>
        <v>0</v>
      </c>
      <c r="H178" s="84">
        <f>H179</f>
        <v>0</v>
      </c>
      <c r="I178" s="172"/>
    </row>
    <row r="179" spans="1:9" ht="12.75" hidden="1" customHeight="1">
      <c r="A179" s="81" t="s">
        <v>180</v>
      </c>
      <c r="B179" s="145">
        <v>757</v>
      </c>
      <c r="C179" s="83" t="s">
        <v>44</v>
      </c>
      <c r="D179" s="83" t="s">
        <v>19</v>
      </c>
      <c r="E179" s="83" t="s">
        <v>575</v>
      </c>
      <c r="F179" s="83" t="s">
        <v>181</v>
      </c>
      <c r="G179" s="84"/>
      <c r="H179" s="86">
        <v>0</v>
      </c>
      <c r="I179" s="171"/>
    </row>
    <row r="180" spans="1:9" ht="31.5" customHeight="1">
      <c r="A180" s="139" t="s">
        <v>813</v>
      </c>
      <c r="B180" s="145">
        <v>757</v>
      </c>
      <c r="C180" s="83" t="s">
        <v>44</v>
      </c>
      <c r="D180" s="83" t="s">
        <v>19</v>
      </c>
      <c r="E180" s="83" t="s">
        <v>743</v>
      </c>
      <c r="F180" s="145"/>
      <c r="G180" s="84">
        <f>G181</f>
        <v>200000</v>
      </c>
      <c r="H180" s="84">
        <f t="shared" ref="H180" si="38">H181</f>
        <v>200000</v>
      </c>
      <c r="I180" s="172"/>
    </row>
    <row r="181" spans="1:9" ht="38.25" customHeight="1">
      <c r="A181" s="81" t="s">
        <v>30</v>
      </c>
      <c r="B181" s="145">
        <v>757</v>
      </c>
      <c r="C181" s="83" t="s">
        <v>44</v>
      </c>
      <c r="D181" s="83" t="s">
        <v>19</v>
      </c>
      <c r="E181" s="83" t="s">
        <v>743</v>
      </c>
      <c r="F181" s="83" t="s">
        <v>31</v>
      </c>
      <c r="G181" s="84">
        <f>G182</f>
        <v>200000</v>
      </c>
      <c r="H181" s="84">
        <f>H182</f>
        <v>200000</v>
      </c>
      <c r="I181" s="172"/>
    </row>
    <row r="182" spans="1:9">
      <c r="A182" s="81" t="s">
        <v>32</v>
      </c>
      <c r="B182" s="145">
        <v>757</v>
      </c>
      <c r="C182" s="83" t="s">
        <v>44</v>
      </c>
      <c r="D182" s="83" t="s">
        <v>19</v>
      </c>
      <c r="E182" s="83" t="s">
        <v>743</v>
      </c>
      <c r="F182" s="83" t="s">
        <v>33</v>
      </c>
      <c r="G182" s="84">
        <v>200000</v>
      </c>
      <c r="H182" s="84">
        <v>200000</v>
      </c>
      <c r="I182" s="172"/>
    </row>
    <row r="183" spans="1:9" ht="31.5" hidden="1" customHeight="1">
      <c r="A183" s="139" t="s">
        <v>748</v>
      </c>
      <c r="B183" s="145">
        <v>757</v>
      </c>
      <c r="C183" s="83" t="s">
        <v>44</v>
      </c>
      <c r="D183" s="83" t="s">
        <v>19</v>
      </c>
      <c r="E183" s="83" t="s">
        <v>742</v>
      </c>
      <c r="F183" s="145"/>
      <c r="G183" s="84">
        <f>G184</f>
        <v>0</v>
      </c>
      <c r="H183" s="84">
        <f t="shared" ref="H183" si="39">H184</f>
        <v>0</v>
      </c>
      <c r="I183" s="172"/>
    </row>
    <row r="184" spans="1:9" ht="49.5" hidden="1" customHeight="1">
      <c r="A184" s="81" t="s">
        <v>30</v>
      </c>
      <c r="B184" s="145">
        <v>757</v>
      </c>
      <c r="C184" s="83" t="s">
        <v>44</v>
      </c>
      <c r="D184" s="83" t="s">
        <v>19</v>
      </c>
      <c r="E184" s="83" t="s">
        <v>742</v>
      </c>
      <c r="F184" s="83" t="s">
        <v>31</v>
      </c>
      <c r="G184" s="84">
        <f>G185</f>
        <v>0</v>
      </c>
      <c r="H184" s="84">
        <f>H185</f>
        <v>0</v>
      </c>
      <c r="I184" s="172"/>
    </row>
    <row r="185" spans="1:9" hidden="1">
      <c r="A185" s="81" t="s">
        <v>32</v>
      </c>
      <c r="B185" s="145">
        <v>757</v>
      </c>
      <c r="C185" s="83" t="s">
        <v>44</v>
      </c>
      <c r="D185" s="83" t="s">
        <v>19</v>
      </c>
      <c r="E185" s="83" t="s">
        <v>742</v>
      </c>
      <c r="F185" s="83" t="s">
        <v>33</v>
      </c>
      <c r="G185" s="84"/>
      <c r="H185" s="84"/>
      <c r="I185" s="172"/>
    </row>
    <row r="186" spans="1:9" ht="38.25" customHeight="1">
      <c r="A186" s="139" t="s">
        <v>747</v>
      </c>
      <c r="B186" s="145">
        <v>757</v>
      </c>
      <c r="C186" s="83" t="s">
        <v>44</v>
      </c>
      <c r="D186" s="83" t="s">
        <v>19</v>
      </c>
      <c r="E186" s="83" t="s">
        <v>746</v>
      </c>
      <c r="F186" s="145"/>
      <c r="G186" s="84">
        <f>G187</f>
        <v>0</v>
      </c>
      <c r="H186" s="84">
        <f t="shared" ref="H186" si="40">H187</f>
        <v>0</v>
      </c>
      <c r="I186" s="172"/>
    </row>
    <row r="187" spans="1:9" ht="37.5" customHeight="1">
      <c r="A187" s="81" t="s">
        <v>30</v>
      </c>
      <c r="B187" s="145">
        <v>757</v>
      </c>
      <c r="C187" s="83" t="s">
        <v>44</v>
      </c>
      <c r="D187" s="83" t="s">
        <v>19</v>
      </c>
      <c r="E187" s="83" t="s">
        <v>746</v>
      </c>
      <c r="F187" s="83" t="s">
        <v>31</v>
      </c>
      <c r="G187" s="84">
        <f>G188</f>
        <v>0</v>
      </c>
      <c r="H187" s="84">
        <f>H188</f>
        <v>0</v>
      </c>
      <c r="I187" s="172"/>
    </row>
    <row r="188" spans="1:9">
      <c r="A188" s="81" t="s">
        <v>32</v>
      </c>
      <c r="B188" s="145">
        <v>757</v>
      </c>
      <c r="C188" s="83" t="s">
        <v>44</v>
      </c>
      <c r="D188" s="83" t="s">
        <v>19</v>
      </c>
      <c r="E188" s="83" t="s">
        <v>746</v>
      </c>
      <c r="F188" s="83" t="s">
        <v>33</v>
      </c>
      <c r="G188" s="84">
        <v>0</v>
      </c>
      <c r="H188" s="84">
        <v>0</v>
      </c>
      <c r="I188" s="172"/>
    </row>
    <row r="189" spans="1:9" ht="54.75" hidden="1" customHeight="1">
      <c r="A189" s="139" t="s">
        <v>779</v>
      </c>
      <c r="B189" s="145">
        <v>757</v>
      </c>
      <c r="C189" s="83" t="s">
        <v>44</v>
      </c>
      <c r="D189" s="83" t="s">
        <v>19</v>
      </c>
      <c r="E189" s="83" t="s">
        <v>778</v>
      </c>
      <c r="F189" s="145"/>
      <c r="G189" s="84">
        <f>G190</f>
        <v>0</v>
      </c>
      <c r="H189" s="84">
        <f t="shared" ref="H189" si="41">H190</f>
        <v>0</v>
      </c>
      <c r="I189" s="172"/>
    </row>
    <row r="190" spans="1:9" ht="49.5" hidden="1" customHeight="1">
      <c r="A190" s="81" t="s">
        <v>30</v>
      </c>
      <c r="B190" s="145">
        <v>757</v>
      </c>
      <c r="C190" s="83" t="s">
        <v>44</v>
      </c>
      <c r="D190" s="83" t="s">
        <v>19</v>
      </c>
      <c r="E190" s="83" t="s">
        <v>778</v>
      </c>
      <c r="F190" s="83" t="s">
        <v>31</v>
      </c>
      <c r="G190" s="84">
        <f>G191</f>
        <v>0</v>
      </c>
      <c r="H190" s="84">
        <f>H191</f>
        <v>0</v>
      </c>
      <c r="I190" s="172"/>
    </row>
    <row r="191" spans="1:9" hidden="1">
      <c r="A191" s="81" t="s">
        <v>32</v>
      </c>
      <c r="B191" s="145">
        <v>757</v>
      </c>
      <c r="C191" s="83" t="s">
        <v>44</v>
      </c>
      <c r="D191" s="83" t="s">
        <v>19</v>
      </c>
      <c r="E191" s="83" t="s">
        <v>778</v>
      </c>
      <c r="F191" s="83" t="s">
        <v>33</v>
      </c>
      <c r="G191" s="84"/>
      <c r="H191" s="84"/>
      <c r="I191" s="172"/>
    </row>
    <row r="192" spans="1:9" ht="21" customHeight="1">
      <c r="A192" s="131" t="s">
        <v>963</v>
      </c>
      <c r="B192" s="145">
        <v>757</v>
      </c>
      <c r="C192" s="83" t="s">
        <v>44</v>
      </c>
      <c r="D192" s="83" t="s">
        <v>19</v>
      </c>
      <c r="E192" s="83" t="s">
        <v>962</v>
      </c>
      <c r="F192" s="145"/>
      <c r="G192" s="84">
        <f>G193</f>
        <v>226847</v>
      </c>
      <c r="H192" s="84">
        <f t="shared" ref="H192" si="42">H193</f>
        <v>226847</v>
      </c>
      <c r="I192" s="172"/>
    </row>
    <row r="193" spans="1:17" ht="33" customHeight="1">
      <c r="A193" s="81" t="s">
        <v>30</v>
      </c>
      <c r="B193" s="145">
        <v>757</v>
      </c>
      <c r="C193" s="83" t="s">
        <v>44</v>
      </c>
      <c r="D193" s="83" t="s">
        <v>19</v>
      </c>
      <c r="E193" s="83" t="s">
        <v>962</v>
      </c>
      <c r="F193" s="83" t="s">
        <v>31</v>
      </c>
      <c r="G193" s="84">
        <f>G194</f>
        <v>226847</v>
      </c>
      <c r="H193" s="84">
        <f>H194</f>
        <v>226847</v>
      </c>
      <c r="I193" s="172"/>
    </row>
    <row r="194" spans="1:17">
      <c r="A194" s="81" t="s">
        <v>32</v>
      </c>
      <c r="B194" s="145">
        <v>757</v>
      </c>
      <c r="C194" s="83" t="s">
        <v>44</v>
      </c>
      <c r="D194" s="83" t="s">
        <v>19</v>
      </c>
      <c r="E194" s="83" t="s">
        <v>962</v>
      </c>
      <c r="F194" s="83" t="s">
        <v>33</v>
      </c>
      <c r="G194" s="84">
        <v>226847</v>
      </c>
      <c r="H194" s="84">
        <v>226847</v>
      </c>
      <c r="I194" s="172"/>
    </row>
    <row r="195" spans="1:17" s="3" customFormat="1" ht="15" customHeight="1">
      <c r="A195" s="136" t="s">
        <v>48</v>
      </c>
      <c r="B195" s="145">
        <v>757</v>
      </c>
      <c r="C195" s="83" t="s">
        <v>44</v>
      </c>
      <c r="D195" s="83" t="s">
        <v>19</v>
      </c>
      <c r="E195" s="83" t="s">
        <v>200</v>
      </c>
      <c r="F195" s="83"/>
      <c r="G195" s="94">
        <f>G196</f>
        <v>7927812.8600000003</v>
      </c>
      <c r="H195" s="94">
        <f t="shared" ref="G195:H203" si="43">H196</f>
        <v>7927812.8600000003</v>
      </c>
      <c r="I195" s="173"/>
      <c r="J195" s="190"/>
      <c r="K195" s="190"/>
      <c r="L195" s="190"/>
      <c r="M195" s="190"/>
      <c r="N195" s="190"/>
      <c r="O195" s="190"/>
      <c r="P195" s="190"/>
      <c r="Q195" s="190"/>
    </row>
    <row r="196" spans="1:17" ht="25.5">
      <c r="A196" s="81" t="s">
        <v>30</v>
      </c>
      <c r="B196" s="145">
        <v>757</v>
      </c>
      <c r="C196" s="83" t="s">
        <v>44</v>
      </c>
      <c r="D196" s="83" t="s">
        <v>19</v>
      </c>
      <c r="E196" s="83" t="s">
        <v>200</v>
      </c>
      <c r="F196" s="83" t="s">
        <v>31</v>
      </c>
      <c r="G196" s="84">
        <f t="shared" si="43"/>
        <v>7927812.8600000003</v>
      </c>
      <c r="H196" s="84">
        <f t="shared" si="43"/>
        <v>7927812.8600000003</v>
      </c>
      <c r="I196" s="172"/>
    </row>
    <row r="197" spans="1:17">
      <c r="A197" s="81" t="s">
        <v>32</v>
      </c>
      <c r="B197" s="145">
        <v>757</v>
      </c>
      <c r="C197" s="83" t="s">
        <v>44</v>
      </c>
      <c r="D197" s="83" t="s">
        <v>19</v>
      </c>
      <c r="E197" s="83" t="s">
        <v>200</v>
      </c>
      <c r="F197" s="83" t="s">
        <v>33</v>
      </c>
      <c r="G197" s="84">
        <v>7927812.8600000003</v>
      </c>
      <c r="H197" s="84">
        <v>7927812.8600000003</v>
      </c>
      <c r="I197" s="172"/>
    </row>
    <row r="198" spans="1:17" s="3" customFormat="1" ht="49.5" hidden="1" customHeight="1">
      <c r="A198" s="136" t="s">
        <v>883</v>
      </c>
      <c r="B198" s="145">
        <v>757</v>
      </c>
      <c r="C198" s="83" t="s">
        <v>44</v>
      </c>
      <c r="D198" s="83" t="s">
        <v>19</v>
      </c>
      <c r="E198" s="83" t="s">
        <v>882</v>
      </c>
      <c r="F198" s="83"/>
      <c r="G198" s="94">
        <f>G199</f>
        <v>0</v>
      </c>
      <c r="H198" s="94">
        <f t="shared" si="43"/>
        <v>0</v>
      </c>
      <c r="I198" s="173"/>
      <c r="J198" s="190"/>
      <c r="K198" s="190"/>
      <c r="L198" s="190"/>
      <c r="M198" s="190"/>
      <c r="N198" s="190"/>
      <c r="O198" s="190"/>
      <c r="P198" s="190"/>
      <c r="Q198" s="190"/>
    </row>
    <row r="199" spans="1:17" ht="25.5" hidden="1">
      <c r="A199" s="81" t="s">
        <v>30</v>
      </c>
      <c r="B199" s="145">
        <v>757</v>
      </c>
      <c r="C199" s="83" t="s">
        <v>44</v>
      </c>
      <c r="D199" s="83" t="s">
        <v>19</v>
      </c>
      <c r="E199" s="83" t="s">
        <v>882</v>
      </c>
      <c r="F199" s="83" t="s">
        <v>31</v>
      </c>
      <c r="G199" s="84">
        <f t="shared" si="43"/>
        <v>0</v>
      </c>
      <c r="H199" s="84">
        <f t="shared" si="43"/>
        <v>0</v>
      </c>
      <c r="I199" s="172"/>
    </row>
    <row r="200" spans="1:17" hidden="1">
      <c r="A200" s="81" t="s">
        <v>32</v>
      </c>
      <c r="B200" s="145">
        <v>757</v>
      </c>
      <c r="C200" s="83" t="s">
        <v>44</v>
      </c>
      <c r="D200" s="83" t="s">
        <v>19</v>
      </c>
      <c r="E200" s="83" t="s">
        <v>882</v>
      </c>
      <c r="F200" s="83" t="s">
        <v>33</v>
      </c>
      <c r="G200" s="84">
        <v>0</v>
      </c>
      <c r="H200" s="84"/>
      <c r="I200" s="172"/>
    </row>
    <row r="201" spans="1:17" ht="27.75" customHeight="1">
      <c r="A201" s="81" t="s">
        <v>916</v>
      </c>
      <c r="B201" s="145">
        <v>757</v>
      </c>
      <c r="C201" s="83" t="s">
        <v>44</v>
      </c>
      <c r="D201" s="83" t="s">
        <v>19</v>
      </c>
      <c r="E201" s="83" t="s">
        <v>917</v>
      </c>
      <c r="F201" s="83"/>
      <c r="G201" s="84">
        <f>G202</f>
        <v>4682558</v>
      </c>
      <c r="H201" s="84">
        <f t="shared" ref="H201" si="44">H202</f>
        <v>4682558</v>
      </c>
      <c r="I201" s="172"/>
    </row>
    <row r="202" spans="1:17" s="3" customFormat="1" ht="27.75" customHeight="1">
      <c r="A202" s="136" t="s">
        <v>884</v>
      </c>
      <c r="B202" s="145">
        <v>757</v>
      </c>
      <c r="C202" s="83" t="s">
        <v>44</v>
      </c>
      <c r="D202" s="83" t="s">
        <v>19</v>
      </c>
      <c r="E202" s="83" t="s">
        <v>915</v>
      </c>
      <c r="F202" s="83"/>
      <c r="G202" s="94">
        <f>G203</f>
        <v>4682558</v>
      </c>
      <c r="H202" s="94">
        <f t="shared" si="43"/>
        <v>4682558</v>
      </c>
      <c r="I202" s="173"/>
      <c r="J202" s="190"/>
      <c r="K202" s="190"/>
      <c r="L202" s="190"/>
      <c r="M202" s="190"/>
      <c r="N202" s="190"/>
      <c r="O202" s="190"/>
      <c r="P202" s="190"/>
      <c r="Q202" s="190"/>
    </row>
    <row r="203" spans="1:17" ht="25.5">
      <c r="A203" s="81" t="s">
        <v>30</v>
      </c>
      <c r="B203" s="145">
        <v>757</v>
      </c>
      <c r="C203" s="83" t="s">
        <v>44</v>
      </c>
      <c r="D203" s="83" t="s">
        <v>19</v>
      </c>
      <c r="E203" s="83" t="s">
        <v>915</v>
      </c>
      <c r="F203" s="83" t="s">
        <v>31</v>
      </c>
      <c r="G203" s="84">
        <f t="shared" si="43"/>
        <v>4682558</v>
      </c>
      <c r="H203" s="84">
        <f t="shared" si="43"/>
        <v>4682558</v>
      </c>
      <c r="I203" s="172"/>
    </row>
    <row r="204" spans="1:17">
      <c r="A204" s="81" t="s">
        <v>32</v>
      </c>
      <c r="B204" s="145">
        <v>757</v>
      </c>
      <c r="C204" s="83" t="s">
        <v>44</v>
      </c>
      <c r="D204" s="83" t="s">
        <v>19</v>
      </c>
      <c r="E204" s="83" t="s">
        <v>915</v>
      </c>
      <c r="F204" s="83" t="s">
        <v>33</v>
      </c>
      <c r="G204" s="84">
        <v>4682558</v>
      </c>
      <c r="H204" s="84">
        <v>4682558</v>
      </c>
      <c r="I204" s="172"/>
    </row>
    <row r="205" spans="1:17" s="3" customFormat="1" ht="15" customHeight="1">
      <c r="A205" s="137" t="s">
        <v>49</v>
      </c>
      <c r="B205" s="145">
        <v>757</v>
      </c>
      <c r="C205" s="83" t="s">
        <v>44</v>
      </c>
      <c r="D205" s="83" t="s">
        <v>19</v>
      </c>
      <c r="E205" s="83" t="s">
        <v>201</v>
      </c>
      <c r="F205" s="83"/>
      <c r="G205" s="94">
        <f t="shared" ref="G205:H206" si="45">G206</f>
        <v>40307651.82</v>
      </c>
      <c r="H205" s="94">
        <f t="shared" si="45"/>
        <v>40307651.82</v>
      </c>
      <c r="I205" s="173"/>
      <c r="J205" s="190"/>
      <c r="K205" s="190"/>
      <c r="L205" s="190"/>
      <c r="M205" s="190"/>
      <c r="N205" s="190"/>
      <c r="O205" s="190"/>
      <c r="P205" s="190"/>
      <c r="Q205" s="190"/>
    </row>
    <row r="206" spans="1:17" ht="25.5">
      <c r="A206" s="81" t="s">
        <v>30</v>
      </c>
      <c r="B206" s="145">
        <v>757</v>
      </c>
      <c r="C206" s="83" t="s">
        <v>44</v>
      </c>
      <c r="D206" s="83" t="s">
        <v>19</v>
      </c>
      <c r="E206" s="83" t="s">
        <v>201</v>
      </c>
      <c r="F206" s="83" t="s">
        <v>31</v>
      </c>
      <c r="G206" s="84">
        <f>G207</f>
        <v>40307651.82</v>
      </c>
      <c r="H206" s="84">
        <f t="shared" si="45"/>
        <v>40307651.82</v>
      </c>
      <c r="I206" s="172"/>
    </row>
    <row r="207" spans="1:17">
      <c r="A207" s="81" t="s">
        <v>32</v>
      </c>
      <c r="B207" s="145">
        <v>757</v>
      </c>
      <c r="C207" s="83" t="s">
        <v>44</v>
      </c>
      <c r="D207" s="83" t="s">
        <v>19</v>
      </c>
      <c r="E207" s="83" t="s">
        <v>201</v>
      </c>
      <c r="F207" s="83" t="s">
        <v>33</v>
      </c>
      <c r="G207" s="84">
        <f>40105640.34+73994.5+128016.98</f>
        <v>40307651.82</v>
      </c>
      <c r="H207" s="84">
        <v>40307651.82</v>
      </c>
      <c r="I207" s="172"/>
    </row>
    <row r="208" spans="1:17" ht="36" hidden="1" customHeight="1">
      <c r="A208" s="81" t="s">
        <v>539</v>
      </c>
      <c r="B208" s="145">
        <v>757</v>
      </c>
      <c r="C208" s="83" t="s">
        <v>44</v>
      </c>
      <c r="D208" s="83" t="s">
        <v>19</v>
      </c>
      <c r="E208" s="83" t="s">
        <v>540</v>
      </c>
      <c r="F208" s="83"/>
      <c r="G208" s="86">
        <f>G210</f>
        <v>0</v>
      </c>
      <c r="H208" s="86">
        <v>0</v>
      </c>
      <c r="I208" s="171"/>
    </row>
    <row r="209" spans="1:9" ht="36" hidden="1" customHeight="1">
      <c r="A209" s="81" t="s">
        <v>30</v>
      </c>
      <c r="B209" s="145">
        <v>757</v>
      </c>
      <c r="C209" s="83" t="s">
        <v>44</v>
      </c>
      <c r="D209" s="83" t="s">
        <v>19</v>
      </c>
      <c r="E209" s="83" t="s">
        <v>540</v>
      </c>
      <c r="F209" s="83" t="s">
        <v>31</v>
      </c>
      <c r="G209" s="86">
        <f>G210</f>
        <v>0</v>
      </c>
      <c r="H209" s="86">
        <v>0</v>
      </c>
      <c r="I209" s="171"/>
    </row>
    <row r="210" spans="1:9" ht="19.5" hidden="1" customHeight="1">
      <c r="A210" s="81" t="s">
        <v>32</v>
      </c>
      <c r="B210" s="145">
        <v>757</v>
      </c>
      <c r="C210" s="83" t="s">
        <v>44</v>
      </c>
      <c r="D210" s="83" t="s">
        <v>19</v>
      </c>
      <c r="E210" s="83" t="s">
        <v>540</v>
      </c>
      <c r="F210" s="83" t="s">
        <v>33</v>
      </c>
      <c r="G210" s="86"/>
      <c r="H210" s="86">
        <v>0</v>
      </c>
      <c r="I210" s="171"/>
    </row>
    <row r="211" spans="1:9" ht="76.5" hidden="1">
      <c r="A211" s="81" t="s">
        <v>394</v>
      </c>
      <c r="B211" s="145">
        <v>757</v>
      </c>
      <c r="C211" s="83" t="s">
        <v>44</v>
      </c>
      <c r="D211" s="83" t="s">
        <v>19</v>
      </c>
      <c r="E211" s="83" t="s">
        <v>393</v>
      </c>
      <c r="F211" s="83"/>
      <c r="G211" s="84">
        <f>G212</f>
        <v>0</v>
      </c>
      <c r="H211" s="84">
        <f>H212</f>
        <v>0</v>
      </c>
      <c r="I211" s="172"/>
    </row>
    <row r="212" spans="1:9" hidden="1">
      <c r="A212" s="81" t="s">
        <v>32</v>
      </c>
      <c r="B212" s="145">
        <v>757</v>
      </c>
      <c r="C212" s="83" t="s">
        <v>44</v>
      </c>
      <c r="D212" s="83" t="s">
        <v>19</v>
      </c>
      <c r="E212" s="83" t="s">
        <v>393</v>
      </c>
      <c r="F212" s="83" t="s">
        <v>33</v>
      </c>
      <c r="G212" s="84"/>
      <c r="H212" s="84"/>
      <c r="I212" s="172"/>
    </row>
    <row r="213" spans="1:9" ht="19.5" hidden="1" customHeight="1">
      <c r="A213" s="81" t="s">
        <v>392</v>
      </c>
      <c r="B213" s="145">
        <v>757</v>
      </c>
      <c r="C213" s="83" t="s">
        <v>44</v>
      </c>
      <c r="D213" s="83" t="s">
        <v>19</v>
      </c>
      <c r="E213" s="83" t="s">
        <v>126</v>
      </c>
      <c r="F213" s="83"/>
      <c r="G213" s="86">
        <f>G214</f>
        <v>0</v>
      </c>
      <c r="H213" s="86">
        <v>0</v>
      </c>
      <c r="I213" s="171"/>
    </row>
    <row r="214" spans="1:9" ht="39.75" hidden="1" customHeight="1">
      <c r="A214" s="81" t="s">
        <v>30</v>
      </c>
      <c r="B214" s="145">
        <v>757</v>
      </c>
      <c r="C214" s="83" t="s">
        <v>44</v>
      </c>
      <c r="D214" s="83" t="s">
        <v>19</v>
      </c>
      <c r="E214" s="83" t="s">
        <v>126</v>
      </c>
      <c r="F214" s="83" t="s">
        <v>31</v>
      </c>
      <c r="G214" s="86">
        <f>G215</f>
        <v>0</v>
      </c>
      <c r="H214" s="86">
        <v>0</v>
      </c>
      <c r="I214" s="171"/>
    </row>
    <row r="215" spans="1:9" ht="20.25" hidden="1" customHeight="1">
      <c r="A215" s="81" t="s">
        <v>32</v>
      </c>
      <c r="B215" s="145">
        <v>757</v>
      </c>
      <c r="C215" s="83" t="s">
        <v>44</v>
      </c>
      <c r="D215" s="83" t="s">
        <v>19</v>
      </c>
      <c r="E215" s="83" t="s">
        <v>126</v>
      </c>
      <c r="F215" s="83" t="s">
        <v>33</v>
      </c>
      <c r="G215" s="86"/>
      <c r="H215" s="86">
        <v>0</v>
      </c>
      <c r="I215" s="171"/>
    </row>
    <row r="216" spans="1:9" ht="39" hidden="1" customHeight="1">
      <c r="A216" s="81" t="s">
        <v>184</v>
      </c>
      <c r="B216" s="145">
        <v>757</v>
      </c>
      <c r="C216" s="83" t="s">
        <v>44</v>
      </c>
      <c r="D216" s="83" t="s">
        <v>19</v>
      </c>
      <c r="E216" s="83" t="s">
        <v>183</v>
      </c>
      <c r="F216" s="83"/>
      <c r="G216" s="86">
        <f>G217</f>
        <v>0</v>
      </c>
      <c r="H216" s="86">
        <f t="shared" ref="H216" si="46">H217</f>
        <v>0</v>
      </c>
      <c r="I216" s="171"/>
    </row>
    <row r="217" spans="1:9" ht="39.75" hidden="1" customHeight="1">
      <c r="A217" s="81" t="s">
        <v>30</v>
      </c>
      <c r="B217" s="145">
        <v>757</v>
      </c>
      <c r="C217" s="83" t="s">
        <v>44</v>
      </c>
      <c r="D217" s="83" t="s">
        <v>19</v>
      </c>
      <c r="E217" s="83" t="s">
        <v>183</v>
      </c>
      <c r="F217" s="83" t="s">
        <v>31</v>
      </c>
      <c r="G217" s="86">
        <f>G218</f>
        <v>0</v>
      </c>
      <c r="H217" s="86">
        <f t="shared" ref="H217" si="47">H218</f>
        <v>0</v>
      </c>
      <c r="I217" s="171"/>
    </row>
    <row r="218" spans="1:9" ht="20.25" hidden="1" customHeight="1">
      <c r="A218" s="81" t="s">
        <v>32</v>
      </c>
      <c r="B218" s="145">
        <v>757</v>
      </c>
      <c r="C218" s="83" t="s">
        <v>44</v>
      </c>
      <c r="D218" s="83" t="s">
        <v>19</v>
      </c>
      <c r="E218" s="83" t="s">
        <v>183</v>
      </c>
      <c r="F218" s="83" t="s">
        <v>33</v>
      </c>
      <c r="G218" s="86">
        <v>0</v>
      </c>
      <c r="H218" s="86"/>
      <c r="I218" s="171"/>
    </row>
    <row r="219" spans="1:9" ht="37.5" customHeight="1">
      <c r="A219" s="81" t="s">
        <v>433</v>
      </c>
      <c r="B219" s="145">
        <v>757</v>
      </c>
      <c r="C219" s="83" t="s">
        <v>44</v>
      </c>
      <c r="D219" s="83" t="s">
        <v>19</v>
      </c>
      <c r="E219" s="83" t="s">
        <v>406</v>
      </c>
      <c r="F219" s="83"/>
      <c r="G219" s="84">
        <f t="shared" ref="G219:H220" si="48">G220</f>
        <v>128051.19999999998</v>
      </c>
      <c r="H219" s="84">
        <f t="shared" si="48"/>
        <v>128051.2</v>
      </c>
      <c r="I219" s="172"/>
    </row>
    <row r="220" spans="1:9" ht="25.5">
      <c r="A220" s="81" t="s">
        <v>30</v>
      </c>
      <c r="B220" s="145">
        <v>757</v>
      </c>
      <c r="C220" s="83" t="s">
        <v>44</v>
      </c>
      <c r="D220" s="83" t="s">
        <v>19</v>
      </c>
      <c r="E220" s="83" t="s">
        <v>406</v>
      </c>
      <c r="F220" s="83" t="s">
        <v>31</v>
      </c>
      <c r="G220" s="84">
        <f t="shared" si="48"/>
        <v>128051.19999999998</v>
      </c>
      <c r="H220" s="84">
        <f t="shared" si="48"/>
        <v>128051.2</v>
      </c>
      <c r="I220" s="172"/>
    </row>
    <row r="221" spans="1:9">
      <c r="A221" s="81" t="s">
        <v>32</v>
      </c>
      <c r="B221" s="145">
        <v>757</v>
      </c>
      <c r="C221" s="83" t="s">
        <v>44</v>
      </c>
      <c r="D221" s="83" t="s">
        <v>19</v>
      </c>
      <c r="E221" s="83" t="s">
        <v>406</v>
      </c>
      <c r="F221" s="83" t="s">
        <v>33</v>
      </c>
      <c r="G221" s="84">
        <f>209082.74-100239.22+19207.68</f>
        <v>128051.19999999998</v>
      </c>
      <c r="H221" s="84">
        <v>128051.2</v>
      </c>
      <c r="I221" s="172"/>
    </row>
    <row r="222" spans="1:9" hidden="1">
      <c r="A222" s="81" t="s">
        <v>426</v>
      </c>
      <c r="B222" s="145">
        <v>757</v>
      </c>
      <c r="C222" s="83" t="s">
        <v>44</v>
      </c>
      <c r="D222" s="83" t="s">
        <v>19</v>
      </c>
      <c r="E222" s="83" t="s">
        <v>425</v>
      </c>
      <c r="F222" s="83"/>
      <c r="G222" s="84"/>
      <c r="H222" s="84">
        <f>H223</f>
        <v>0</v>
      </c>
      <c r="I222" s="172"/>
    </row>
    <row r="223" spans="1:9" hidden="1">
      <c r="A223" s="81" t="s">
        <v>272</v>
      </c>
      <c r="B223" s="145">
        <v>757</v>
      </c>
      <c r="C223" s="83" t="s">
        <v>44</v>
      </c>
      <c r="D223" s="83" t="s">
        <v>19</v>
      </c>
      <c r="E223" s="83" t="s">
        <v>565</v>
      </c>
      <c r="F223" s="83"/>
      <c r="G223" s="84">
        <f>G224</f>
        <v>0</v>
      </c>
      <c r="H223" s="84"/>
      <c r="I223" s="172"/>
    </row>
    <row r="224" spans="1:9" hidden="1">
      <c r="A224" s="81" t="s">
        <v>272</v>
      </c>
      <c r="B224" s="145">
        <v>757</v>
      </c>
      <c r="C224" s="83" t="s">
        <v>44</v>
      </c>
      <c r="D224" s="83" t="s">
        <v>19</v>
      </c>
      <c r="E224" s="83" t="s">
        <v>566</v>
      </c>
      <c r="F224" s="83"/>
      <c r="G224" s="84">
        <f t="shared" ref="G224:H225" si="49">G225</f>
        <v>0</v>
      </c>
      <c r="H224" s="84">
        <f t="shared" si="49"/>
        <v>0</v>
      </c>
      <c r="I224" s="172"/>
    </row>
    <row r="225" spans="1:17" ht="25.5" hidden="1">
      <c r="A225" s="81" t="s">
        <v>30</v>
      </c>
      <c r="B225" s="145">
        <v>757</v>
      </c>
      <c r="C225" s="83" t="s">
        <v>44</v>
      </c>
      <c r="D225" s="83" t="s">
        <v>19</v>
      </c>
      <c r="E225" s="83" t="s">
        <v>566</v>
      </c>
      <c r="F225" s="83" t="s">
        <v>31</v>
      </c>
      <c r="G225" s="84">
        <f t="shared" si="49"/>
        <v>0</v>
      </c>
      <c r="H225" s="84">
        <f t="shared" si="49"/>
        <v>0</v>
      </c>
      <c r="I225" s="172"/>
    </row>
    <row r="226" spans="1:17" hidden="1">
      <c r="A226" s="81" t="s">
        <v>32</v>
      </c>
      <c r="B226" s="145">
        <v>757</v>
      </c>
      <c r="C226" s="83" t="s">
        <v>44</v>
      </c>
      <c r="D226" s="83" t="s">
        <v>19</v>
      </c>
      <c r="E226" s="83" t="s">
        <v>566</v>
      </c>
      <c r="F226" s="83" t="s">
        <v>33</v>
      </c>
      <c r="G226" s="84"/>
      <c r="H226" s="84"/>
      <c r="I226" s="172"/>
    </row>
    <row r="227" spans="1:17" ht="25.5" hidden="1">
      <c r="A227" s="81" t="s">
        <v>169</v>
      </c>
      <c r="B227" s="145">
        <v>757</v>
      </c>
      <c r="C227" s="83" t="s">
        <v>44</v>
      </c>
      <c r="D227" s="83" t="s">
        <v>19</v>
      </c>
      <c r="E227" s="83" t="s">
        <v>408</v>
      </c>
      <c r="F227" s="83"/>
      <c r="G227" s="84">
        <f>G229</f>
        <v>0</v>
      </c>
      <c r="H227" s="84">
        <f>H229</f>
        <v>0</v>
      </c>
      <c r="I227" s="172"/>
    </row>
    <row r="228" spans="1:17" ht="25.5" hidden="1">
      <c r="A228" s="81" t="s">
        <v>169</v>
      </c>
      <c r="B228" s="145">
        <v>757</v>
      </c>
      <c r="C228" s="83" t="s">
        <v>44</v>
      </c>
      <c r="D228" s="83" t="s">
        <v>19</v>
      </c>
      <c r="E228" s="83" t="s">
        <v>407</v>
      </c>
      <c r="F228" s="83"/>
      <c r="G228" s="84">
        <f t="shared" ref="G228:H229" si="50">G229</f>
        <v>0</v>
      </c>
      <c r="H228" s="84">
        <f t="shared" si="50"/>
        <v>0</v>
      </c>
      <c r="I228" s="172"/>
    </row>
    <row r="229" spans="1:17" ht="25.5" hidden="1">
      <c r="A229" s="81" t="s">
        <v>30</v>
      </c>
      <c r="B229" s="145">
        <v>757</v>
      </c>
      <c r="C229" s="83" t="s">
        <v>44</v>
      </c>
      <c r="D229" s="83" t="s">
        <v>19</v>
      </c>
      <c r="E229" s="83" t="s">
        <v>407</v>
      </c>
      <c r="F229" s="83" t="s">
        <v>31</v>
      </c>
      <c r="G229" s="84">
        <f t="shared" si="50"/>
        <v>0</v>
      </c>
      <c r="H229" s="84">
        <f t="shared" si="50"/>
        <v>0</v>
      </c>
      <c r="I229" s="172"/>
    </row>
    <row r="230" spans="1:17" hidden="1">
      <c r="A230" s="81" t="s">
        <v>32</v>
      </c>
      <c r="B230" s="145">
        <v>757</v>
      </c>
      <c r="C230" s="83" t="s">
        <v>44</v>
      </c>
      <c r="D230" s="83" t="s">
        <v>19</v>
      </c>
      <c r="E230" s="83" t="s">
        <v>407</v>
      </c>
      <c r="F230" s="83" t="s">
        <v>33</v>
      </c>
      <c r="G230" s="84"/>
      <c r="H230" s="84"/>
      <c r="I230" s="172"/>
    </row>
    <row r="231" spans="1:17" s="18" customFormat="1" ht="25.5" hidden="1">
      <c r="A231" s="81" t="s">
        <v>470</v>
      </c>
      <c r="B231" s="145">
        <v>757</v>
      </c>
      <c r="C231" s="83" t="s">
        <v>44</v>
      </c>
      <c r="D231" s="83" t="s">
        <v>19</v>
      </c>
      <c r="E231" s="83" t="s">
        <v>262</v>
      </c>
      <c r="F231" s="83"/>
      <c r="G231" s="86">
        <f>G232</f>
        <v>0</v>
      </c>
      <c r="H231" s="86">
        <f t="shared" ref="H231" si="51">H232</f>
        <v>0</v>
      </c>
      <c r="I231" s="171"/>
      <c r="J231" s="191"/>
      <c r="K231" s="191"/>
      <c r="L231" s="191"/>
      <c r="M231" s="191"/>
      <c r="N231" s="191"/>
      <c r="O231" s="191"/>
      <c r="P231" s="191"/>
      <c r="Q231" s="191"/>
    </row>
    <row r="232" spans="1:17" s="18" customFormat="1" ht="61.5" hidden="1" customHeight="1">
      <c r="A232" s="81" t="s">
        <v>591</v>
      </c>
      <c r="B232" s="145">
        <v>757</v>
      </c>
      <c r="C232" s="83" t="s">
        <v>44</v>
      </c>
      <c r="D232" s="83" t="s">
        <v>19</v>
      </c>
      <c r="E232" s="83" t="s">
        <v>590</v>
      </c>
      <c r="F232" s="83"/>
      <c r="G232" s="86">
        <f>G233</f>
        <v>0</v>
      </c>
      <c r="H232" s="86">
        <f t="shared" ref="H232:H233" si="52">H233</f>
        <v>0</v>
      </c>
      <c r="I232" s="171"/>
      <c r="J232" s="191"/>
      <c r="K232" s="191"/>
      <c r="L232" s="191"/>
      <c r="M232" s="191"/>
      <c r="N232" s="191"/>
      <c r="O232" s="191"/>
      <c r="P232" s="191"/>
      <c r="Q232" s="191"/>
    </row>
    <row r="233" spans="1:17" s="18" customFormat="1" ht="25.5" hidden="1">
      <c r="A233" s="81" t="s">
        <v>30</v>
      </c>
      <c r="B233" s="145">
        <v>757</v>
      </c>
      <c r="C233" s="83" t="s">
        <v>44</v>
      </c>
      <c r="D233" s="83" t="s">
        <v>19</v>
      </c>
      <c r="E233" s="83" t="s">
        <v>590</v>
      </c>
      <c r="F233" s="83" t="s">
        <v>31</v>
      </c>
      <c r="G233" s="86">
        <f>G234</f>
        <v>0</v>
      </c>
      <c r="H233" s="86">
        <f t="shared" si="52"/>
        <v>0</v>
      </c>
      <c r="I233" s="171"/>
      <c r="J233" s="191"/>
      <c r="K233" s="191"/>
      <c r="L233" s="191"/>
      <c r="M233" s="191"/>
      <c r="N233" s="191"/>
      <c r="O233" s="191"/>
      <c r="P233" s="191"/>
      <c r="Q233" s="191"/>
    </row>
    <row r="234" spans="1:17" s="18" customFormat="1" hidden="1">
      <c r="A234" s="81" t="s">
        <v>32</v>
      </c>
      <c r="B234" s="145">
        <v>757</v>
      </c>
      <c r="C234" s="83" t="s">
        <v>44</v>
      </c>
      <c r="D234" s="83" t="s">
        <v>19</v>
      </c>
      <c r="E234" s="83" t="s">
        <v>590</v>
      </c>
      <c r="F234" s="83" t="s">
        <v>33</v>
      </c>
      <c r="G234" s="86"/>
      <c r="H234" s="86">
        <v>0</v>
      </c>
      <c r="I234" s="171"/>
      <c r="J234" s="191"/>
      <c r="K234" s="191"/>
      <c r="L234" s="191"/>
      <c r="M234" s="191"/>
      <c r="N234" s="191"/>
      <c r="O234" s="191"/>
      <c r="P234" s="191"/>
      <c r="Q234" s="191"/>
    </row>
    <row r="235" spans="1:17" ht="41.25" hidden="1" customHeight="1">
      <c r="A235" s="81" t="s">
        <v>518</v>
      </c>
      <c r="B235" s="145">
        <v>757</v>
      </c>
      <c r="C235" s="83" t="s">
        <v>44</v>
      </c>
      <c r="D235" s="83" t="s">
        <v>19</v>
      </c>
      <c r="E235" s="83" t="s">
        <v>517</v>
      </c>
      <c r="F235" s="83"/>
      <c r="G235" s="86">
        <f>G236</f>
        <v>0</v>
      </c>
      <c r="H235" s="86">
        <f t="shared" ref="H235:H236" si="53">H236</f>
        <v>0</v>
      </c>
      <c r="I235" s="171"/>
    </row>
    <row r="236" spans="1:17" ht="45" hidden="1" customHeight="1">
      <c r="A236" s="81" t="s">
        <v>30</v>
      </c>
      <c r="B236" s="145">
        <v>757</v>
      </c>
      <c r="C236" s="83" t="s">
        <v>44</v>
      </c>
      <c r="D236" s="83" t="s">
        <v>19</v>
      </c>
      <c r="E236" s="83" t="s">
        <v>517</v>
      </c>
      <c r="F236" s="83" t="s">
        <v>31</v>
      </c>
      <c r="G236" s="86">
        <f>G237</f>
        <v>0</v>
      </c>
      <c r="H236" s="86">
        <f t="shared" si="53"/>
        <v>0</v>
      </c>
      <c r="I236" s="171"/>
      <c r="J236" s="171"/>
      <c r="K236" s="171"/>
    </row>
    <row r="237" spans="1:17" ht="19.5" hidden="1" customHeight="1">
      <c r="A237" s="81" t="s">
        <v>32</v>
      </c>
      <c r="B237" s="145">
        <v>757</v>
      </c>
      <c r="C237" s="83" t="s">
        <v>44</v>
      </c>
      <c r="D237" s="83" t="s">
        <v>19</v>
      </c>
      <c r="E237" s="83" t="s">
        <v>517</v>
      </c>
      <c r="F237" s="83" t="s">
        <v>33</v>
      </c>
      <c r="G237" s="86">
        <v>0</v>
      </c>
      <c r="H237" s="86"/>
      <c r="I237" s="171"/>
    </row>
    <row r="238" spans="1:17" ht="69" customHeight="1">
      <c r="A238" s="81" t="s">
        <v>1028</v>
      </c>
      <c r="B238" s="145">
        <v>757</v>
      </c>
      <c r="C238" s="83" t="s">
        <v>44</v>
      </c>
      <c r="D238" s="83" t="s">
        <v>19</v>
      </c>
      <c r="E238" s="83" t="s">
        <v>1027</v>
      </c>
      <c r="F238" s="83"/>
      <c r="G238" s="84">
        <f t="shared" ref="G238:H239" si="54">G239</f>
        <v>0</v>
      </c>
      <c r="H238" s="84">
        <f t="shared" si="54"/>
        <v>0</v>
      </c>
      <c r="I238" s="172"/>
    </row>
    <row r="239" spans="1:17" ht="25.5">
      <c r="A239" s="81" t="s">
        <v>30</v>
      </c>
      <c r="B239" s="145">
        <v>757</v>
      </c>
      <c r="C239" s="83" t="s">
        <v>44</v>
      </c>
      <c r="D239" s="83" t="s">
        <v>19</v>
      </c>
      <c r="E239" s="83" t="s">
        <v>1027</v>
      </c>
      <c r="F239" s="83" t="s">
        <v>31</v>
      </c>
      <c r="G239" s="84">
        <f t="shared" si="54"/>
        <v>0</v>
      </c>
      <c r="H239" s="84">
        <f t="shared" si="54"/>
        <v>0</v>
      </c>
      <c r="I239" s="172"/>
    </row>
    <row r="240" spans="1:17">
      <c r="A240" s="81" t="s">
        <v>32</v>
      </c>
      <c r="B240" s="145">
        <v>757</v>
      </c>
      <c r="C240" s="83" t="s">
        <v>44</v>
      </c>
      <c r="D240" s="83" t="s">
        <v>19</v>
      </c>
      <c r="E240" s="83" t="s">
        <v>1027</v>
      </c>
      <c r="F240" s="83" t="s">
        <v>33</v>
      </c>
      <c r="G240" s="84"/>
      <c r="H240" s="84"/>
      <c r="I240" s="172"/>
    </row>
    <row r="241" spans="1:11" ht="37.5" customHeight="1">
      <c r="A241" s="81" t="s">
        <v>184</v>
      </c>
      <c r="B241" s="145">
        <v>757</v>
      </c>
      <c r="C241" s="83" t="s">
        <v>44</v>
      </c>
      <c r="D241" s="83" t="s">
        <v>19</v>
      </c>
      <c r="E241" s="83" t="s">
        <v>183</v>
      </c>
      <c r="F241" s="83"/>
      <c r="G241" s="84">
        <f>G242</f>
        <v>0</v>
      </c>
      <c r="H241" s="84">
        <f t="shared" ref="H241" si="55">H242</f>
        <v>0</v>
      </c>
      <c r="I241" s="172"/>
    </row>
    <row r="242" spans="1:11" ht="25.5">
      <c r="A242" s="81" t="s">
        <v>30</v>
      </c>
      <c r="B242" s="145">
        <v>757</v>
      </c>
      <c r="C242" s="83" t="s">
        <v>44</v>
      </c>
      <c r="D242" s="83" t="s">
        <v>19</v>
      </c>
      <c r="E242" s="83" t="s">
        <v>183</v>
      </c>
      <c r="F242" s="83" t="s">
        <v>31</v>
      </c>
      <c r="G242" s="84">
        <f>G243</f>
        <v>0</v>
      </c>
      <c r="H242" s="84">
        <f t="shared" ref="H242" si="56">H243</f>
        <v>0</v>
      </c>
      <c r="I242" s="172"/>
    </row>
    <row r="243" spans="1:11">
      <c r="A243" s="81" t="s">
        <v>32</v>
      </c>
      <c r="B243" s="145">
        <v>757</v>
      </c>
      <c r="C243" s="83" t="s">
        <v>44</v>
      </c>
      <c r="D243" s="83" t="s">
        <v>19</v>
      </c>
      <c r="E243" s="83" t="s">
        <v>183</v>
      </c>
      <c r="F243" s="83" t="s">
        <v>33</v>
      </c>
      <c r="G243" s="84">
        <v>0</v>
      </c>
      <c r="H243" s="84">
        <v>0</v>
      </c>
      <c r="I243" s="172"/>
    </row>
    <row r="244" spans="1:11" ht="26.25" customHeight="1">
      <c r="A244" s="81" t="s">
        <v>919</v>
      </c>
      <c r="B244" s="145">
        <v>757</v>
      </c>
      <c r="C244" s="83" t="s">
        <v>44</v>
      </c>
      <c r="D244" s="83" t="s">
        <v>19</v>
      </c>
      <c r="E244" s="83" t="s">
        <v>918</v>
      </c>
      <c r="F244" s="83"/>
      <c r="G244" s="86">
        <f>G245</f>
        <v>12715225.859999999</v>
      </c>
      <c r="H244" s="86">
        <f t="shared" ref="H244" si="57">H245</f>
        <v>12715225.859999999</v>
      </c>
      <c r="I244" s="171"/>
    </row>
    <row r="245" spans="1:11" ht="43.5" customHeight="1">
      <c r="A245" s="81" t="s">
        <v>30</v>
      </c>
      <c r="B245" s="145">
        <v>757</v>
      </c>
      <c r="C245" s="83" t="s">
        <v>44</v>
      </c>
      <c r="D245" s="83" t="s">
        <v>19</v>
      </c>
      <c r="E245" s="83" t="s">
        <v>918</v>
      </c>
      <c r="F245" s="83" t="s">
        <v>31</v>
      </c>
      <c r="G245" s="86">
        <f>G246</f>
        <v>12715225.859999999</v>
      </c>
      <c r="H245" s="86">
        <f t="shared" ref="H245" si="58">H246</f>
        <v>12715225.859999999</v>
      </c>
      <c r="I245" s="171"/>
      <c r="J245" s="171"/>
      <c r="K245" s="171"/>
    </row>
    <row r="246" spans="1:11" ht="20.25" customHeight="1">
      <c r="A246" s="81" t="s">
        <v>32</v>
      </c>
      <c r="B246" s="145">
        <v>757</v>
      </c>
      <c r="C246" s="83" t="s">
        <v>44</v>
      </c>
      <c r="D246" s="83" t="s">
        <v>19</v>
      </c>
      <c r="E246" s="83" t="s">
        <v>918</v>
      </c>
      <c r="F246" s="83" t="s">
        <v>33</v>
      </c>
      <c r="G246" s="86">
        <v>12715225.859999999</v>
      </c>
      <c r="H246" s="86">
        <v>12715225.859999999</v>
      </c>
      <c r="I246" s="171"/>
    </row>
    <row r="247" spans="1:11" ht="65.25" customHeight="1">
      <c r="A247" s="81" t="s">
        <v>685</v>
      </c>
      <c r="B247" s="145">
        <v>757</v>
      </c>
      <c r="C247" s="83" t="s">
        <v>44</v>
      </c>
      <c r="D247" s="83" t="s">
        <v>19</v>
      </c>
      <c r="E247" s="83" t="s">
        <v>684</v>
      </c>
      <c r="F247" s="83"/>
      <c r="G247" s="86">
        <f>G248</f>
        <v>0</v>
      </c>
      <c r="H247" s="86">
        <f t="shared" ref="H247:H258" si="59">H248</f>
        <v>0</v>
      </c>
      <c r="I247" s="171"/>
    </row>
    <row r="248" spans="1:11" ht="45" customHeight="1">
      <c r="A248" s="81" t="s">
        <v>30</v>
      </c>
      <c r="B248" s="145">
        <v>757</v>
      </c>
      <c r="C248" s="83" t="s">
        <v>44</v>
      </c>
      <c r="D248" s="83" t="s">
        <v>19</v>
      </c>
      <c r="E248" s="83" t="s">
        <v>684</v>
      </c>
      <c r="F248" s="83" t="s">
        <v>31</v>
      </c>
      <c r="G248" s="86">
        <f>G249</f>
        <v>0</v>
      </c>
      <c r="H248" s="86">
        <f t="shared" si="59"/>
        <v>0</v>
      </c>
      <c r="I248" s="171"/>
      <c r="J248" s="171"/>
      <c r="K248" s="171"/>
    </row>
    <row r="249" spans="1:11" ht="28.5" customHeight="1">
      <c r="A249" s="81" t="s">
        <v>32</v>
      </c>
      <c r="B249" s="145">
        <v>757</v>
      </c>
      <c r="C249" s="83" t="s">
        <v>44</v>
      </c>
      <c r="D249" s="83" t="s">
        <v>19</v>
      </c>
      <c r="E249" s="83" t="s">
        <v>684</v>
      </c>
      <c r="F249" s="83" t="s">
        <v>33</v>
      </c>
      <c r="G249" s="86">
        <v>0</v>
      </c>
      <c r="H249" s="86">
        <v>0</v>
      </c>
      <c r="I249" s="171"/>
    </row>
    <row r="250" spans="1:11" ht="28.5" customHeight="1">
      <c r="A250" s="81" t="s">
        <v>926</v>
      </c>
      <c r="B250" s="145">
        <v>757</v>
      </c>
      <c r="C250" s="83" t="s">
        <v>44</v>
      </c>
      <c r="D250" s="83" t="s">
        <v>19</v>
      </c>
      <c r="E250" s="83" t="s">
        <v>925</v>
      </c>
      <c r="F250" s="83"/>
      <c r="G250" s="86">
        <f>G251</f>
        <v>65359.48</v>
      </c>
      <c r="H250" s="86">
        <f t="shared" ref="H250" si="60">H251</f>
        <v>65359.48</v>
      </c>
      <c r="I250" s="171"/>
    </row>
    <row r="251" spans="1:11" ht="36" customHeight="1">
      <c r="A251" s="81" t="s">
        <v>927</v>
      </c>
      <c r="B251" s="145">
        <v>757</v>
      </c>
      <c r="C251" s="83" t="s">
        <v>44</v>
      </c>
      <c r="D251" s="83" t="s">
        <v>19</v>
      </c>
      <c r="E251" s="83" t="s">
        <v>924</v>
      </c>
      <c r="F251" s="83"/>
      <c r="G251" s="86">
        <f>G252</f>
        <v>65359.48</v>
      </c>
      <c r="H251" s="86">
        <f t="shared" si="59"/>
        <v>65359.48</v>
      </c>
      <c r="I251" s="171"/>
    </row>
    <row r="252" spans="1:11" ht="41.25" customHeight="1">
      <c r="A252" s="81" t="s">
        <v>30</v>
      </c>
      <c r="B252" s="145">
        <v>757</v>
      </c>
      <c r="C252" s="83" t="s">
        <v>44</v>
      </c>
      <c r="D252" s="83" t="s">
        <v>19</v>
      </c>
      <c r="E252" s="83" t="s">
        <v>924</v>
      </c>
      <c r="F252" s="83" t="s">
        <v>31</v>
      </c>
      <c r="G252" s="86">
        <f>G253</f>
        <v>65359.48</v>
      </c>
      <c r="H252" s="86">
        <f t="shared" si="59"/>
        <v>65359.48</v>
      </c>
      <c r="I252" s="171"/>
      <c r="J252" s="171"/>
      <c r="K252" s="171"/>
    </row>
    <row r="253" spans="1:11" ht="22.5" customHeight="1">
      <c r="A253" s="81" t="s">
        <v>32</v>
      </c>
      <c r="B253" s="145">
        <v>757</v>
      </c>
      <c r="C253" s="83" t="s">
        <v>44</v>
      </c>
      <c r="D253" s="83" t="s">
        <v>19</v>
      </c>
      <c r="E253" s="83" t="s">
        <v>924</v>
      </c>
      <c r="F253" s="83" t="s">
        <v>33</v>
      </c>
      <c r="G253" s="86">
        <v>65359.48</v>
      </c>
      <c r="H253" s="86">
        <v>65359.48</v>
      </c>
      <c r="I253" s="171"/>
    </row>
    <row r="254" spans="1:11" ht="48" hidden="1" customHeight="1">
      <c r="A254" s="81" t="s">
        <v>767</v>
      </c>
      <c r="B254" s="145">
        <v>757</v>
      </c>
      <c r="C254" s="83" t="s">
        <v>44</v>
      </c>
      <c r="D254" s="83" t="s">
        <v>19</v>
      </c>
      <c r="E254" s="83" t="s">
        <v>766</v>
      </c>
      <c r="F254" s="83"/>
      <c r="G254" s="86">
        <f>G255</f>
        <v>0</v>
      </c>
      <c r="H254" s="86">
        <f t="shared" si="59"/>
        <v>0</v>
      </c>
      <c r="I254" s="171"/>
    </row>
    <row r="255" spans="1:11" ht="24" hidden="1" customHeight="1">
      <c r="A255" s="81" t="s">
        <v>63</v>
      </c>
      <c r="B255" s="145">
        <v>757</v>
      </c>
      <c r="C255" s="83" t="s">
        <v>44</v>
      </c>
      <c r="D255" s="83" t="s">
        <v>19</v>
      </c>
      <c r="E255" s="83" t="s">
        <v>766</v>
      </c>
      <c r="F255" s="83" t="s">
        <v>64</v>
      </c>
      <c r="G255" s="86">
        <f>G256</f>
        <v>0</v>
      </c>
      <c r="H255" s="86">
        <f t="shared" si="59"/>
        <v>0</v>
      </c>
      <c r="I255" s="171"/>
      <c r="J255" s="171"/>
      <c r="K255" s="171"/>
    </row>
    <row r="256" spans="1:11" ht="29.25" hidden="1" customHeight="1">
      <c r="A256" s="81" t="s">
        <v>180</v>
      </c>
      <c r="B256" s="145">
        <v>757</v>
      </c>
      <c r="C256" s="83" t="s">
        <v>44</v>
      </c>
      <c r="D256" s="83" t="s">
        <v>19</v>
      </c>
      <c r="E256" s="83" t="s">
        <v>766</v>
      </c>
      <c r="F256" s="83" t="s">
        <v>181</v>
      </c>
      <c r="G256" s="86"/>
      <c r="H256" s="86"/>
      <c r="I256" s="171"/>
    </row>
    <row r="257" spans="1:11" ht="30" hidden="1" customHeight="1">
      <c r="A257" s="81" t="s">
        <v>767</v>
      </c>
      <c r="B257" s="145">
        <v>757</v>
      </c>
      <c r="C257" s="83" t="s">
        <v>44</v>
      </c>
      <c r="D257" s="83" t="s">
        <v>19</v>
      </c>
      <c r="E257" s="83" t="s">
        <v>569</v>
      </c>
      <c r="F257" s="83"/>
      <c r="G257" s="86">
        <f>G258</f>
        <v>0</v>
      </c>
      <c r="H257" s="86">
        <f t="shared" si="59"/>
        <v>0</v>
      </c>
      <c r="I257" s="171"/>
    </row>
    <row r="258" spans="1:11" ht="41.25" hidden="1" customHeight="1">
      <c r="A258" s="81" t="s">
        <v>30</v>
      </c>
      <c r="B258" s="145">
        <v>757</v>
      </c>
      <c r="C258" s="83" t="s">
        <v>44</v>
      </c>
      <c r="D258" s="83" t="s">
        <v>19</v>
      </c>
      <c r="E258" s="83" t="s">
        <v>569</v>
      </c>
      <c r="F258" s="83" t="s">
        <v>31</v>
      </c>
      <c r="G258" s="86">
        <f>G259</f>
        <v>0</v>
      </c>
      <c r="H258" s="86">
        <f t="shared" si="59"/>
        <v>0</v>
      </c>
      <c r="I258" s="171"/>
      <c r="J258" s="171"/>
      <c r="K258" s="171"/>
    </row>
    <row r="259" spans="1:11" ht="16.5" hidden="1" customHeight="1">
      <c r="A259" s="81" t="s">
        <v>32</v>
      </c>
      <c r="B259" s="145">
        <v>757</v>
      </c>
      <c r="C259" s="83" t="s">
        <v>44</v>
      </c>
      <c r="D259" s="83" t="s">
        <v>19</v>
      </c>
      <c r="E259" s="83" t="s">
        <v>569</v>
      </c>
      <c r="F259" s="83" t="s">
        <v>33</v>
      </c>
      <c r="G259" s="86"/>
      <c r="H259" s="86"/>
      <c r="I259" s="171"/>
    </row>
    <row r="260" spans="1:11" ht="25.5">
      <c r="A260" s="81" t="s">
        <v>849</v>
      </c>
      <c r="B260" s="145">
        <v>757</v>
      </c>
      <c r="C260" s="83" t="s">
        <v>44</v>
      </c>
      <c r="D260" s="83" t="s">
        <v>19</v>
      </c>
      <c r="E260" s="83" t="s">
        <v>861</v>
      </c>
      <c r="F260" s="83"/>
      <c r="G260" s="86">
        <f>G261</f>
        <v>556472.11</v>
      </c>
      <c r="H260" s="86">
        <f t="shared" ref="H260" si="61">H261</f>
        <v>556472.11</v>
      </c>
      <c r="I260" s="171"/>
    </row>
    <row r="261" spans="1:11" ht="25.5">
      <c r="A261" s="81" t="s">
        <v>30</v>
      </c>
      <c r="B261" s="145">
        <v>757</v>
      </c>
      <c r="C261" s="83" t="s">
        <v>44</v>
      </c>
      <c r="D261" s="83" t="s">
        <v>19</v>
      </c>
      <c r="E261" s="83" t="s">
        <v>861</v>
      </c>
      <c r="F261" s="83" t="s">
        <v>31</v>
      </c>
      <c r="G261" s="86">
        <f>G262</f>
        <v>556472.11</v>
      </c>
      <c r="H261" s="86">
        <f>H262</f>
        <v>556472.11</v>
      </c>
      <c r="I261" s="171"/>
    </row>
    <row r="262" spans="1:11" ht="19.5" customHeight="1">
      <c r="A262" s="81" t="s">
        <v>32</v>
      </c>
      <c r="B262" s="145">
        <v>757</v>
      </c>
      <c r="C262" s="83" t="s">
        <v>44</v>
      </c>
      <c r="D262" s="83" t="s">
        <v>19</v>
      </c>
      <c r="E262" s="83" t="s">
        <v>861</v>
      </c>
      <c r="F262" s="83" t="s">
        <v>33</v>
      </c>
      <c r="G262" s="86">
        <f>524817.11+31655</f>
        <v>556472.11</v>
      </c>
      <c r="H262" s="86">
        <v>556472.11</v>
      </c>
      <c r="I262" s="171"/>
    </row>
    <row r="263" spans="1:11">
      <c r="A263" s="81" t="s">
        <v>851</v>
      </c>
      <c r="B263" s="145">
        <v>757</v>
      </c>
      <c r="C263" s="83" t="s">
        <v>44</v>
      </c>
      <c r="D263" s="83" t="s">
        <v>19</v>
      </c>
      <c r="E263" s="83" t="s">
        <v>850</v>
      </c>
      <c r="F263" s="83"/>
      <c r="G263" s="86">
        <f>G264</f>
        <v>140601.10999999999</v>
      </c>
      <c r="H263" s="86">
        <f t="shared" ref="H263" si="62">H264</f>
        <v>140601.10999999999</v>
      </c>
      <c r="I263" s="171"/>
    </row>
    <row r="264" spans="1:11" ht="25.5">
      <c r="A264" s="81" t="s">
        <v>30</v>
      </c>
      <c r="B264" s="145">
        <v>757</v>
      </c>
      <c r="C264" s="83" t="s">
        <v>44</v>
      </c>
      <c r="D264" s="83" t="s">
        <v>19</v>
      </c>
      <c r="E264" s="83" t="s">
        <v>850</v>
      </c>
      <c r="F264" s="83" t="s">
        <v>31</v>
      </c>
      <c r="G264" s="86">
        <f>G265</f>
        <v>140601.10999999999</v>
      </c>
      <c r="H264" s="86">
        <f>H265</f>
        <v>140601.10999999999</v>
      </c>
      <c r="I264" s="171"/>
    </row>
    <row r="265" spans="1:11" ht="19.5" customHeight="1">
      <c r="A265" s="81" t="s">
        <v>32</v>
      </c>
      <c r="B265" s="145">
        <v>757</v>
      </c>
      <c r="C265" s="83" t="s">
        <v>44</v>
      </c>
      <c r="D265" s="83" t="s">
        <v>19</v>
      </c>
      <c r="E265" s="83" t="s">
        <v>850</v>
      </c>
      <c r="F265" s="83" t="s">
        <v>33</v>
      </c>
      <c r="G265" s="86">
        <v>140601.10999999999</v>
      </c>
      <c r="H265" s="86">
        <v>140601.10999999999</v>
      </c>
      <c r="I265" s="171"/>
    </row>
    <row r="266" spans="1:11" ht="25.5">
      <c r="A266" s="81" t="s">
        <v>846</v>
      </c>
      <c r="B266" s="145">
        <v>757</v>
      </c>
      <c r="C266" s="83" t="s">
        <v>44</v>
      </c>
      <c r="D266" s="83" t="s">
        <v>19</v>
      </c>
      <c r="E266" s="83" t="s">
        <v>845</v>
      </c>
      <c r="F266" s="83"/>
      <c r="G266" s="86">
        <f>G267</f>
        <v>8219.4</v>
      </c>
      <c r="H266" s="86">
        <f t="shared" ref="H266" si="63">H267</f>
        <v>8219.4</v>
      </c>
      <c r="I266" s="171"/>
    </row>
    <row r="267" spans="1:11" ht="25.5">
      <c r="A267" s="81" t="s">
        <v>30</v>
      </c>
      <c r="B267" s="145">
        <v>757</v>
      </c>
      <c r="C267" s="83" t="s">
        <v>44</v>
      </c>
      <c r="D267" s="83" t="s">
        <v>19</v>
      </c>
      <c r="E267" s="83" t="s">
        <v>845</v>
      </c>
      <c r="F267" s="83" t="s">
        <v>31</v>
      </c>
      <c r="G267" s="86">
        <f>G268</f>
        <v>8219.4</v>
      </c>
      <c r="H267" s="86">
        <f>H268</f>
        <v>8219.4</v>
      </c>
      <c r="I267" s="171"/>
    </row>
    <row r="268" spans="1:11" ht="19.5" customHeight="1">
      <c r="A268" s="81" t="s">
        <v>32</v>
      </c>
      <c r="B268" s="145">
        <v>757</v>
      </c>
      <c r="C268" s="83" t="s">
        <v>44</v>
      </c>
      <c r="D268" s="83" t="s">
        <v>19</v>
      </c>
      <c r="E268" s="83" t="s">
        <v>845</v>
      </c>
      <c r="F268" s="83" t="s">
        <v>33</v>
      </c>
      <c r="G268" s="86">
        <f>15000-6780.6</f>
        <v>8219.4</v>
      </c>
      <c r="H268" s="86">
        <v>8219.4</v>
      </c>
      <c r="I268" s="171"/>
    </row>
    <row r="269" spans="1:11">
      <c r="A269" s="81" t="s">
        <v>862</v>
      </c>
      <c r="B269" s="145">
        <v>757</v>
      </c>
      <c r="C269" s="83" t="s">
        <v>44</v>
      </c>
      <c r="D269" s="83" t="s">
        <v>19</v>
      </c>
      <c r="E269" s="83" t="s">
        <v>847</v>
      </c>
      <c r="F269" s="83"/>
      <c r="G269" s="86">
        <f>G270</f>
        <v>0</v>
      </c>
      <c r="H269" s="86">
        <f t="shared" ref="H269" si="64">H270</f>
        <v>0</v>
      </c>
      <c r="I269" s="171"/>
    </row>
    <row r="270" spans="1:11" ht="25.5">
      <c r="A270" s="81" t="s">
        <v>30</v>
      </c>
      <c r="B270" s="145">
        <v>757</v>
      </c>
      <c r="C270" s="83" t="s">
        <v>44</v>
      </c>
      <c r="D270" s="83" t="s">
        <v>19</v>
      </c>
      <c r="E270" s="83" t="s">
        <v>847</v>
      </c>
      <c r="F270" s="83" t="s">
        <v>31</v>
      </c>
      <c r="G270" s="86">
        <f>G271</f>
        <v>0</v>
      </c>
      <c r="H270" s="86">
        <f>H271</f>
        <v>0</v>
      </c>
      <c r="I270" s="171"/>
    </row>
    <row r="271" spans="1:11" ht="19.5" customHeight="1">
      <c r="A271" s="81" t="s">
        <v>32</v>
      </c>
      <c r="B271" s="145">
        <v>757</v>
      </c>
      <c r="C271" s="83" t="s">
        <v>44</v>
      </c>
      <c r="D271" s="83" t="s">
        <v>19</v>
      </c>
      <c r="E271" s="83" t="s">
        <v>847</v>
      </c>
      <c r="F271" s="83" t="s">
        <v>33</v>
      </c>
      <c r="G271" s="86">
        <f>100000-23655-76345</f>
        <v>0</v>
      </c>
      <c r="H271" s="86">
        <v>0</v>
      </c>
      <c r="I271" s="171"/>
    </row>
    <row r="272" spans="1:11" ht="38.25">
      <c r="A272" s="81" t="s">
        <v>853</v>
      </c>
      <c r="B272" s="145">
        <v>757</v>
      </c>
      <c r="C272" s="83" t="s">
        <v>44</v>
      </c>
      <c r="D272" s="83" t="s">
        <v>19</v>
      </c>
      <c r="E272" s="83" t="s">
        <v>852</v>
      </c>
      <c r="F272" s="83"/>
      <c r="G272" s="86">
        <f>G273</f>
        <v>183800</v>
      </c>
      <c r="H272" s="86">
        <f t="shared" ref="H272" si="65">H273</f>
        <v>183800</v>
      </c>
      <c r="I272" s="171"/>
    </row>
    <row r="273" spans="1:9" ht="25.5">
      <c r="A273" s="81" t="s">
        <v>30</v>
      </c>
      <c r="B273" s="145">
        <v>757</v>
      </c>
      <c r="C273" s="83" t="s">
        <v>44</v>
      </c>
      <c r="D273" s="83" t="s">
        <v>19</v>
      </c>
      <c r="E273" s="83" t="s">
        <v>852</v>
      </c>
      <c r="F273" s="83" t="s">
        <v>31</v>
      </c>
      <c r="G273" s="86">
        <f>G274</f>
        <v>183800</v>
      </c>
      <c r="H273" s="86">
        <f>H274</f>
        <v>183800</v>
      </c>
      <c r="I273" s="171"/>
    </row>
    <row r="274" spans="1:9" ht="19.5" customHeight="1">
      <c r="A274" s="81" t="s">
        <v>32</v>
      </c>
      <c r="B274" s="145">
        <v>757</v>
      </c>
      <c r="C274" s="83" t="s">
        <v>44</v>
      </c>
      <c r="D274" s="83" t="s">
        <v>19</v>
      </c>
      <c r="E274" s="83" t="s">
        <v>852</v>
      </c>
      <c r="F274" s="83" t="s">
        <v>33</v>
      </c>
      <c r="G274" s="86">
        <v>183800</v>
      </c>
      <c r="H274" s="86">
        <v>183800</v>
      </c>
      <c r="I274" s="171"/>
    </row>
    <row r="275" spans="1:9" ht="25.5">
      <c r="A275" s="81" t="s">
        <v>855</v>
      </c>
      <c r="B275" s="145">
        <v>757</v>
      </c>
      <c r="C275" s="83" t="s">
        <v>44</v>
      </c>
      <c r="D275" s="83" t="s">
        <v>19</v>
      </c>
      <c r="E275" s="83" t="s">
        <v>854</v>
      </c>
      <c r="F275" s="83"/>
      <c r="G275" s="86">
        <f>G276</f>
        <v>211040</v>
      </c>
      <c r="H275" s="86">
        <f t="shared" ref="H275" si="66">H276</f>
        <v>211040</v>
      </c>
      <c r="I275" s="171"/>
    </row>
    <row r="276" spans="1:9" ht="25.5">
      <c r="A276" s="81" t="s">
        <v>30</v>
      </c>
      <c r="B276" s="145">
        <v>757</v>
      </c>
      <c r="C276" s="83" t="s">
        <v>44</v>
      </c>
      <c r="D276" s="83" t="s">
        <v>19</v>
      </c>
      <c r="E276" s="83" t="s">
        <v>854</v>
      </c>
      <c r="F276" s="83" t="s">
        <v>31</v>
      </c>
      <c r="G276" s="86">
        <f>G277</f>
        <v>211040</v>
      </c>
      <c r="H276" s="86">
        <f>H277</f>
        <v>211040</v>
      </c>
      <c r="I276" s="171"/>
    </row>
    <row r="277" spans="1:9" ht="19.5" customHeight="1">
      <c r="A277" s="81" t="s">
        <v>32</v>
      </c>
      <c r="B277" s="145">
        <v>757</v>
      </c>
      <c r="C277" s="83" t="s">
        <v>44</v>
      </c>
      <c r="D277" s="83" t="s">
        <v>19</v>
      </c>
      <c r="E277" s="83" t="s">
        <v>854</v>
      </c>
      <c r="F277" s="83" t="s">
        <v>33</v>
      </c>
      <c r="G277" s="86">
        <v>211040</v>
      </c>
      <c r="H277" s="86">
        <v>211040</v>
      </c>
      <c r="I277" s="171"/>
    </row>
    <row r="278" spans="1:9" ht="38.25">
      <c r="A278" s="81" t="s">
        <v>857</v>
      </c>
      <c r="B278" s="145">
        <v>757</v>
      </c>
      <c r="C278" s="83" t="s">
        <v>44</v>
      </c>
      <c r="D278" s="83" t="s">
        <v>19</v>
      </c>
      <c r="E278" s="83" t="s">
        <v>856</v>
      </c>
      <c r="F278" s="83"/>
      <c r="G278" s="86">
        <f>G279</f>
        <v>341866</v>
      </c>
      <c r="H278" s="86">
        <f t="shared" ref="H278" si="67">H279</f>
        <v>341866</v>
      </c>
      <c r="I278" s="171"/>
    </row>
    <row r="279" spans="1:9" ht="25.5">
      <c r="A279" s="81" t="s">
        <v>30</v>
      </c>
      <c r="B279" s="145">
        <v>757</v>
      </c>
      <c r="C279" s="83" t="s">
        <v>44</v>
      </c>
      <c r="D279" s="83" t="s">
        <v>19</v>
      </c>
      <c r="E279" s="83" t="s">
        <v>856</v>
      </c>
      <c r="F279" s="83" t="s">
        <v>31</v>
      </c>
      <c r="G279" s="86">
        <f>G280</f>
        <v>341866</v>
      </c>
      <c r="H279" s="86">
        <f>H280</f>
        <v>341866</v>
      </c>
      <c r="I279" s="171"/>
    </row>
    <row r="280" spans="1:9" ht="19.5" customHeight="1">
      <c r="A280" s="81" t="s">
        <v>32</v>
      </c>
      <c r="B280" s="145">
        <v>757</v>
      </c>
      <c r="C280" s="83" t="s">
        <v>44</v>
      </c>
      <c r="D280" s="83" t="s">
        <v>19</v>
      </c>
      <c r="E280" s="83" t="s">
        <v>856</v>
      </c>
      <c r="F280" s="83" t="s">
        <v>33</v>
      </c>
      <c r="G280" s="86">
        <v>341866</v>
      </c>
      <c r="H280" s="86">
        <v>341866</v>
      </c>
      <c r="I280" s="171"/>
    </row>
    <row r="281" spans="1:9" ht="38.25">
      <c r="A281" s="81" t="s">
        <v>1017</v>
      </c>
      <c r="B281" s="145">
        <v>757</v>
      </c>
      <c r="C281" s="83" t="s">
        <v>44</v>
      </c>
      <c r="D281" s="83" t="s">
        <v>19</v>
      </c>
      <c r="E281" s="83" t="s">
        <v>858</v>
      </c>
      <c r="F281" s="83"/>
      <c r="G281" s="86">
        <f>G282</f>
        <v>32000</v>
      </c>
      <c r="H281" s="86">
        <f t="shared" ref="H281" si="68">H282</f>
        <v>32000</v>
      </c>
      <c r="I281" s="171"/>
    </row>
    <row r="282" spans="1:9" ht="25.5">
      <c r="A282" s="81" t="s">
        <v>30</v>
      </c>
      <c r="B282" s="145">
        <v>757</v>
      </c>
      <c r="C282" s="83" t="s">
        <v>44</v>
      </c>
      <c r="D282" s="83" t="s">
        <v>19</v>
      </c>
      <c r="E282" s="83" t="s">
        <v>858</v>
      </c>
      <c r="F282" s="83" t="s">
        <v>31</v>
      </c>
      <c r="G282" s="86">
        <f>G283</f>
        <v>32000</v>
      </c>
      <c r="H282" s="86">
        <f>H283</f>
        <v>32000</v>
      </c>
      <c r="I282" s="171"/>
    </row>
    <row r="283" spans="1:9" ht="19.5" customHeight="1">
      <c r="A283" s="81" t="s">
        <v>32</v>
      </c>
      <c r="B283" s="145">
        <v>757</v>
      </c>
      <c r="C283" s="83" t="s">
        <v>44</v>
      </c>
      <c r="D283" s="83" t="s">
        <v>19</v>
      </c>
      <c r="E283" s="83" t="s">
        <v>858</v>
      </c>
      <c r="F283" s="83" t="s">
        <v>33</v>
      </c>
      <c r="G283" s="86">
        <f>20000+30000-10000-8000</f>
        <v>32000</v>
      </c>
      <c r="H283" s="86">
        <v>32000</v>
      </c>
      <c r="I283" s="171"/>
    </row>
    <row r="284" spans="1:9" ht="25.5">
      <c r="A284" s="81" t="s">
        <v>860</v>
      </c>
      <c r="B284" s="145">
        <v>757</v>
      </c>
      <c r="C284" s="83" t="s">
        <v>44</v>
      </c>
      <c r="D284" s="83" t="s">
        <v>19</v>
      </c>
      <c r="E284" s="83" t="s">
        <v>859</v>
      </c>
      <c r="F284" s="83"/>
      <c r="G284" s="86">
        <f>G285</f>
        <v>0</v>
      </c>
      <c r="H284" s="86">
        <f t="shared" ref="H284" si="69">H285</f>
        <v>0</v>
      </c>
      <c r="I284" s="171"/>
    </row>
    <row r="285" spans="1:9" ht="25.5">
      <c r="A285" s="81" t="s">
        <v>30</v>
      </c>
      <c r="B285" s="145">
        <v>757</v>
      </c>
      <c r="C285" s="83" t="s">
        <v>44</v>
      </c>
      <c r="D285" s="83" t="s">
        <v>19</v>
      </c>
      <c r="E285" s="83" t="s">
        <v>859</v>
      </c>
      <c r="F285" s="83" t="s">
        <v>31</v>
      </c>
      <c r="G285" s="86">
        <f>G286</f>
        <v>0</v>
      </c>
      <c r="H285" s="86">
        <f>H286</f>
        <v>0</v>
      </c>
      <c r="I285" s="171"/>
    </row>
    <row r="286" spans="1:9" ht="19.5" customHeight="1">
      <c r="A286" s="81" t="s">
        <v>32</v>
      </c>
      <c r="B286" s="145">
        <v>757</v>
      </c>
      <c r="C286" s="83" t="s">
        <v>44</v>
      </c>
      <c r="D286" s="83" t="s">
        <v>19</v>
      </c>
      <c r="E286" s="83" t="s">
        <v>859</v>
      </c>
      <c r="F286" s="83" t="s">
        <v>33</v>
      </c>
      <c r="G286" s="86">
        <f>0+0</f>
        <v>0</v>
      </c>
      <c r="H286" s="86">
        <v>0</v>
      </c>
      <c r="I286" s="171"/>
    </row>
    <row r="287" spans="1:9" ht="25.5">
      <c r="A287" s="81" t="s">
        <v>864</v>
      </c>
      <c r="B287" s="145">
        <v>757</v>
      </c>
      <c r="C287" s="83" t="s">
        <v>44</v>
      </c>
      <c r="D287" s="83" t="s">
        <v>19</v>
      </c>
      <c r="E287" s="83" t="s">
        <v>863</v>
      </c>
      <c r="F287" s="83"/>
      <c r="G287" s="86">
        <f>G288</f>
        <v>33000</v>
      </c>
      <c r="H287" s="86">
        <f t="shared" ref="H287" si="70">H288</f>
        <v>33000</v>
      </c>
      <c r="I287" s="171"/>
    </row>
    <row r="288" spans="1:9" ht="25.5">
      <c r="A288" s="81" t="s">
        <v>30</v>
      </c>
      <c r="B288" s="145">
        <v>757</v>
      </c>
      <c r="C288" s="83" t="s">
        <v>44</v>
      </c>
      <c r="D288" s="83" t="s">
        <v>19</v>
      </c>
      <c r="E288" s="83" t="s">
        <v>863</v>
      </c>
      <c r="F288" s="83" t="s">
        <v>31</v>
      </c>
      <c r="G288" s="86">
        <f>G289</f>
        <v>33000</v>
      </c>
      <c r="H288" s="86">
        <f>H289</f>
        <v>33000</v>
      </c>
      <c r="I288" s="171"/>
    </row>
    <row r="289" spans="1:17" ht="19.5" customHeight="1">
      <c r="A289" s="81" t="s">
        <v>32</v>
      </c>
      <c r="B289" s="145">
        <v>757</v>
      </c>
      <c r="C289" s="83" t="s">
        <v>44</v>
      </c>
      <c r="D289" s="83" t="s">
        <v>19</v>
      </c>
      <c r="E289" s="83" t="s">
        <v>863</v>
      </c>
      <c r="F289" s="83" t="s">
        <v>33</v>
      </c>
      <c r="G289" s="86">
        <v>33000</v>
      </c>
      <c r="H289" s="86">
        <v>33000</v>
      </c>
      <c r="I289" s="171"/>
    </row>
    <row r="290" spans="1:17" s="89" customFormat="1" ht="42" customHeight="1">
      <c r="A290" s="81" t="s">
        <v>1023</v>
      </c>
      <c r="B290" s="145">
        <v>757</v>
      </c>
      <c r="C290" s="83" t="s">
        <v>44</v>
      </c>
      <c r="D290" s="83" t="s">
        <v>19</v>
      </c>
      <c r="E290" s="83" t="s">
        <v>865</v>
      </c>
      <c r="F290" s="83"/>
      <c r="G290" s="86">
        <f>G291</f>
        <v>0</v>
      </c>
      <c r="H290" s="86">
        <f t="shared" ref="H290" si="71">H291</f>
        <v>0</v>
      </c>
      <c r="I290" s="171"/>
      <c r="J290" s="177"/>
      <c r="K290" s="177"/>
      <c r="L290" s="177"/>
      <c r="M290" s="177"/>
      <c r="N290" s="177"/>
      <c r="O290" s="177"/>
      <c r="P290" s="177"/>
      <c r="Q290" s="177"/>
    </row>
    <row r="291" spans="1:17" s="89" customFormat="1" ht="25.5">
      <c r="A291" s="81" t="s">
        <v>30</v>
      </c>
      <c r="B291" s="145">
        <v>757</v>
      </c>
      <c r="C291" s="83" t="s">
        <v>44</v>
      </c>
      <c r="D291" s="83" t="s">
        <v>19</v>
      </c>
      <c r="E291" s="83" t="s">
        <v>865</v>
      </c>
      <c r="F291" s="83" t="s">
        <v>31</v>
      </c>
      <c r="G291" s="86">
        <f>G292</f>
        <v>0</v>
      </c>
      <c r="H291" s="86">
        <f>H292</f>
        <v>0</v>
      </c>
      <c r="I291" s="171"/>
      <c r="J291" s="177"/>
      <c r="K291" s="177"/>
      <c r="L291" s="177"/>
      <c r="M291" s="177"/>
      <c r="N291" s="177"/>
      <c r="O291" s="177"/>
      <c r="P291" s="177"/>
      <c r="Q291" s="177"/>
    </row>
    <row r="292" spans="1:17" s="89" customFormat="1" ht="19.5" customHeight="1">
      <c r="A292" s="81" t="s">
        <v>32</v>
      </c>
      <c r="B292" s="145">
        <v>757</v>
      </c>
      <c r="C292" s="83" t="s">
        <v>44</v>
      </c>
      <c r="D292" s="83" t="s">
        <v>19</v>
      </c>
      <c r="E292" s="83" t="s">
        <v>865</v>
      </c>
      <c r="F292" s="83" t="s">
        <v>33</v>
      </c>
      <c r="G292" s="86"/>
      <c r="H292" s="86">
        <v>0</v>
      </c>
      <c r="I292" s="171"/>
      <c r="J292" s="177"/>
      <c r="K292" s="177"/>
      <c r="L292" s="177"/>
      <c r="M292" s="177"/>
      <c r="N292" s="177"/>
      <c r="O292" s="177"/>
      <c r="P292" s="177"/>
      <c r="Q292" s="177"/>
    </row>
    <row r="293" spans="1:17" s="89" customFormat="1" ht="71.25" customHeight="1">
      <c r="A293" s="81" t="s">
        <v>957</v>
      </c>
      <c r="B293" s="145">
        <v>757</v>
      </c>
      <c r="C293" s="83" t="s">
        <v>44</v>
      </c>
      <c r="D293" s="83" t="s">
        <v>19</v>
      </c>
      <c r="E293" s="83" t="s">
        <v>956</v>
      </c>
      <c r="F293" s="83"/>
      <c r="G293" s="86">
        <f>G294</f>
        <v>40000</v>
      </c>
      <c r="H293" s="86">
        <f t="shared" ref="H293" si="72">H294</f>
        <v>40000</v>
      </c>
      <c r="I293" s="171"/>
      <c r="J293" s="177"/>
      <c r="K293" s="177"/>
      <c r="L293" s="177"/>
      <c r="M293" s="177"/>
      <c r="N293" s="177"/>
      <c r="O293" s="177"/>
      <c r="P293" s="177"/>
      <c r="Q293" s="177"/>
    </row>
    <row r="294" spans="1:17" s="89" customFormat="1" ht="25.5">
      <c r="A294" s="81" t="s">
        <v>30</v>
      </c>
      <c r="B294" s="145">
        <v>757</v>
      </c>
      <c r="C294" s="83" t="s">
        <v>44</v>
      </c>
      <c r="D294" s="83" t="s">
        <v>19</v>
      </c>
      <c r="E294" s="83" t="s">
        <v>956</v>
      </c>
      <c r="F294" s="83" t="s">
        <v>31</v>
      </c>
      <c r="G294" s="86">
        <f>G295</f>
        <v>40000</v>
      </c>
      <c r="H294" s="86">
        <f>H295</f>
        <v>40000</v>
      </c>
      <c r="I294" s="171"/>
      <c r="J294" s="177"/>
      <c r="K294" s="177"/>
      <c r="L294" s="177"/>
      <c r="M294" s="177"/>
      <c r="N294" s="177"/>
      <c r="O294" s="177"/>
      <c r="P294" s="177"/>
      <c r="Q294" s="177"/>
    </row>
    <row r="295" spans="1:17" s="89" customFormat="1" ht="19.5" customHeight="1">
      <c r="A295" s="81" t="s">
        <v>32</v>
      </c>
      <c r="B295" s="145">
        <v>757</v>
      </c>
      <c r="C295" s="83" t="s">
        <v>44</v>
      </c>
      <c r="D295" s="83" t="s">
        <v>19</v>
      </c>
      <c r="E295" s="83" t="s">
        <v>956</v>
      </c>
      <c r="F295" s="83" t="s">
        <v>33</v>
      </c>
      <c r="G295" s="86">
        <v>40000</v>
      </c>
      <c r="H295" s="86">
        <v>40000</v>
      </c>
      <c r="I295" s="171"/>
      <c r="J295" s="177"/>
      <c r="K295" s="177"/>
      <c r="L295" s="177"/>
      <c r="M295" s="177"/>
      <c r="N295" s="177"/>
      <c r="O295" s="177"/>
      <c r="P295" s="177"/>
      <c r="Q295" s="177"/>
    </row>
    <row r="296" spans="1:17" s="89" customFormat="1" ht="32.25" customHeight="1">
      <c r="A296" s="81" t="s">
        <v>1069</v>
      </c>
      <c r="B296" s="145">
        <v>757</v>
      </c>
      <c r="C296" s="83" t="s">
        <v>44</v>
      </c>
      <c r="D296" s="83" t="s">
        <v>19</v>
      </c>
      <c r="E296" s="83" t="s">
        <v>1068</v>
      </c>
      <c r="F296" s="83"/>
      <c r="G296" s="86">
        <f>G297</f>
        <v>249623.69</v>
      </c>
      <c r="H296" s="86">
        <f t="shared" ref="H296" si="73">H297</f>
        <v>249623.69</v>
      </c>
      <c r="I296" s="171"/>
      <c r="J296" s="177"/>
      <c r="K296" s="177"/>
      <c r="L296" s="177"/>
      <c r="M296" s="177"/>
      <c r="N296" s="177"/>
      <c r="O296" s="177"/>
      <c r="P296" s="177"/>
      <c r="Q296" s="177"/>
    </row>
    <row r="297" spans="1:17" s="89" customFormat="1" ht="25.5">
      <c r="A297" s="81" t="s">
        <v>30</v>
      </c>
      <c r="B297" s="145">
        <v>757</v>
      </c>
      <c r="C297" s="83" t="s">
        <v>44</v>
      </c>
      <c r="D297" s="83" t="s">
        <v>19</v>
      </c>
      <c r="E297" s="83" t="s">
        <v>1068</v>
      </c>
      <c r="F297" s="83" t="s">
        <v>31</v>
      </c>
      <c r="G297" s="86">
        <f>G298</f>
        <v>249623.69</v>
      </c>
      <c r="H297" s="86">
        <f>H298</f>
        <v>249623.69</v>
      </c>
      <c r="I297" s="171"/>
      <c r="J297" s="177"/>
      <c r="K297" s="177"/>
      <c r="L297" s="177"/>
      <c r="M297" s="177"/>
      <c r="N297" s="177"/>
      <c r="O297" s="177"/>
      <c r="P297" s="177"/>
      <c r="Q297" s="177"/>
    </row>
    <row r="298" spans="1:17" s="89" customFormat="1" ht="19.5" customHeight="1">
      <c r="A298" s="81" t="s">
        <v>32</v>
      </c>
      <c r="B298" s="145">
        <v>757</v>
      </c>
      <c r="C298" s="83" t="s">
        <v>44</v>
      </c>
      <c r="D298" s="83" t="s">
        <v>19</v>
      </c>
      <c r="E298" s="83" t="s">
        <v>1068</v>
      </c>
      <c r="F298" s="83" t="s">
        <v>33</v>
      </c>
      <c r="G298" s="86">
        <v>249623.69</v>
      </c>
      <c r="H298" s="86">
        <v>249623.69</v>
      </c>
      <c r="I298" s="171"/>
      <c r="J298" s="177"/>
      <c r="K298" s="177"/>
      <c r="L298" s="177"/>
      <c r="M298" s="177"/>
      <c r="N298" s="177"/>
      <c r="O298" s="177"/>
      <c r="P298" s="177"/>
      <c r="Q298" s="177"/>
    </row>
    <row r="299" spans="1:17" s="89" customFormat="1" ht="42" hidden="1" customHeight="1">
      <c r="A299" s="291" t="s">
        <v>1076</v>
      </c>
      <c r="B299" s="145">
        <v>757</v>
      </c>
      <c r="C299" s="83" t="s">
        <v>44</v>
      </c>
      <c r="D299" s="83" t="s">
        <v>19</v>
      </c>
      <c r="E299" s="83" t="s">
        <v>1070</v>
      </c>
      <c r="F299" s="83"/>
      <c r="G299" s="86">
        <f>G300</f>
        <v>0</v>
      </c>
      <c r="H299" s="86">
        <f t="shared" ref="H299" si="74">H300</f>
        <v>0</v>
      </c>
      <c r="I299" s="171"/>
      <c r="J299" s="177"/>
      <c r="K299" s="177"/>
      <c r="L299" s="177"/>
      <c r="M299" s="177"/>
      <c r="N299" s="177"/>
      <c r="O299" s="177"/>
      <c r="P299" s="177"/>
      <c r="Q299" s="177"/>
    </row>
    <row r="300" spans="1:17" s="89" customFormat="1" ht="25.5" hidden="1">
      <c r="A300" s="81" t="s">
        <v>30</v>
      </c>
      <c r="B300" s="145">
        <v>757</v>
      </c>
      <c r="C300" s="83" t="s">
        <v>44</v>
      </c>
      <c r="D300" s="83" t="s">
        <v>19</v>
      </c>
      <c r="E300" s="83" t="s">
        <v>1070</v>
      </c>
      <c r="F300" s="83" t="s">
        <v>31</v>
      </c>
      <c r="G300" s="86">
        <f>G301</f>
        <v>0</v>
      </c>
      <c r="H300" s="86">
        <f>H301</f>
        <v>0</v>
      </c>
      <c r="I300" s="171"/>
      <c r="J300" s="177"/>
      <c r="K300" s="177"/>
      <c r="L300" s="177"/>
      <c r="M300" s="177"/>
      <c r="N300" s="177"/>
      <c r="O300" s="177"/>
      <c r="P300" s="177"/>
      <c r="Q300" s="177"/>
    </row>
    <row r="301" spans="1:17" s="89" customFormat="1" ht="19.5" hidden="1" customHeight="1">
      <c r="A301" s="81" t="s">
        <v>32</v>
      </c>
      <c r="B301" s="145">
        <v>757</v>
      </c>
      <c r="C301" s="83" t="s">
        <v>44</v>
      </c>
      <c r="D301" s="83" t="s">
        <v>19</v>
      </c>
      <c r="E301" s="83" t="s">
        <v>1070</v>
      </c>
      <c r="F301" s="83" t="s">
        <v>33</v>
      </c>
      <c r="G301" s="86"/>
      <c r="H301" s="86">
        <v>0</v>
      </c>
      <c r="I301" s="171"/>
      <c r="J301" s="177"/>
      <c r="K301" s="177"/>
      <c r="L301" s="177"/>
      <c r="M301" s="177"/>
      <c r="N301" s="177"/>
      <c r="O301" s="177"/>
      <c r="P301" s="177"/>
      <c r="Q301" s="177"/>
    </row>
    <row r="302" spans="1:17" s="89" customFormat="1" ht="21.75" customHeight="1">
      <c r="A302" s="81" t="s">
        <v>1072</v>
      </c>
      <c r="B302" s="145">
        <v>757</v>
      </c>
      <c r="C302" s="83" t="s">
        <v>44</v>
      </c>
      <c r="D302" s="83" t="s">
        <v>19</v>
      </c>
      <c r="E302" s="83" t="s">
        <v>1071</v>
      </c>
      <c r="F302" s="83"/>
      <c r="G302" s="86">
        <f>G303</f>
        <v>0</v>
      </c>
      <c r="H302" s="86">
        <f t="shared" ref="H302" si="75">H303</f>
        <v>0</v>
      </c>
      <c r="I302" s="171"/>
      <c r="J302" s="177"/>
      <c r="K302" s="177"/>
      <c r="L302" s="177"/>
      <c r="M302" s="177"/>
      <c r="N302" s="177"/>
      <c r="O302" s="177"/>
      <c r="P302" s="177"/>
      <c r="Q302" s="177"/>
    </row>
    <row r="303" spans="1:17" s="89" customFormat="1" ht="25.5">
      <c r="A303" s="81" t="s">
        <v>30</v>
      </c>
      <c r="B303" s="145">
        <v>757</v>
      </c>
      <c r="C303" s="83" t="s">
        <v>44</v>
      </c>
      <c r="D303" s="83" t="s">
        <v>19</v>
      </c>
      <c r="E303" s="83" t="s">
        <v>1071</v>
      </c>
      <c r="F303" s="83" t="s">
        <v>31</v>
      </c>
      <c r="G303" s="86">
        <f>G304</f>
        <v>0</v>
      </c>
      <c r="H303" s="86">
        <f>H304</f>
        <v>0</v>
      </c>
      <c r="I303" s="171"/>
      <c r="J303" s="177"/>
      <c r="K303" s="177"/>
      <c r="L303" s="177"/>
      <c r="M303" s="177"/>
      <c r="N303" s="177"/>
      <c r="O303" s="177"/>
      <c r="P303" s="177"/>
      <c r="Q303" s="177"/>
    </row>
    <row r="304" spans="1:17" s="89" customFormat="1" ht="19.5" customHeight="1">
      <c r="A304" s="81" t="s">
        <v>32</v>
      </c>
      <c r="B304" s="145">
        <v>757</v>
      </c>
      <c r="C304" s="83" t="s">
        <v>44</v>
      </c>
      <c r="D304" s="83" t="s">
        <v>19</v>
      </c>
      <c r="E304" s="83" t="s">
        <v>1071</v>
      </c>
      <c r="F304" s="83" t="s">
        <v>33</v>
      </c>
      <c r="G304" s="86">
        <v>0</v>
      </c>
      <c r="H304" s="86">
        <v>0</v>
      </c>
      <c r="I304" s="171"/>
      <c r="J304" s="177"/>
      <c r="K304" s="177"/>
      <c r="L304" s="177"/>
      <c r="M304" s="177"/>
      <c r="N304" s="177"/>
      <c r="O304" s="177"/>
      <c r="P304" s="177"/>
      <c r="Q304" s="177"/>
    </row>
    <row r="305" spans="1:19" s="89" customFormat="1" ht="42" customHeight="1">
      <c r="A305" s="81" t="s">
        <v>1074</v>
      </c>
      <c r="B305" s="145">
        <v>757</v>
      </c>
      <c r="C305" s="83" t="s">
        <v>44</v>
      </c>
      <c r="D305" s="83" t="s">
        <v>19</v>
      </c>
      <c r="E305" s="83" t="s">
        <v>1075</v>
      </c>
      <c r="F305" s="83"/>
      <c r="G305" s="86">
        <f>G306</f>
        <v>60980</v>
      </c>
      <c r="H305" s="86">
        <f t="shared" ref="H305" si="76">H306</f>
        <v>60980</v>
      </c>
      <c r="I305" s="171"/>
      <c r="J305" s="177"/>
      <c r="K305" s="177"/>
      <c r="L305" s="177"/>
      <c r="M305" s="177"/>
      <c r="N305" s="177"/>
      <c r="O305" s="177"/>
      <c r="P305" s="177"/>
      <c r="Q305" s="177"/>
    </row>
    <row r="306" spans="1:19" s="89" customFormat="1" ht="25.5">
      <c r="A306" s="81" t="s">
        <v>30</v>
      </c>
      <c r="B306" s="145">
        <v>757</v>
      </c>
      <c r="C306" s="83" t="s">
        <v>44</v>
      </c>
      <c r="D306" s="83" t="s">
        <v>19</v>
      </c>
      <c r="E306" s="83" t="s">
        <v>1075</v>
      </c>
      <c r="F306" s="83" t="s">
        <v>31</v>
      </c>
      <c r="G306" s="86">
        <f>G307</f>
        <v>60980</v>
      </c>
      <c r="H306" s="86">
        <f>H307</f>
        <v>60980</v>
      </c>
      <c r="I306" s="171"/>
      <c r="J306" s="177"/>
      <c r="K306" s="177"/>
      <c r="L306" s="177"/>
      <c r="M306" s="177"/>
      <c r="N306" s="177"/>
      <c r="O306" s="177"/>
      <c r="P306" s="177"/>
      <c r="Q306" s="177"/>
    </row>
    <row r="307" spans="1:19" s="89" customFormat="1" ht="19.5" customHeight="1">
      <c r="A307" s="81" t="s">
        <v>32</v>
      </c>
      <c r="B307" s="145">
        <v>757</v>
      </c>
      <c r="C307" s="83" t="s">
        <v>44</v>
      </c>
      <c r="D307" s="83" t="s">
        <v>19</v>
      </c>
      <c r="E307" s="83" t="s">
        <v>1075</v>
      </c>
      <c r="F307" s="83" t="s">
        <v>33</v>
      </c>
      <c r="G307" s="86">
        <f>64800-1000-2820</f>
        <v>60980</v>
      </c>
      <c r="H307" s="86">
        <v>60980</v>
      </c>
      <c r="I307" s="171"/>
      <c r="J307" s="177"/>
      <c r="K307" s="177"/>
      <c r="L307" s="177"/>
      <c r="M307" s="177"/>
      <c r="N307" s="177"/>
      <c r="O307" s="177"/>
      <c r="P307" s="177"/>
      <c r="Q307" s="177"/>
    </row>
    <row r="308" spans="1:19" s="89" customFormat="1" ht="35.25" customHeight="1">
      <c r="A308" s="81" t="s">
        <v>1109</v>
      </c>
      <c r="B308" s="145">
        <v>757</v>
      </c>
      <c r="C308" s="83" t="s">
        <v>44</v>
      </c>
      <c r="D308" s="83" t="s">
        <v>19</v>
      </c>
      <c r="E308" s="83" t="s">
        <v>1108</v>
      </c>
      <c r="F308" s="83"/>
      <c r="G308" s="86">
        <f>G309</f>
        <v>76345</v>
      </c>
      <c r="H308" s="86">
        <f t="shared" ref="H308" si="77">H309</f>
        <v>76345</v>
      </c>
      <c r="I308" s="171"/>
      <c r="J308" s="177"/>
      <c r="K308" s="177"/>
      <c r="L308" s="177"/>
      <c r="M308" s="177"/>
      <c r="N308" s="177"/>
      <c r="O308" s="177"/>
      <c r="P308" s="177"/>
      <c r="Q308" s="177"/>
    </row>
    <row r="309" spans="1:19" s="89" customFormat="1" ht="25.5">
      <c r="A309" s="81" t="s">
        <v>30</v>
      </c>
      <c r="B309" s="145">
        <v>757</v>
      </c>
      <c r="C309" s="83" t="s">
        <v>44</v>
      </c>
      <c r="D309" s="83" t="s">
        <v>19</v>
      </c>
      <c r="E309" s="83" t="s">
        <v>1108</v>
      </c>
      <c r="F309" s="83" t="s">
        <v>31</v>
      </c>
      <c r="G309" s="86">
        <f>G310</f>
        <v>76345</v>
      </c>
      <c r="H309" s="86">
        <f>H310</f>
        <v>76345</v>
      </c>
      <c r="I309" s="171"/>
      <c r="J309" s="177"/>
      <c r="K309" s="177"/>
      <c r="L309" s="177"/>
      <c r="M309" s="177"/>
      <c r="N309" s="177"/>
      <c r="O309" s="177"/>
      <c r="P309" s="177"/>
      <c r="Q309" s="177"/>
    </row>
    <row r="310" spans="1:19" s="89" customFormat="1" ht="19.5" customHeight="1">
      <c r="A310" s="81" t="s">
        <v>32</v>
      </c>
      <c r="B310" s="145">
        <v>757</v>
      </c>
      <c r="C310" s="83" t="s">
        <v>44</v>
      </c>
      <c r="D310" s="83" t="s">
        <v>19</v>
      </c>
      <c r="E310" s="83" t="s">
        <v>1108</v>
      </c>
      <c r="F310" s="83" t="s">
        <v>33</v>
      </c>
      <c r="G310" s="86">
        <v>76345</v>
      </c>
      <c r="H310" s="86">
        <v>76345</v>
      </c>
      <c r="I310" s="171"/>
      <c r="J310" s="177"/>
      <c r="K310" s="177"/>
      <c r="L310" s="177"/>
      <c r="M310" s="177"/>
      <c r="N310" s="177"/>
      <c r="O310" s="177"/>
      <c r="P310" s="177"/>
      <c r="Q310" s="177"/>
    </row>
    <row r="311" spans="1:19" s="89" customFormat="1" ht="46.5" customHeight="1">
      <c r="A311" s="81" t="s">
        <v>1095</v>
      </c>
      <c r="B311" s="145">
        <v>757</v>
      </c>
      <c r="C311" s="83" t="s">
        <v>44</v>
      </c>
      <c r="D311" s="83" t="s">
        <v>19</v>
      </c>
      <c r="E311" s="83" t="s">
        <v>1096</v>
      </c>
      <c r="F311" s="83"/>
      <c r="G311" s="86">
        <f>G312</f>
        <v>10000</v>
      </c>
      <c r="H311" s="86">
        <f t="shared" ref="H311" si="78">H312</f>
        <v>10000</v>
      </c>
      <c r="I311" s="171"/>
      <c r="J311" s="177"/>
      <c r="K311" s="177"/>
      <c r="L311" s="177"/>
      <c r="M311" s="177"/>
      <c r="N311" s="177"/>
      <c r="O311" s="177"/>
      <c r="P311" s="177"/>
      <c r="Q311" s="177"/>
    </row>
    <row r="312" spans="1:19" s="89" customFormat="1" ht="25.5">
      <c r="A312" s="81" t="s">
        <v>30</v>
      </c>
      <c r="B312" s="145">
        <v>757</v>
      </c>
      <c r="C312" s="83" t="s">
        <v>44</v>
      </c>
      <c r="D312" s="83" t="s">
        <v>19</v>
      </c>
      <c r="E312" s="83" t="s">
        <v>1096</v>
      </c>
      <c r="F312" s="83" t="s">
        <v>31</v>
      </c>
      <c r="G312" s="86">
        <f>G313</f>
        <v>10000</v>
      </c>
      <c r="H312" s="86">
        <f>H313</f>
        <v>10000</v>
      </c>
      <c r="I312" s="171"/>
      <c r="J312" s="177"/>
      <c r="K312" s="177"/>
      <c r="L312" s="177"/>
      <c r="M312" s="177"/>
      <c r="N312" s="177"/>
      <c r="O312" s="177"/>
      <c r="P312" s="177"/>
      <c r="Q312" s="177"/>
    </row>
    <row r="313" spans="1:19" s="89" customFormat="1" ht="19.5" customHeight="1">
      <c r="A313" s="81" t="s">
        <v>32</v>
      </c>
      <c r="B313" s="145">
        <v>757</v>
      </c>
      <c r="C313" s="83" t="s">
        <v>44</v>
      </c>
      <c r="D313" s="83" t="s">
        <v>19</v>
      </c>
      <c r="E313" s="83" t="s">
        <v>1096</v>
      </c>
      <c r="F313" s="83" t="s">
        <v>33</v>
      </c>
      <c r="G313" s="86">
        <v>10000</v>
      </c>
      <c r="H313" s="86">
        <v>10000</v>
      </c>
      <c r="I313" s="171"/>
      <c r="J313" s="177"/>
      <c r="K313" s="177"/>
      <c r="L313" s="177"/>
      <c r="M313" s="177"/>
      <c r="N313" s="177"/>
      <c r="O313" s="177"/>
      <c r="P313" s="177"/>
      <c r="Q313" s="177"/>
    </row>
    <row r="314" spans="1:19" s="89" customFormat="1" ht="42" customHeight="1">
      <c r="A314" s="81" t="s">
        <v>1097</v>
      </c>
      <c r="B314" s="145">
        <v>757</v>
      </c>
      <c r="C314" s="83" t="s">
        <v>44</v>
      </c>
      <c r="D314" s="83" t="s">
        <v>19</v>
      </c>
      <c r="E314" s="83" t="s">
        <v>1098</v>
      </c>
      <c r="F314" s="83"/>
      <c r="G314" s="86">
        <f>G315</f>
        <v>10000</v>
      </c>
      <c r="H314" s="86">
        <f t="shared" ref="H314" si="79">H315</f>
        <v>10000</v>
      </c>
      <c r="I314" s="171"/>
      <c r="J314" s="177"/>
      <c r="K314" s="177"/>
      <c r="L314" s="177"/>
      <c r="M314" s="177"/>
      <c r="N314" s="177"/>
      <c r="O314" s="177"/>
      <c r="P314" s="177"/>
      <c r="Q314" s="177"/>
    </row>
    <row r="315" spans="1:19" s="89" customFormat="1" ht="25.5">
      <c r="A315" s="81" t="s">
        <v>30</v>
      </c>
      <c r="B315" s="145">
        <v>757</v>
      </c>
      <c r="C315" s="83" t="s">
        <v>44</v>
      </c>
      <c r="D315" s="83" t="s">
        <v>19</v>
      </c>
      <c r="E315" s="83" t="s">
        <v>1098</v>
      </c>
      <c r="F315" s="83" t="s">
        <v>31</v>
      </c>
      <c r="G315" s="86">
        <f>G316</f>
        <v>10000</v>
      </c>
      <c r="H315" s="86">
        <f>H316</f>
        <v>10000</v>
      </c>
      <c r="I315" s="171"/>
      <c r="J315" s="177"/>
      <c r="K315" s="177"/>
      <c r="L315" s="177"/>
      <c r="M315" s="177"/>
      <c r="N315" s="177"/>
      <c r="O315" s="177"/>
      <c r="P315" s="177"/>
      <c r="Q315" s="177"/>
    </row>
    <row r="316" spans="1:19" s="89" customFormat="1" ht="19.5" customHeight="1">
      <c r="A316" s="81" t="s">
        <v>32</v>
      </c>
      <c r="B316" s="145">
        <v>757</v>
      </c>
      <c r="C316" s="83" t="s">
        <v>44</v>
      </c>
      <c r="D316" s="83" t="s">
        <v>19</v>
      </c>
      <c r="E316" s="83" t="s">
        <v>1098</v>
      </c>
      <c r="F316" s="83" t="s">
        <v>33</v>
      </c>
      <c r="G316" s="86">
        <v>10000</v>
      </c>
      <c r="H316" s="86">
        <v>10000</v>
      </c>
      <c r="I316" s="171"/>
      <c r="J316" s="177"/>
      <c r="K316" s="177"/>
      <c r="L316" s="177"/>
      <c r="M316" s="177"/>
      <c r="N316" s="177"/>
      <c r="O316" s="177"/>
      <c r="P316" s="177"/>
      <c r="Q316" s="177"/>
    </row>
    <row r="317" spans="1:19" s="89" customFormat="1" ht="79.5" customHeight="1">
      <c r="A317" s="81" t="s">
        <v>570</v>
      </c>
      <c r="B317" s="145">
        <v>757</v>
      </c>
      <c r="C317" s="83" t="s">
        <v>44</v>
      </c>
      <c r="D317" s="83" t="s">
        <v>19</v>
      </c>
      <c r="E317" s="83" t="s">
        <v>999</v>
      </c>
      <c r="F317" s="83"/>
      <c r="G317" s="86">
        <f>G318</f>
        <v>8764915.6500000004</v>
      </c>
      <c r="H317" s="86">
        <f t="shared" ref="H317" si="80">H318</f>
        <v>8764915.6500000004</v>
      </c>
      <c r="I317" s="171"/>
      <c r="J317" s="177"/>
      <c r="K317" s="177"/>
      <c r="L317" s="177"/>
      <c r="M317" s="177"/>
      <c r="N317" s="177"/>
      <c r="O317" s="177"/>
      <c r="P317" s="177"/>
      <c r="Q317" s="177"/>
    </row>
    <row r="318" spans="1:19" s="89" customFormat="1" ht="25.5">
      <c r="A318" s="81" t="s">
        <v>30</v>
      </c>
      <c r="B318" s="145">
        <v>757</v>
      </c>
      <c r="C318" s="83" t="s">
        <v>44</v>
      </c>
      <c r="D318" s="83" t="s">
        <v>19</v>
      </c>
      <c r="E318" s="83" t="s">
        <v>999</v>
      </c>
      <c r="F318" s="83" t="s">
        <v>31</v>
      </c>
      <c r="G318" s="86">
        <f>G319</f>
        <v>8764915.6500000004</v>
      </c>
      <c r="H318" s="86">
        <f>H319</f>
        <v>8764915.6500000004</v>
      </c>
      <c r="I318" s="171"/>
      <c r="J318" s="177"/>
      <c r="K318" s="177"/>
      <c r="L318" s="177"/>
      <c r="M318" s="177"/>
      <c r="N318" s="177"/>
      <c r="O318" s="177"/>
      <c r="P318" s="177"/>
      <c r="Q318" s="177"/>
    </row>
    <row r="319" spans="1:19" s="89" customFormat="1" ht="19.5" customHeight="1">
      <c r="A319" s="81" t="s">
        <v>32</v>
      </c>
      <c r="B319" s="145">
        <v>757</v>
      </c>
      <c r="C319" s="83" t="s">
        <v>44</v>
      </c>
      <c r="D319" s="83" t="s">
        <v>19</v>
      </c>
      <c r="E319" s="83" t="s">
        <v>999</v>
      </c>
      <c r="F319" s="83" t="s">
        <v>33</v>
      </c>
      <c r="G319" s="86">
        <f>8134569.94+630345.71</f>
        <v>8764915.6500000004</v>
      </c>
      <c r="H319" s="86">
        <v>8764915.6500000004</v>
      </c>
      <c r="I319" s="171"/>
      <c r="J319" s="177"/>
      <c r="K319" s="177"/>
      <c r="L319" s="177"/>
      <c r="M319" s="177"/>
      <c r="N319" s="177"/>
      <c r="O319" s="177"/>
      <c r="P319" s="177"/>
      <c r="Q319" s="177"/>
    </row>
    <row r="320" spans="1:19" s="89" customFormat="1" ht="39.75" customHeight="1">
      <c r="A320" s="139" t="s">
        <v>747</v>
      </c>
      <c r="B320" s="145">
        <v>757</v>
      </c>
      <c r="C320" s="83" t="s">
        <v>44</v>
      </c>
      <c r="D320" s="83" t="s">
        <v>19</v>
      </c>
      <c r="E320" s="83" t="s">
        <v>1024</v>
      </c>
      <c r="F320" s="145"/>
      <c r="G320" s="84">
        <f>G321</f>
        <v>155000</v>
      </c>
      <c r="H320" s="84">
        <f t="shared" ref="H320" si="81">H321</f>
        <v>155000</v>
      </c>
      <c r="O320" s="122"/>
      <c r="P320" s="122"/>
      <c r="Q320" s="122"/>
      <c r="R320" s="122"/>
      <c r="S320" s="122"/>
    </row>
    <row r="321" spans="1:19" ht="49.5" customHeight="1">
      <c r="A321" s="81" t="s">
        <v>30</v>
      </c>
      <c r="B321" s="145">
        <v>757</v>
      </c>
      <c r="C321" s="83" t="s">
        <v>44</v>
      </c>
      <c r="D321" s="83" t="s">
        <v>19</v>
      </c>
      <c r="E321" s="83" t="s">
        <v>1024</v>
      </c>
      <c r="F321" s="83" t="s">
        <v>31</v>
      </c>
      <c r="G321" s="84">
        <f>G322</f>
        <v>155000</v>
      </c>
      <c r="H321" s="84">
        <f>H322</f>
        <v>155000</v>
      </c>
      <c r="I321" s="89"/>
      <c r="J321" s="1"/>
      <c r="K321" s="1"/>
      <c r="L321" s="1"/>
      <c r="M321" s="1"/>
      <c r="N321" s="1"/>
      <c r="O321" s="2"/>
      <c r="P321" s="2"/>
      <c r="Q321" s="2"/>
      <c r="R321" s="2"/>
      <c r="S321" s="2"/>
    </row>
    <row r="322" spans="1:19">
      <c r="A322" s="81" t="s">
        <v>32</v>
      </c>
      <c r="B322" s="145">
        <v>757</v>
      </c>
      <c r="C322" s="83" t="s">
        <v>44</v>
      </c>
      <c r="D322" s="83" t="s">
        <v>19</v>
      </c>
      <c r="E322" s="83" t="s">
        <v>1024</v>
      </c>
      <c r="F322" s="83" t="s">
        <v>33</v>
      </c>
      <c r="G322" s="84">
        <v>155000</v>
      </c>
      <c r="H322" s="84">
        <v>155000</v>
      </c>
      <c r="I322" s="89"/>
      <c r="J322" s="1"/>
      <c r="K322" s="1"/>
      <c r="L322" s="1"/>
      <c r="M322" s="1"/>
      <c r="N322" s="1"/>
      <c r="O322" s="2"/>
      <c r="P322" s="2"/>
      <c r="Q322" s="2"/>
      <c r="R322" s="2"/>
      <c r="S322" s="2"/>
    </row>
    <row r="323" spans="1:19" s="161" customFormat="1" ht="30.75" customHeight="1">
      <c r="A323" s="135" t="s">
        <v>272</v>
      </c>
      <c r="B323" s="145">
        <v>757</v>
      </c>
      <c r="C323" s="83" t="s">
        <v>44</v>
      </c>
      <c r="D323" s="83" t="s">
        <v>19</v>
      </c>
      <c r="E323" s="83" t="s">
        <v>565</v>
      </c>
      <c r="F323" s="83"/>
      <c r="G323" s="86">
        <f>G324</f>
        <v>570946.80000000005</v>
      </c>
      <c r="H323" s="86">
        <f>H324</f>
        <v>570946.80000000005</v>
      </c>
      <c r="I323" s="184"/>
      <c r="J323" s="197"/>
      <c r="K323" s="197"/>
      <c r="L323" s="197"/>
      <c r="M323" s="197"/>
      <c r="N323" s="197"/>
      <c r="O323" s="197"/>
      <c r="P323" s="197"/>
      <c r="Q323" s="197"/>
    </row>
    <row r="324" spans="1:19" ht="30.75" customHeight="1">
      <c r="A324" s="81" t="s">
        <v>272</v>
      </c>
      <c r="B324" s="145">
        <v>757</v>
      </c>
      <c r="C324" s="83" t="s">
        <v>44</v>
      </c>
      <c r="D324" s="83" t="s">
        <v>19</v>
      </c>
      <c r="E324" s="83" t="s">
        <v>566</v>
      </c>
      <c r="F324" s="83"/>
      <c r="G324" s="86">
        <f>G331</f>
        <v>570946.80000000005</v>
      </c>
      <c r="H324" s="86">
        <f>H331</f>
        <v>570946.80000000005</v>
      </c>
      <c r="I324" s="171"/>
    </row>
    <row r="325" spans="1:19" ht="30.75" hidden="1" customHeight="1">
      <c r="A325" s="81" t="s">
        <v>36</v>
      </c>
      <c r="B325" s="82">
        <v>757</v>
      </c>
      <c r="C325" s="83" t="s">
        <v>173</v>
      </c>
      <c r="D325" s="83" t="s">
        <v>28</v>
      </c>
      <c r="E325" s="83" t="s">
        <v>566</v>
      </c>
      <c r="F325" s="83" t="s">
        <v>37</v>
      </c>
      <c r="G325" s="86">
        <f t="shared" ref="G325:G330" si="82">G332</f>
        <v>570946.80000000005</v>
      </c>
      <c r="H325" s="86">
        <v>0</v>
      </c>
      <c r="I325" s="171"/>
    </row>
    <row r="326" spans="1:19" ht="30.75" hidden="1" customHeight="1">
      <c r="A326" s="81" t="s">
        <v>38</v>
      </c>
      <c r="B326" s="82">
        <v>757</v>
      </c>
      <c r="C326" s="83" t="s">
        <v>173</v>
      </c>
      <c r="D326" s="83" t="s">
        <v>28</v>
      </c>
      <c r="E326" s="83" t="s">
        <v>566</v>
      </c>
      <c r="F326" s="83" t="s">
        <v>39</v>
      </c>
      <c r="G326" s="86">
        <f t="shared" si="82"/>
        <v>174496</v>
      </c>
      <c r="H326" s="86">
        <v>0</v>
      </c>
      <c r="I326" s="171"/>
    </row>
    <row r="327" spans="1:19" ht="23.25" hidden="1" customHeight="1">
      <c r="A327" s="81" t="s">
        <v>148</v>
      </c>
      <c r="B327" s="145">
        <v>757</v>
      </c>
      <c r="C327" s="83" t="s">
        <v>70</v>
      </c>
      <c r="D327" s="83" t="s">
        <v>123</v>
      </c>
      <c r="E327" s="83" t="s">
        <v>566</v>
      </c>
      <c r="F327" s="83" t="s">
        <v>149</v>
      </c>
      <c r="G327" s="86">
        <f t="shared" si="82"/>
        <v>174496</v>
      </c>
      <c r="H327" s="86">
        <v>0</v>
      </c>
      <c r="I327" s="171"/>
    </row>
    <row r="328" spans="1:19" ht="30.75" hidden="1" customHeight="1">
      <c r="A328" s="81" t="s">
        <v>150</v>
      </c>
      <c r="B328" s="145">
        <v>757</v>
      </c>
      <c r="C328" s="83" t="s">
        <v>70</v>
      </c>
      <c r="D328" s="83" t="s">
        <v>123</v>
      </c>
      <c r="E328" s="83" t="s">
        <v>566</v>
      </c>
      <c r="F328" s="83" t="s">
        <v>151</v>
      </c>
      <c r="G328" s="86">
        <f t="shared" si="82"/>
        <v>174496</v>
      </c>
      <c r="H328" s="86">
        <v>0</v>
      </c>
      <c r="I328" s="171"/>
    </row>
    <row r="329" spans="1:19" ht="21.75" hidden="1" customHeight="1">
      <c r="A329" s="81" t="s">
        <v>156</v>
      </c>
      <c r="B329" s="145">
        <v>757</v>
      </c>
      <c r="C329" s="83" t="s">
        <v>173</v>
      </c>
      <c r="D329" s="83" t="s">
        <v>70</v>
      </c>
      <c r="E329" s="83" t="s">
        <v>566</v>
      </c>
      <c r="F329" s="83" t="s">
        <v>157</v>
      </c>
      <c r="G329" s="86">
        <f t="shared" si="82"/>
        <v>5335539</v>
      </c>
      <c r="H329" s="86">
        <v>0</v>
      </c>
      <c r="I329" s="171"/>
    </row>
    <row r="330" spans="1:19" ht="22.5" hidden="1" customHeight="1">
      <c r="A330" s="81" t="s">
        <v>178</v>
      </c>
      <c r="B330" s="145">
        <v>757</v>
      </c>
      <c r="C330" s="83" t="s">
        <v>173</v>
      </c>
      <c r="D330" s="83" t="s">
        <v>70</v>
      </c>
      <c r="E330" s="83" t="s">
        <v>566</v>
      </c>
      <c r="F330" s="83" t="s">
        <v>179</v>
      </c>
      <c r="G330" s="86">
        <f t="shared" si="82"/>
        <v>5335539</v>
      </c>
      <c r="H330" s="86">
        <v>0</v>
      </c>
      <c r="I330" s="171"/>
    </row>
    <row r="331" spans="1:19" ht="25.5">
      <c r="A331" s="81" t="s">
        <v>30</v>
      </c>
      <c r="B331" s="145">
        <v>757</v>
      </c>
      <c r="C331" s="83" t="s">
        <v>44</v>
      </c>
      <c r="D331" s="83" t="s">
        <v>19</v>
      </c>
      <c r="E331" s="83" t="s">
        <v>566</v>
      </c>
      <c r="F331" s="83" t="s">
        <v>31</v>
      </c>
      <c r="G331" s="84">
        <f t="shared" ref="G331:H331" si="83">G332</f>
        <v>570946.80000000005</v>
      </c>
      <c r="H331" s="84">
        <f t="shared" si="83"/>
        <v>570946.80000000005</v>
      </c>
      <c r="I331" s="172"/>
    </row>
    <row r="332" spans="1:19">
      <c r="A332" s="81" t="s">
        <v>32</v>
      </c>
      <c r="B332" s="145">
        <v>757</v>
      </c>
      <c r="C332" s="83" t="s">
        <v>44</v>
      </c>
      <c r="D332" s="83" t="s">
        <v>19</v>
      </c>
      <c r="E332" s="83" t="s">
        <v>566</v>
      </c>
      <c r="F332" s="83" t="s">
        <v>33</v>
      </c>
      <c r="G332" s="84">
        <v>570946.80000000005</v>
      </c>
      <c r="H332" s="84">
        <v>570946.80000000005</v>
      </c>
      <c r="I332" s="172"/>
    </row>
    <row r="333" spans="1:19" ht="34.9" customHeight="1">
      <c r="A333" s="135" t="s">
        <v>169</v>
      </c>
      <c r="B333" s="145">
        <v>757</v>
      </c>
      <c r="C333" s="83" t="s">
        <v>44</v>
      </c>
      <c r="D333" s="83" t="s">
        <v>19</v>
      </c>
      <c r="E333" s="83" t="s">
        <v>233</v>
      </c>
      <c r="F333" s="163"/>
      <c r="G333" s="86">
        <f>G334</f>
        <v>174496</v>
      </c>
      <c r="H333" s="86">
        <f>H334</f>
        <v>174496</v>
      </c>
      <c r="I333" s="171"/>
    </row>
    <row r="334" spans="1:19" ht="30.6" customHeight="1">
      <c r="A334" s="81" t="s">
        <v>30</v>
      </c>
      <c r="B334" s="145">
        <v>757</v>
      </c>
      <c r="C334" s="83" t="s">
        <v>44</v>
      </c>
      <c r="D334" s="83" t="s">
        <v>19</v>
      </c>
      <c r="E334" s="83" t="s">
        <v>275</v>
      </c>
      <c r="F334" s="145"/>
      <c r="G334" s="86">
        <f>G335</f>
        <v>174496</v>
      </c>
      <c r="H334" s="86">
        <f>H335</f>
        <v>174496</v>
      </c>
      <c r="I334" s="171"/>
    </row>
    <row r="335" spans="1:19" ht="18" customHeight="1">
      <c r="A335" s="81" t="s">
        <v>32</v>
      </c>
      <c r="B335" s="145">
        <v>757</v>
      </c>
      <c r="C335" s="83" t="s">
        <v>44</v>
      </c>
      <c r="D335" s="83" t="s">
        <v>19</v>
      </c>
      <c r="E335" s="83" t="s">
        <v>275</v>
      </c>
      <c r="F335" s="83" t="s">
        <v>33</v>
      </c>
      <c r="G335" s="86">
        <v>174496</v>
      </c>
      <c r="H335" s="86">
        <v>174496</v>
      </c>
      <c r="I335" s="171"/>
    </row>
    <row r="336" spans="1:19" s="28" customFormat="1" ht="22.5" customHeight="1">
      <c r="A336" s="131" t="s">
        <v>53</v>
      </c>
      <c r="B336" s="145">
        <v>757</v>
      </c>
      <c r="C336" s="83" t="s">
        <v>44</v>
      </c>
      <c r="D336" s="83" t="s">
        <v>54</v>
      </c>
      <c r="E336" s="83"/>
      <c r="F336" s="83"/>
      <c r="G336" s="93">
        <f t="shared" ref="G336:H337" si="84">G337</f>
        <v>5335539</v>
      </c>
      <c r="H336" s="93">
        <f t="shared" si="84"/>
        <v>5335237.04</v>
      </c>
      <c r="I336" s="185"/>
      <c r="J336" s="195"/>
      <c r="K336" s="195"/>
      <c r="L336" s="195"/>
      <c r="M336" s="195"/>
      <c r="N336" s="195"/>
      <c r="O336" s="195"/>
      <c r="P336" s="195"/>
      <c r="Q336" s="195"/>
    </row>
    <row r="337" spans="1:17" ht="25.5">
      <c r="A337" s="81" t="s">
        <v>482</v>
      </c>
      <c r="B337" s="145">
        <v>757</v>
      </c>
      <c r="C337" s="83" t="s">
        <v>44</v>
      </c>
      <c r="D337" s="83" t="s">
        <v>54</v>
      </c>
      <c r="E337" s="83" t="s">
        <v>193</v>
      </c>
      <c r="F337" s="83"/>
      <c r="G337" s="92">
        <f t="shared" si="84"/>
        <v>5335539</v>
      </c>
      <c r="H337" s="92">
        <f t="shared" si="84"/>
        <v>5335237.04</v>
      </c>
      <c r="I337" s="186"/>
    </row>
    <row r="338" spans="1:17" s="28" customFormat="1" ht="25.5">
      <c r="A338" s="131" t="s">
        <v>76</v>
      </c>
      <c r="B338" s="145">
        <v>757</v>
      </c>
      <c r="C338" s="83" t="s">
        <v>44</v>
      </c>
      <c r="D338" s="83" t="s">
        <v>54</v>
      </c>
      <c r="E338" s="83" t="s">
        <v>204</v>
      </c>
      <c r="F338" s="83"/>
      <c r="G338" s="92">
        <f>G339+G341+G343</f>
        <v>5335539</v>
      </c>
      <c r="H338" s="92">
        <f>H339+H341+H343</f>
        <v>5335237.04</v>
      </c>
      <c r="I338" s="186"/>
      <c r="J338" s="195"/>
      <c r="K338" s="195"/>
      <c r="L338" s="195"/>
      <c r="M338" s="195"/>
      <c r="N338" s="195"/>
      <c r="O338" s="195"/>
      <c r="P338" s="195"/>
      <c r="Q338" s="195"/>
    </row>
    <row r="339" spans="1:17" s="32" customFormat="1" ht="63.75">
      <c r="A339" s="81" t="s">
        <v>55</v>
      </c>
      <c r="B339" s="145">
        <v>757</v>
      </c>
      <c r="C339" s="83" t="s">
        <v>44</v>
      </c>
      <c r="D339" s="83" t="s">
        <v>54</v>
      </c>
      <c r="E339" s="83" t="s">
        <v>204</v>
      </c>
      <c r="F339" s="83" t="s">
        <v>58</v>
      </c>
      <c r="G339" s="86">
        <f>G340</f>
        <v>5101320.4000000004</v>
      </c>
      <c r="H339" s="86">
        <f>H340</f>
        <v>5101318.4400000004</v>
      </c>
      <c r="I339" s="171"/>
      <c r="J339" s="194"/>
      <c r="K339" s="194"/>
      <c r="L339" s="194"/>
      <c r="M339" s="194"/>
      <c r="N339" s="194"/>
      <c r="O339" s="194"/>
      <c r="P339" s="194"/>
      <c r="Q339" s="194"/>
    </row>
    <row r="340" spans="1:17" s="32" customFormat="1" ht="25.5">
      <c r="A340" s="81" t="s">
        <v>56</v>
      </c>
      <c r="B340" s="145">
        <v>757</v>
      </c>
      <c r="C340" s="83" t="s">
        <v>44</v>
      </c>
      <c r="D340" s="83" t="s">
        <v>54</v>
      </c>
      <c r="E340" s="83" t="s">
        <v>204</v>
      </c>
      <c r="F340" s="83" t="s">
        <v>59</v>
      </c>
      <c r="G340" s="86">
        <v>5101320.4000000004</v>
      </c>
      <c r="H340" s="86">
        <v>5101318.4400000004</v>
      </c>
      <c r="I340" s="171"/>
      <c r="J340" s="194"/>
      <c r="K340" s="194"/>
      <c r="L340" s="194"/>
      <c r="M340" s="194"/>
      <c r="N340" s="194"/>
      <c r="O340" s="194"/>
      <c r="P340" s="194"/>
      <c r="Q340" s="194"/>
    </row>
    <row r="341" spans="1:17" s="32" customFormat="1" ht="28.5" customHeight="1">
      <c r="A341" s="81" t="s">
        <v>36</v>
      </c>
      <c r="B341" s="145">
        <v>757</v>
      </c>
      <c r="C341" s="83" t="s">
        <v>44</v>
      </c>
      <c r="D341" s="83" t="s">
        <v>54</v>
      </c>
      <c r="E341" s="83" t="s">
        <v>204</v>
      </c>
      <c r="F341" s="83" t="s">
        <v>37</v>
      </c>
      <c r="G341" s="86">
        <f>G342</f>
        <v>233918.6</v>
      </c>
      <c r="H341" s="86">
        <f>H342</f>
        <v>233918.6</v>
      </c>
      <c r="I341" s="171"/>
      <c r="J341" s="194"/>
      <c r="K341" s="194"/>
      <c r="L341" s="194"/>
      <c r="M341" s="194"/>
      <c r="N341" s="194"/>
      <c r="O341" s="194"/>
      <c r="P341" s="194"/>
      <c r="Q341" s="194"/>
    </row>
    <row r="342" spans="1:17" s="32" customFormat="1" ht="25.5">
      <c r="A342" s="81" t="s">
        <v>38</v>
      </c>
      <c r="B342" s="145">
        <v>757</v>
      </c>
      <c r="C342" s="83" t="s">
        <v>44</v>
      </c>
      <c r="D342" s="83" t="s">
        <v>54</v>
      </c>
      <c r="E342" s="83" t="s">
        <v>204</v>
      </c>
      <c r="F342" s="83" t="s">
        <v>39</v>
      </c>
      <c r="G342" s="86">
        <v>233918.6</v>
      </c>
      <c r="H342" s="86">
        <v>233918.6</v>
      </c>
      <c r="I342" s="171"/>
      <c r="J342" s="194"/>
      <c r="K342" s="194"/>
      <c r="L342" s="194"/>
      <c r="M342" s="194"/>
      <c r="N342" s="194"/>
      <c r="O342" s="194"/>
      <c r="P342" s="194"/>
      <c r="Q342" s="194"/>
    </row>
    <row r="343" spans="1:17">
      <c r="A343" s="81" t="s">
        <v>63</v>
      </c>
      <c r="B343" s="145">
        <v>757</v>
      </c>
      <c r="C343" s="83" t="s">
        <v>44</v>
      </c>
      <c r="D343" s="83" t="s">
        <v>54</v>
      </c>
      <c r="E343" s="83" t="s">
        <v>204</v>
      </c>
      <c r="F343" s="83" t="s">
        <v>64</v>
      </c>
      <c r="G343" s="93">
        <f>G344</f>
        <v>300</v>
      </c>
      <c r="H343" s="93">
        <f>H344</f>
        <v>0</v>
      </c>
      <c r="I343" s="185"/>
    </row>
    <row r="344" spans="1:17">
      <c r="A344" s="81" t="s">
        <v>66</v>
      </c>
      <c r="B344" s="145">
        <v>757</v>
      </c>
      <c r="C344" s="83" t="s">
        <v>44</v>
      </c>
      <c r="D344" s="83" t="s">
        <v>54</v>
      </c>
      <c r="E344" s="83" t="s">
        <v>204</v>
      </c>
      <c r="F344" s="83" t="s">
        <v>67</v>
      </c>
      <c r="G344" s="93">
        <v>300</v>
      </c>
      <c r="H344" s="93">
        <v>0</v>
      </c>
      <c r="I344" s="185"/>
    </row>
    <row r="345" spans="1:17" ht="33" hidden="1" customHeight="1">
      <c r="A345" s="81" t="s">
        <v>817</v>
      </c>
      <c r="B345" s="145">
        <v>757</v>
      </c>
      <c r="C345" s="83" t="s">
        <v>69</v>
      </c>
      <c r="D345" s="83" t="s">
        <v>54</v>
      </c>
      <c r="E345" s="83" t="s">
        <v>816</v>
      </c>
      <c r="F345" s="83"/>
      <c r="G345" s="86">
        <f t="shared" ref="G345:H346" si="85">G346</f>
        <v>0</v>
      </c>
      <c r="H345" s="86">
        <f t="shared" si="85"/>
        <v>0</v>
      </c>
      <c r="I345" s="171"/>
    </row>
    <row r="346" spans="1:17" ht="33" hidden="1" customHeight="1">
      <c r="A346" s="81" t="s">
        <v>148</v>
      </c>
      <c r="B346" s="145">
        <v>757</v>
      </c>
      <c r="C346" s="83" t="s">
        <v>69</v>
      </c>
      <c r="D346" s="83" t="s">
        <v>54</v>
      </c>
      <c r="E346" s="83" t="s">
        <v>816</v>
      </c>
      <c r="F346" s="83" t="s">
        <v>149</v>
      </c>
      <c r="G346" s="86">
        <f t="shared" si="85"/>
        <v>0</v>
      </c>
      <c r="H346" s="86">
        <f t="shared" si="85"/>
        <v>0</v>
      </c>
      <c r="I346" s="171"/>
    </row>
    <row r="347" spans="1:17" ht="33" hidden="1" customHeight="1">
      <c r="A347" s="81" t="s">
        <v>150</v>
      </c>
      <c r="B347" s="145">
        <v>757</v>
      </c>
      <c r="C347" s="83" t="s">
        <v>69</v>
      </c>
      <c r="D347" s="83" t="s">
        <v>54</v>
      </c>
      <c r="E347" s="83" t="s">
        <v>816</v>
      </c>
      <c r="F347" s="83" t="s">
        <v>151</v>
      </c>
      <c r="G347" s="86">
        <v>0</v>
      </c>
      <c r="H347" s="86">
        <v>0</v>
      </c>
      <c r="I347" s="171"/>
    </row>
    <row r="348" spans="1:17" ht="82.5" hidden="1" customHeight="1">
      <c r="A348" s="129" t="s">
        <v>411</v>
      </c>
      <c r="B348" s="145">
        <v>757</v>
      </c>
      <c r="C348" s="83" t="s">
        <v>69</v>
      </c>
      <c r="D348" s="83" t="s">
        <v>54</v>
      </c>
      <c r="E348" s="83" t="s">
        <v>410</v>
      </c>
      <c r="F348" s="83"/>
      <c r="G348" s="86">
        <f t="shared" ref="G348:H349" si="86">G349</f>
        <v>0</v>
      </c>
      <c r="H348" s="86">
        <f t="shared" si="86"/>
        <v>0</v>
      </c>
      <c r="I348" s="171"/>
    </row>
    <row r="349" spans="1:17" ht="33" hidden="1" customHeight="1">
      <c r="A349" s="81" t="s">
        <v>148</v>
      </c>
      <c r="B349" s="145">
        <v>757</v>
      </c>
      <c r="C349" s="83" t="s">
        <v>69</v>
      </c>
      <c r="D349" s="83" t="s">
        <v>54</v>
      </c>
      <c r="E349" s="83" t="s">
        <v>410</v>
      </c>
      <c r="F349" s="83" t="s">
        <v>149</v>
      </c>
      <c r="G349" s="86">
        <f t="shared" si="86"/>
        <v>0</v>
      </c>
      <c r="H349" s="86">
        <f t="shared" si="86"/>
        <v>0</v>
      </c>
      <c r="I349" s="171"/>
    </row>
    <row r="350" spans="1:17" ht="33" hidden="1" customHeight="1">
      <c r="A350" s="81" t="s">
        <v>150</v>
      </c>
      <c r="B350" s="145">
        <v>757</v>
      </c>
      <c r="C350" s="83" t="s">
        <v>69</v>
      </c>
      <c r="D350" s="83" t="s">
        <v>54</v>
      </c>
      <c r="E350" s="83" t="s">
        <v>410</v>
      </c>
      <c r="F350" s="83" t="s">
        <v>151</v>
      </c>
      <c r="G350" s="86"/>
      <c r="H350" s="86"/>
      <c r="I350" s="171"/>
    </row>
    <row r="351" spans="1:17" s="32" customFormat="1" ht="17.25" hidden="1" customHeight="1">
      <c r="A351" s="259" t="s">
        <v>360</v>
      </c>
      <c r="B351" s="151">
        <v>757</v>
      </c>
      <c r="C351" s="152" t="s">
        <v>72</v>
      </c>
      <c r="D351" s="152"/>
      <c r="E351" s="152"/>
      <c r="F351" s="152"/>
      <c r="G351" s="153">
        <f>G367+G352</f>
        <v>0</v>
      </c>
      <c r="H351" s="153">
        <f>H367+H352</f>
        <v>0</v>
      </c>
      <c r="I351" s="187"/>
      <c r="J351" s="194"/>
      <c r="K351" s="194"/>
      <c r="L351" s="194"/>
      <c r="M351" s="194"/>
      <c r="N351" s="194"/>
      <c r="O351" s="194"/>
      <c r="P351" s="194"/>
      <c r="Q351" s="194"/>
    </row>
    <row r="352" spans="1:17" s="32" customFormat="1" ht="17.25" hidden="1" customHeight="1">
      <c r="A352" s="260" t="s">
        <v>490</v>
      </c>
      <c r="B352" s="145">
        <v>757</v>
      </c>
      <c r="C352" s="83" t="s">
        <v>72</v>
      </c>
      <c r="D352" s="83" t="s">
        <v>19</v>
      </c>
      <c r="E352" s="152"/>
      <c r="F352" s="152"/>
      <c r="G352" s="153">
        <f>G353+G363</f>
        <v>0</v>
      </c>
      <c r="H352" s="153">
        <f>H353+H363</f>
        <v>0</v>
      </c>
      <c r="I352" s="187"/>
      <c r="J352" s="194"/>
      <c r="K352" s="194"/>
      <c r="L352" s="194"/>
      <c r="M352" s="194"/>
      <c r="N352" s="194"/>
      <c r="O352" s="194"/>
      <c r="P352" s="194"/>
      <c r="Q352" s="194"/>
    </row>
    <row r="353" spans="1:17" ht="27.75" hidden="1" customHeight="1">
      <c r="A353" s="135" t="s">
        <v>479</v>
      </c>
      <c r="B353" s="145">
        <v>757</v>
      </c>
      <c r="C353" s="83" t="s">
        <v>72</v>
      </c>
      <c r="D353" s="83" t="s">
        <v>19</v>
      </c>
      <c r="E353" s="83" t="s">
        <v>195</v>
      </c>
      <c r="F353" s="83"/>
      <c r="G353" s="86">
        <f>G355+G358+G360</f>
        <v>0</v>
      </c>
      <c r="H353" s="86">
        <f>H355+H358+H360</f>
        <v>0</v>
      </c>
      <c r="I353" s="171"/>
    </row>
    <row r="354" spans="1:17" ht="19.5" hidden="1" customHeight="1">
      <c r="A354" s="81" t="s">
        <v>32</v>
      </c>
      <c r="B354" s="145">
        <v>757</v>
      </c>
      <c r="C354" s="83" t="s">
        <v>72</v>
      </c>
      <c r="D354" s="83" t="s">
        <v>19</v>
      </c>
      <c r="E354" s="83" t="s">
        <v>40</v>
      </c>
      <c r="F354" s="83" t="s">
        <v>33</v>
      </c>
      <c r="G354" s="86"/>
      <c r="H354" s="86"/>
      <c r="I354" s="171"/>
    </row>
    <row r="355" spans="1:17" ht="39" hidden="1" customHeight="1">
      <c r="A355" s="81" t="s">
        <v>112</v>
      </c>
      <c r="B355" s="145">
        <v>757</v>
      </c>
      <c r="C355" s="83" t="s">
        <v>72</v>
      </c>
      <c r="D355" s="83" t="s">
        <v>19</v>
      </c>
      <c r="E355" s="83" t="s">
        <v>196</v>
      </c>
      <c r="F355" s="83"/>
      <c r="G355" s="86">
        <f>G356</f>
        <v>0</v>
      </c>
      <c r="H355" s="86">
        <f t="shared" ref="H355" si="87">H356</f>
        <v>0</v>
      </c>
      <c r="I355" s="171"/>
    </row>
    <row r="356" spans="1:17" ht="25.5" hidden="1">
      <c r="A356" s="81" t="s">
        <v>30</v>
      </c>
      <c r="B356" s="145">
        <v>757</v>
      </c>
      <c r="C356" s="83" t="s">
        <v>72</v>
      </c>
      <c r="D356" s="83" t="s">
        <v>19</v>
      </c>
      <c r="E356" s="83" t="s">
        <v>196</v>
      </c>
      <c r="F356" s="83" t="s">
        <v>31</v>
      </c>
      <c r="G356" s="86">
        <f>G357</f>
        <v>0</v>
      </c>
      <c r="H356" s="86">
        <f>H357</f>
        <v>0</v>
      </c>
      <c r="I356" s="171"/>
    </row>
    <row r="357" spans="1:17" ht="19.5" hidden="1" customHeight="1">
      <c r="A357" s="81" t="s">
        <v>32</v>
      </c>
      <c r="B357" s="145">
        <v>757</v>
      </c>
      <c r="C357" s="83" t="s">
        <v>72</v>
      </c>
      <c r="D357" s="83" t="s">
        <v>19</v>
      </c>
      <c r="E357" s="83" t="s">
        <v>196</v>
      </c>
      <c r="F357" s="83" t="s">
        <v>33</v>
      </c>
      <c r="G357" s="86"/>
      <c r="H357" s="86"/>
      <c r="I357" s="171"/>
    </row>
    <row r="358" spans="1:17" s="32" customFormat="1" ht="25.5" hidden="1" customHeight="1">
      <c r="A358" s="81" t="s">
        <v>30</v>
      </c>
      <c r="B358" s="145">
        <v>757</v>
      </c>
      <c r="C358" s="83" t="s">
        <v>72</v>
      </c>
      <c r="D358" s="83" t="s">
        <v>19</v>
      </c>
      <c r="E358" s="83" t="s">
        <v>541</v>
      </c>
      <c r="F358" s="83" t="s">
        <v>31</v>
      </c>
      <c r="G358" s="86">
        <f>G359</f>
        <v>0</v>
      </c>
      <c r="H358" s="86">
        <v>0</v>
      </c>
      <c r="I358" s="171"/>
      <c r="J358" s="194"/>
      <c r="K358" s="194"/>
      <c r="L358" s="194"/>
      <c r="M358" s="194"/>
      <c r="N358" s="194"/>
      <c r="O358" s="194"/>
      <c r="P358" s="194"/>
      <c r="Q358" s="194"/>
    </row>
    <row r="359" spans="1:17" s="32" customFormat="1" ht="17.25" hidden="1" customHeight="1">
      <c r="A359" s="81" t="s">
        <v>32</v>
      </c>
      <c r="B359" s="145">
        <v>757</v>
      </c>
      <c r="C359" s="83" t="s">
        <v>72</v>
      </c>
      <c r="D359" s="83" t="s">
        <v>19</v>
      </c>
      <c r="E359" s="83" t="s">
        <v>541</v>
      </c>
      <c r="F359" s="83" t="s">
        <v>33</v>
      </c>
      <c r="G359" s="86"/>
      <c r="H359" s="86">
        <v>0</v>
      </c>
      <c r="I359" s="171"/>
      <c r="J359" s="194"/>
      <c r="K359" s="194"/>
      <c r="L359" s="194"/>
      <c r="M359" s="194"/>
      <c r="N359" s="194"/>
      <c r="O359" s="194"/>
      <c r="P359" s="194"/>
      <c r="Q359" s="194"/>
    </row>
    <row r="360" spans="1:17" s="32" customFormat="1" ht="65.25" hidden="1" customHeight="1">
      <c r="A360" s="81" t="s">
        <v>610</v>
      </c>
      <c r="B360" s="145">
        <v>757</v>
      </c>
      <c r="C360" s="83" t="s">
        <v>72</v>
      </c>
      <c r="D360" s="83" t="s">
        <v>19</v>
      </c>
      <c r="E360" s="83" t="s">
        <v>609</v>
      </c>
      <c r="F360" s="83"/>
      <c r="G360" s="86">
        <f>G361</f>
        <v>0</v>
      </c>
      <c r="H360" s="86">
        <f t="shared" ref="H360" si="88">H361</f>
        <v>0</v>
      </c>
      <c r="I360" s="171"/>
      <c r="J360" s="194"/>
      <c r="K360" s="194"/>
      <c r="L360" s="194"/>
      <c r="M360" s="194"/>
      <c r="N360" s="194"/>
      <c r="O360" s="194"/>
      <c r="P360" s="194"/>
      <c r="Q360" s="194"/>
    </row>
    <row r="361" spans="1:17" s="32" customFormat="1" ht="25.5" hidden="1" customHeight="1">
      <c r="A361" s="81" t="s">
        <v>30</v>
      </c>
      <c r="B361" s="145">
        <v>757</v>
      </c>
      <c r="C361" s="83" t="s">
        <v>72</v>
      </c>
      <c r="D361" s="83" t="s">
        <v>19</v>
      </c>
      <c r="E361" s="83" t="s">
        <v>609</v>
      </c>
      <c r="F361" s="83" t="s">
        <v>31</v>
      </c>
      <c r="G361" s="86">
        <f>G362</f>
        <v>0</v>
      </c>
      <c r="H361" s="86">
        <v>0</v>
      </c>
      <c r="I361" s="171"/>
      <c r="J361" s="194"/>
      <c r="K361" s="194"/>
      <c r="L361" s="194"/>
      <c r="M361" s="194"/>
      <c r="N361" s="194"/>
      <c r="O361" s="194"/>
      <c r="P361" s="194"/>
      <c r="Q361" s="194"/>
    </row>
    <row r="362" spans="1:17" s="32" customFormat="1" ht="17.25" hidden="1" customHeight="1">
      <c r="A362" s="81" t="s">
        <v>32</v>
      </c>
      <c r="B362" s="145">
        <v>757</v>
      </c>
      <c r="C362" s="83" t="s">
        <v>72</v>
      </c>
      <c r="D362" s="83" t="s">
        <v>19</v>
      </c>
      <c r="E362" s="83" t="s">
        <v>609</v>
      </c>
      <c r="F362" s="83" t="s">
        <v>33</v>
      </c>
      <c r="G362" s="86"/>
      <c r="H362" s="86">
        <v>0</v>
      </c>
      <c r="I362" s="171"/>
      <c r="J362" s="194"/>
      <c r="K362" s="194"/>
      <c r="L362" s="194"/>
      <c r="M362" s="194"/>
      <c r="N362" s="194"/>
      <c r="O362" s="194"/>
      <c r="P362" s="194"/>
      <c r="Q362" s="194"/>
    </row>
    <row r="363" spans="1:17" s="18" customFormat="1" ht="25.5" hidden="1">
      <c r="A363" s="81" t="s">
        <v>470</v>
      </c>
      <c r="B363" s="145">
        <v>757</v>
      </c>
      <c r="C363" s="83" t="s">
        <v>72</v>
      </c>
      <c r="D363" s="83" t="s">
        <v>19</v>
      </c>
      <c r="E363" s="83" t="s">
        <v>262</v>
      </c>
      <c r="F363" s="83"/>
      <c r="G363" s="86">
        <f>G364</f>
        <v>0</v>
      </c>
      <c r="H363" s="86">
        <f t="shared" ref="H363:H365" si="89">H364</f>
        <v>0</v>
      </c>
      <c r="I363" s="171"/>
      <c r="J363" s="191"/>
      <c r="K363" s="191"/>
      <c r="L363" s="191"/>
      <c r="M363" s="191"/>
      <c r="N363" s="191"/>
      <c r="O363" s="191"/>
      <c r="P363" s="191"/>
      <c r="Q363" s="191"/>
    </row>
    <row r="364" spans="1:17" s="18" customFormat="1" ht="25.5" hidden="1">
      <c r="A364" s="81" t="s">
        <v>469</v>
      </c>
      <c r="B364" s="145">
        <v>757</v>
      </c>
      <c r="C364" s="83" t="s">
        <v>72</v>
      </c>
      <c r="D364" s="83" t="s">
        <v>19</v>
      </c>
      <c r="E364" s="83" t="s">
        <v>441</v>
      </c>
      <c r="F364" s="83"/>
      <c r="G364" s="86">
        <f>G365</f>
        <v>0</v>
      </c>
      <c r="H364" s="86">
        <f t="shared" si="89"/>
        <v>0</v>
      </c>
      <c r="I364" s="171"/>
      <c r="J364" s="191"/>
      <c r="K364" s="191"/>
      <c r="L364" s="191"/>
      <c r="M364" s="191"/>
      <c r="N364" s="191"/>
      <c r="O364" s="191"/>
      <c r="P364" s="191"/>
      <c r="Q364" s="191"/>
    </row>
    <row r="365" spans="1:17" s="18" customFormat="1" ht="25.5" hidden="1">
      <c r="A365" s="81" t="s">
        <v>96</v>
      </c>
      <c r="B365" s="145">
        <v>757</v>
      </c>
      <c r="C365" s="83" t="s">
        <v>72</v>
      </c>
      <c r="D365" s="83" t="s">
        <v>19</v>
      </c>
      <c r="E365" s="83" t="s">
        <v>441</v>
      </c>
      <c r="F365" s="83" t="s">
        <v>348</v>
      </c>
      <c r="G365" s="86">
        <f>G366</f>
        <v>0</v>
      </c>
      <c r="H365" s="86">
        <f t="shared" si="89"/>
        <v>0</v>
      </c>
      <c r="I365" s="171"/>
      <c r="J365" s="191"/>
      <c r="K365" s="191"/>
      <c r="L365" s="191"/>
      <c r="M365" s="191"/>
      <c r="N365" s="191"/>
      <c r="O365" s="191"/>
      <c r="P365" s="191"/>
      <c r="Q365" s="191"/>
    </row>
    <row r="366" spans="1:17" s="18" customFormat="1" ht="89.25" hidden="1">
      <c r="A366" s="129" t="s">
        <v>419</v>
      </c>
      <c r="B366" s="145">
        <v>757</v>
      </c>
      <c r="C366" s="83" t="s">
        <v>72</v>
      </c>
      <c r="D366" s="83" t="s">
        <v>19</v>
      </c>
      <c r="E366" s="83" t="s">
        <v>441</v>
      </c>
      <c r="F366" s="83" t="s">
        <v>418</v>
      </c>
      <c r="G366" s="86">
        <f>50000-50000</f>
        <v>0</v>
      </c>
      <c r="H366" s="86"/>
      <c r="I366" s="171"/>
      <c r="J366" s="191"/>
      <c r="K366" s="191"/>
      <c r="L366" s="191"/>
      <c r="M366" s="191"/>
      <c r="N366" s="191"/>
      <c r="O366" s="191"/>
      <c r="P366" s="191"/>
      <c r="Q366" s="191"/>
    </row>
    <row r="367" spans="1:17" s="33" customFormat="1" ht="15" hidden="1" customHeight="1">
      <c r="A367" s="81" t="s">
        <v>71</v>
      </c>
      <c r="B367" s="145">
        <v>757</v>
      </c>
      <c r="C367" s="83" t="s">
        <v>72</v>
      </c>
      <c r="D367" s="83" t="s">
        <v>28</v>
      </c>
      <c r="E367" s="163"/>
      <c r="F367" s="163"/>
      <c r="G367" s="92">
        <f>G368</f>
        <v>0</v>
      </c>
      <c r="H367" s="92">
        <f>H368+H104</f>
        <v>0</v>
      </c>
      <c r="I367" s="186"/>
      <c r="J367" s="202"/>
      <c r="K367" s="202"/>
      <c r="L367" s="202"/>
      <c r="M367" s="202"/>
      <c r="N367" s="202"/>
      <c r="O367" s="202"/>
      <c r="P367" s="202"/>
      <c r="Q367" s="202"/>
    </row>
    <row r="368" spans="1:17" s="28" customFormat="1" ht="28.5" hidden="1" customHeight="1">
      <c r="A368" s="135" t="s">
        <v>479</v>
      </c>
      <c r="B368" s="145">
        <v>757</v>
      </c>
      <c r="C368" s="83" t="s">
        <v>72</v>
      </c>
      <c r="D368" s="83" t="s">
        <v>28</v>
      </c>
      <c r="E368" s="83" t="s">
        <v>195</v>
      </c>
      <c r="F368" s="83"/>
      <c r="G368" s="86">
        <f>G369</f>
        <v>0</v>
      </c>
      <c r="H368" s="86">
        <f>H369</f>
        <v>0</v>
      </c>
      <c r="I368" s="171"/>
      <c r="J368" s="195"/>
      <c r="K368" s="195"/>
      <c r="L368" s="195"/>
      <c r="M368" s="195"/>
      <c r="N368" s="195"/>
      <c r="O368" s="195"/>
      <c r="P368" s="195"/>
      <c r="Q368" s="195"/>
    </row>
    <row r="369" spans="1:17" s="28" customFormat="1" ht="27.75" hidden="1" customHeight="1">
      <c r="A369" s="135" t="s">
        <v>73</v>
      </c>
      <c r="B369" s="145">
        <v>757</v>
      </c>
      <c r="C369" s="83" t="s">
        <v>72</v>
      </c>
      <c r="D369" s="83" t="s">
        <v>28</v>
      </c>
      <c r="E369" s="83" t="s">
        <v>206</v>
      </c>
      <c r="F369" s="83"/>
      <c r="G369" s="86">
        <f>G370</f>
        <v>0</v>
      </c>
      <c r="H369" s="86">
        <f t="shared" ref="H369" si="90">H370</f>
        <v>0</v>
      </c>
      <c r="I369" s="171"/>
      <c r="J369" s="195"/>
      <c r="K369" s="195"/>
      <c r="L369" s="195"/>
      <c r="M369" s="195"/>
      <c r="N369" s="195"/>
      <c r="O369" s="195"/>
      <c r="P369" s="195"/>
      <c r="Q369" s="195"/>
    </row>
    <row r="370" spans="1:17" s="32" customFormat="1" ht="28.5" hidden="1" customHeight="1">
      <c r="A370" s="81" t="s">
        <v>36</v>
      </c>
      <c r="B370" s="145">
        <v>757</v>
      </c>
      <c r="C370" s="83" t="s">
        <v>72</v>
      </c>
      <c r="D370" s="83" t="s">
        <v>28</v>
      </c>
      <c r="E370" s="83" t="s">
        <v>206</v>
      </c>
      <c r="F370" s="83" t="s">
        <v>37</v>
      </c>
      <c r="G370" s="86">
        <f>G371</f>
        <v>0</v>
      </c>
      <c r="H370" s="86">
        <f>H371</f>
        <v>0</v>
      </c>
      <c r="I370" s="171"/>
      <c r="J370" s="194"/>
      <c r="K370" s="194"/>
      <c r="L370" s="194"/>
      <c r="M370" s="194"/>
      <c r="N370" s="194"/>
      <c r="O370" s="194"/>
      <c r="P370" s="194"/>
      <c r="Q370" s="194"/>
    </row>
    <row r="371" spans="1:17" s="32" customFormat="1" ht="25.5" hidden="1">
      <c r="A371" s="81" t="s">
        <v>38</v>
      </c>
      <c r="B371" s="145">
        <v>757</v>
      </c>
      <c r="C371" s="83" t="s">
        <v>72</v>
      </c>
      <c r="D371" s="83" t="s">
        <v>28</v>
      </c>
      <c r="E371" s="83" t="s">
        <v>206</v>
      </c>
      <c r="F371" s="83" t="s">
        <v>39</v>
      </c>
      <c r="G371" s="86"/>
      <c r="H371" s="86"/>
      <c r="I371" s="171"/>
      <c r="J371" s="196"/>
      <c r="K371" s="194"/>
      <c r="L371" s="194"/>
      <c r="M371" s="194"/>
      <c r="N371" s="194"/>
      <c r="O371" s="194"/>
      <c r="P371" s="194"/>
      <c r="Q371" s="194"/>
    </row>
    <row r="372" spans="1:17" s="120" customFormat="1">
      <c r="A372" s="295" t="s">
        <v>74</v>
      </c>
      <c r="B372" s="85"/>
      <c r="C372" s="296"/>
      <c r="D372" s="296"/>
      <c r="E372" s="296"/>
      <c r="F372" s="296"/>
      <c r="G372" s="297">
        <f>G9+G20+G119+G1747+G351</f>
        <v>192837038.87000006</v>
      </c>
      <c r="H372" s="297">
        <f>H9+H20+H119+H1747+H351</f>
        <v>192640148.38000003</v>
      </c>
      <c r="I372" s="183"/>
      <c r="J372" s="199"/>
      <c r="K372" s="198"/>
      <c r="L372" s="198"/>
      <c r="M372" s="198"/>
      <c r="N372" s="198"/>
      <c r="O372" s="198"/>
      <c r="P372" s="198"/>
      <c r="Q372" s="198"/>
    </row>
    <row r="373" spans="1:17" s="120" customFormat="1" hidden="1">
      <c r="A373" s="134"/>
      <c r="B373" s="257"/>
      <c r="C373" s="158"/>
      <c r="D373" s="158"/>
      <c r="E373" s="158"/>
      <c r="F373" s="158"/>
      <c r="G373" s="95"/>
      <c r="H373" s="95"/>
      <c r="I373" s="183"/>
      <c r="J373" s="199"/>
      <c r="K373" s="198"/>
      <c r="L373" s="198"/>
      <c r="M373" s="198"/>
      <c r="N373" s="198"/>
      <c r="O373" s="198"/>
      <c r="P373" s="198"/>
      <c r="Q373" s="198"/>
    </row>
    <row r="374" spans="1:17" s="120" customFormat="1" hidden="1">
      <c r="A374" s="134"/>
      <c r="B374" s="257"/>
      <c r="C374" s="158"/>
      <c r="D374" s="158"/>
      <c r="E374" s="158"/>
      <c r="F374" s="158"/>
      <c r="G374" s="95"/>
      <c r="H374" s="95"/>
      <c r="I374" s="183"/>
      <c r="J374" s="199"/>
      <c r="K374" s="198"/>
      <c r="L374" s="198"/>
      <c r="M374" s="198"/>
      <c r="N374" s="198"/>
      <c r="O374" s="198"/>
      <c r="P374" s="198"/>
      <c r="Q374" s="198"/>
    </row>
    <row r="375" spans="1:17" s="120" customFormat="1" hidden="1">
      <c r="A375" s="134"/>
      <c r="B375" s="257"/>
      <c r="C375" s="158"/>
      <c r="D375" s="158"/>
      <c r="E375" s="158"/>
      <c r="F375" s="158"/>
      <c r="G375" s="95"/>
      <c r="H375" s="95"/>
      <c r="I375" s="183"/>
      <c r="J375" s="199"/>
      <c r="K375" s="198"/>
      <c r="L375" s="198"/>
      <c r="M375" s="198"/>
      <c r="N375" s="198"/>
      <c r="O375" s="198"/>
      <c r="P375" s="198"/>
      <c r="Q375" s="198"/>
    </row>
    <row r="376" spans="1:17" s="118" customFormat="1" ht="38.25">
      <c r="A376" s="302" t="s">
        <v>971</v>
      </c>
      <c r="B376" s="303">
        <v>763</v>
      </c>
      <c r="C376" s="304"/>
      <c r="D376" s="304"/>
      <c r="E376" s="304"/>
      <c r="F376" s="304"/>
      <c r="G376" s="305"/>
      <c r="H376" s="305"/>
      <c r="I376" s="188"/>
      <c r="J376" s="203"/>
      <c r="K376" s="203"/>
      <c r="L376" s="203"/>
      <c r="M376" s="203"/>
      <c r="N376" s="203"/>
      <c r="O376" s="203"/>
      <c r="P376" s="203"/>
      <c r="Q376" s="203"/>
    </row>
    <row r="377" spans="1:17">
      <c r="A377" s="259" t="s">
        <v>18</v>
      </c>
      <c r="B377" s="253">
        <v>763</v>
      </c>
      <c r="C377" s="254" t="s">
        <v>19</v>
      </c>
      <c r="D377" s="254"/>
      <c r="E377" s="254"/>
      <c r="F377" s="254"/>
      <c r="G377" s="251">
        <f>G378+G387</f>
        <v>12982813</v>
      </c>
      <c r="H377" s="251">
        <f>H378+H387</f>
        <v>12811407.969999999</v>
      </c>
      <c r="I377" s="182"/>
    </row>
    <row r="378" spans="1:17" s="33" customFormat="1" ht="51">
      <c r="A378" s="81" t="s">
        <v>75</v>
      </c>
      <c r="B378" s="145">
        <v>763</v>
      </c>
      <c r="C378" s="83" t="s">
        <v>19</v>
      </c>
      <c r="D378" s="83" t="s">
        <v>54</v>
      </c>
      <c r="E378" s="83"/>
      <c r="F378" s="163"/>
      <c r="G378" s="86">
        <f>SUM(G379)</f>
        <v>12183285</v>
      </c>
      <c r="H378" s="86">
        <f>SUM(H379)</f>
        <v>12016143.979999999</v>
      </c>
      <c r="I378" s="171"/>
      <c r="J378" s="202"/>
      <c r="K378" s="202"/>
      <c r="L378" s="202"/>
      <c r="M378" s="202"/>
      <c r="N378" s="202"/>
      <c r="O378" s="202"/>
      <c r="P378" s="202"/>
      <c r="Q378" s="202"/>
    </row>
    <row r="379" spans="1:17" s="33" customFormat="1" ht="38.25">
      <c r="A379" s="81" t="s">
        <v>438</v>
      </c>
      <c r="B379" s="145">
        <v>763</v>
      </c>
      <c r="C379" s="83" t="s">
        <v>19</v>
      </c>
      <c r="D379" s="83" t="s">
        <v>54</v>
      </c>
      <c r="E379" s="83" t="s">
        <v>207</v>
      </c>
      <c r="F379" s="163"/>
      <c r="G379" s="86">
        <f>G380</f>
        <v>12183285</v>
      </c>
      <c r="H379" s="86">
        <f>H380</f>
        <v>12016143.979999999</v>
      </c>
      <c r="I379" s="171"/>
      <c r="J379" s="202"/>
      <c r="K379" s="202"/>
      <c r="L379" s="202"/>
      <c r="M379" s="202"/>
      <c r="N379" s="202"/>
      <c r="O379" s="202"/>
      <c r="P379" s="202"/>
      <c r="Q379" s="202"/>
    </row>
    <row r="380" spans="1:17" s="33" customFormat="1" ht="25.5">
      <c r="A380" s="81" t="s">
        <v>76</v>
      </c>
      <c r="B380" s="145">
        <v>763</v>
      </c>
      <c r="C380" s="83" t="s">
        <v>19</v>
      </c>
      <c r="D380" s="83" t="s">
        <v>54</v>
      </c>
      <c r="E380" s="83" t="s">
        <v>208</v>
      </c>
      <c r="F380" s="163"/>
      <c r="G380" s="86">
        <f>SUM(G381+G383+G386)</f>
        <v>12183285</v>
      </c>
      <c r="H380" s="86">
        <f>SUM(H381+H383+H386)</f>
        <v>12016143.979999999</v>
      </c>
      <c r="I380" s="171"/>
      <c r="J380" s="202"/>
      <c r="K380" s="202"/>
      <c r="L380" s="202"/>
      <c r="M380" s="202"/>
      <c r="N380" s="202"/>
      <c r="O380" s="202"/>
      <c r="P380" s="202"/>
      <c r="Q380" s="202"/>
    </row>
    <row r="381" spans="1:17" ht="63.75">
      <c r="A381" s="81" t="s">
        <v>55</v>
      </c>
      <c r="B381" s="145">
        <v>763</v>
      </c>
      <c r="C381" s="83" t="s">
        <v>19</v>
      </c>
      <c r="D381" s="83" t="s">
        <v>54</v>
      </c>
      <c r="E381" s="83" t="s">
        <v>208</v>
      </c>
      <c r="F381" s="83" t="s">
        <v>58</v>
      </c>
      <c r="G381" s="86">
        <f>SUM(G382)</f>
        <v>11437031.699999999</v>
      </c>
      <c r="H381" s="86">
        <f>SUM(H382)</f>
        <v>11280002.109999999</v>
      </c>
      <c r="I381" s="171"/>
    </row>
    <row r="382" spans="1:17" ht="25.5">
      <c r="A382" s="81" t="s">
        <v>56</v>
      </c>
      <c r="B382" s="145">
        <v>763</v>
      </c>
      <c r="C382" s="83" t="s">
        <v>19</v>
      </c>
      <c r="D382" s="83" t="s">
        <v>54</v>
      </c>
      <c r="E382" s="83" t="s">
        <v>208</v>
      </c>
      <c r="F382" s="83" t="s">
        <v>59</v>
      </c>
      <c r="G382" s="86">
        <v>11437031.699999999</v>
      </c>
      <c r="H382" s="86">
        <v>11280002.109999999</v>
      </c>
      <c r="I382" s="171"/>
    </row>
    <row r="383" spans="1:17" ht="25.5">
      <c r="A383" s="81" t="s">
        <v>36</v>
      </c>
      <c r="B383" s="145">
        <v>763</v>
      </c>
      <c r="C383" s="83" t="s">
        <v>19</v>
      </c>
      <c r="D383" s="83" t="s">
        <v>54</v>
      </c>
      <c r="E383" s="83" t="s">
        <v>208</v>
      </c>
      <c r="F383" s="83" t="s">
        <v>37</v>
      </c>
      <c r="G383" s="86">
        <f>SUM(G384)</f>
        <v>717388.3</v>
      </c>
      <c r="H383" s="86">
        <f>SUM(H384)</f>
        <v>707276.87</v>
      </c>
      <c r="I383" s="171"/>
    </row>
    <row r="384" spans="1:17" ht="25.5">
      <c r="A384" s="81" t="s">
        <v>38</v>
      </c>
      <c r="B384" s="145">
        <v>763</v>
      </c>
      <c r="C384" s="83" t="s">
        <v>19</v>
      </c>
      <c r="D384" s="83" t="s">
        <v>54</v>
      </c>
      <c r="E384" s="83" t="s">
        <v>208</v>
      </c>
      <c r="F384" s="83" t="s">
        <v>39</v>
      </c>
      <c r="G384" s="86">
        <v>717388.3</v>
      </c>
      <c r="H384" s="86">
        <v>707276.87</v>
      </c>
      <c r="I384" s="171"/>
    </row>
    <row r="385" spans="1:15" ht="19.5" customHeight="1">
      <c r="A385" s="132" t="s">
        <v>63</v>
      </c>
      <c r="B385" s="145">
        <v>763</v>
      </c>
      <c r="C385" s="83" t="s">
        <v>19</v>
      </c>
      <c r="D385" s="83" t="s">
        <v>54</v>
      </c>
      <c r="E385" s="83" t="s">
        <v>208</v>
      </c>
      <c r="F385" s="83" t="s">
        <v>64</v>
      </c>
      <c r="G385" s="86">
        <f>G386</f>
        <v>28865</v>
      </c>
      <c r="H385" s="86">
        <f>H386</f>
        <v>28865</v>
      </c>
      <c r="I385" s="171"/>
    </row>
    <row r="386" spans="1:15" ht="16.5" customHeight="1">
      <c r="A386" s="132" t="s">
        <v>144</v>
      </c>
      <c r="B386" s="145">
        <v>763</v>
      </c>
      <c r="C386" s="83" t="s">
        <v>19</v>
      </c>
      <c r="D386" s="83" t="s">
        <v>54</v>
      </c>
      <c r="E386" s="83" t="s">
        <v>208</v>
      </c>
      <c r="F386" s="83" t="s">
        <v>67</v>
      </c>
      <c r="G386" s="86">
        <v>28865</v>
      </c>
      <c r="H386" s="86">
        <v>28865</v>
      </c>
      <c r="I386" s="171"/>
    </row>
    <row r="387" spans="1:15" ht="18.75" customHeight="1">
      <c r="A387" s="133" t="s">
        <v>22</v>
      </c>
      <c r="B387" s="145">
        <v>763</v>
      </c>
      <c r="C387" s="83" t="s">
        <v>19</v>
      </c>
      <c r="D387" s="83" t="s">
        <v>23</v>
      </c>
      <c r="E387" s="83"/>
      <c r="F387" s="83"/>
      <c r="G387" s="86">
        <f>G388+G394</f>
        <v>799528</v>
      </c>
      <c r="H387" s="86">
        <f>H388+H394</f>
        <v>795263.99</v>
      </c>
      <c r="I387" s="171"/>
    </row>
    <row r="388" spans="1:15" ht="39.75" customHeight="1">
      <c r="A388" s="81" t="s">
        <v>438</v>
      </c>
      <c r="B388" s="145">
        <v>763</v>
      </c>
      <c r="C388" s="83" t="s">
        <v>19</v>
      </c>
      <c r="D388" s="83" t="s">
        <v>23</v>
      </c>
      <c r="E388" s="83" t="s">
        <v>207</v>
      </c>
      <c r="F388" s="83"/>
      <c r="G388" s="86">
        <f>G389</f>
        <v>569000</v>
      </c>
      <c r="H388" s="86">
        <f t="shared" ref="H388" si="91">H389</f>
        <v>564735.99</v>
      </c>
      <c r="I388" s="171"/>
    </row>
    <row r="389" spans="1:15" ht="41.25" customHeight="1">
      <c r="A389" s="81" t="s">
        <v>831</v>
      </c>
      <c r="B389" s="145">
        <v>763</v>
      </c>
      <c r="C389" s="83" t="s">
        <v>19</v>
      </c>
      <c r="D389" s="83" t="s">
        <v>23</v>
      </c>
      <c r="E389" s="83" t="s">
        <v>209</v>
      </c>
      <c r="F389" s="83"/>
      <c r="G389" s="86">
        <f>G390+G392</f>
        <v>569000</v>
      </c>
      <c r="H389" s="86">
        <f t="shared" ref="H389" si="92">H390+H392</f>
        <v>564735.99</v>
      </c>
      <c r="I389" s="171"/>
      <c r="O389" s="215"/>
    </row>
    <row r="390" spans="1:15" ht="27.75" customHeight="1">
      <c r="A390" s="81" t="s">
        <v>36</v>
      </c>
      <c r="B390" s="145">
        <v>763</v>
      </c>
      <c r="C390" s="83" t="s">
        <v>19</v>
      </c>
      <c r="D390" s="83" t="s">
        <v>23</v>
      </c>
      <c r="E390" s="83" t="s">
        <v>209</v>
      </c>
      <c r="F390" s="83" t="s">
        <v>37</v>
      </c>
      <c r="G390" s="86">
        <f t="shared" ref="G390:H390" si="93">G391</f>
        <v>559600</v>
      </c>
      <c r="H390" s="86">
        <f t="shared" si="93"/>
        <v>555335.99</v>
      </c>
      <c r="I390" s="171"/>
    </row>
    <row r="391" spans="1:15" ht="28.5" customHeight="1">
      <c r="A391" s="81" t="s">
        <v>38</v>
      </c>
      <c r="B391" s="145">
        <v>763</v>
      </c>
      <c r="C391" s="83" t="s">
        <v>19</v>
      </c>
      <c r="D391" s="83" t="s">
        <v>23</v>
      </c>
      <c r="E391" s="83" t="s">
        <v>209</v>
      </c>
      <c r="F391" s="83" t="s">
        <v>39</v>
      </c>
      <c r="G391" s="86">
        <f>150000+1230000-1150000-9400+95000+14000+230000</f>
        <v>559600</v>
      </c>
      <c r="H391" s="86">
        <v>555335.99</v>
      </c>
      <c r="I391" s="171"/>
    </row>
    <row r="392" spans="1:15">
      <c r="A392" s="81" t="s">
        <v>63</v>
      </c>
      <c r="B392" s="145">
        <v>763</v>
      </c>
      <c r="C392" s="83" t="s">
        <v>19</v>
      </c>
      <c r="D392" s="83" t="s">
        <v>23</v>
      </c>
      <c r="E392" s="83" t="s">
        <v>209</v>
      </c>
      <c r="F392" s="83" t="s">
        <v>64</v>
      </c>
      <c r="G392" s="86">
        <f>G393</f>
        <v>9400</v>
      </c>
      <c r="H392" s="86">
        <f>H393</f>
        <v>9400</v>
      </c>
      <c r="I392" s="171"/>
      <c r="J392" s="200"/>
    </row>
    <row r="393" spans="1:15" ht="15" customHeight="1">
      <c r="A393" s="81" t="s">
        <v>144</v>
      </c>
      <c r="B393" s="145">
        <v>763</v>
      </c>
      <c r="C393" s="83" t="s">
        <v>19</v>
      </c>
      <c r="D393" s="83" t="s">
        <v>23</v>
      </c>
      <c r="E393" s="83" t="s">
        <v>209</v>
      </c>
      <c r="F393" s="83" t="s">
        <v>67</v>
      </c>
      <c r="G393" s="86">
        <f>9400</f>
        <v>9400</v>
      </c>
      <c r="H393" s="86">
        <v>9400</v>
      </c>
      <c r="I393" s="171"/>
      <c r="J393" s="200"/>
    </row>
    <row r="394" spans="1:15" ht="28.5" customHeight="1">
      <c r="A394" s="81" t="s">
        <v>169</v>
      </c>
      <c r="B394" s="145">
        <v>763</v>
      </c>
      <c r="C394" s="83" t="s">
        <v>19</v>
      </c>
      <c r="D394" s="83" t="s">
        <v>23</v>
      </c>
      <c r="E394" s="83" t="s">
        <v>1052</v>
      </c>
      <c r="F394" s="83"/>
      <c r="G394" s="86">
        <f>G395</f>
        <v>230528</v>
      </c>
      <c r="H394" s="86">
        <f t="shared" ref="H394" si="94">H395</f>
        <v>230528</v>
      </c>
      <c r="I394" s="171"/>
    </row>
    <row r="395" spans="1:15" ht="28.5" customHeight="1">
      <c r="A395" s="81" t="s">
        <v>169</v>
      </c>
      <c r="B395" s="145">
        <v>763</v>
      </c>
      <c r="C395" s="83" t="s">
        <v>19</v>
      </c>
      <c r="D395" s="83" t="s">
        <v>23</v>
      </c>
      <c r="E395" s="83" t="s">
        <v>275</v>
      </c>
      <c r="F395" s="83"/>
      <c r="G395" s="86">
        <f>G396</f>
        <v>230528</v>
      </c>
      <c r="H395" s="86">
        <f>H396</f>
        <v>230528</v>
      </c>
      <c r="I395" s="171"/>
    </row>
    <row r="396" spans="1:15" ht="27.75" customHeight="1">
      <c r="A396" s="81" t="s">
        <v>36</v>
      </c>
      <c r="B396" s="145">
        <v>763</v>
      </c>
      <c r="C396" s="83" t="s">
        <v>19</v>
      </c>
      <c r="D396" s="83" t="s">
        <v>23</v>
      </c>
      <c r="E396" s="83" t="s">
        <v>275</v>
      </c>
      <c r="F396" s="83" t="s">
        <v>37</v>
      </c>
      <c r="G396" s="86">
        <f t="shared" ref="G396:H396" si="95">G397</f>
        <v>230528</v>
      </c>
      <c r="H396" s="86">
        <f t="shared" si="95"/>
        <v>230528</v>
      </c>
      <c r="I396" s="171"/>
    </row>
    <row r="397" spans="1:15" ht="28.5" customHeight="1">
      <c r="A397" s="81" t="s">
        <v>38</v>
      </c>
      <c r="B397" s="145">
        <v>763</v>
      </c>
      <c r="C397" s="83" t="s">
        <v>19</v>
      </c>
      <c r="D397" s="83" t="s">
        <v>23</v>
      </c>
      <c r="E397" s="83" t="s">
        <v>275</v>
      </c>
      <c r="F397" s="83" t="s">
        <v>39</v>
      </c>
      <c r="G397" s="86">
        <v>230528</v>
      </c>
      <c r="H397" s="86">
        <v>230528</v>
      </c>
      <c r="I397" s="171"/>
    </row>
    <row r="398" spans="1:15">
      <c r="A398" s="252" t="s">
        <v>86</v>
      </c>
      <c r="B398" s="253">
        <v>763</v>
      </c>
      <c r="C398" s="254" t="s">
        <v>54</v>
      </c>
      <c r="D398" s="254"/>
      <c r="E398" s="254"/>
      <c r="F398" s="254"/>
      <c r="G398" s="251">
        <f>SUM(G404)+G399</f>
        <v>1346000</v>
      </c>
      <c r="H398" s="251">
        <f>SUM(H404)</f>
        <v>1346000</v>
      </c>
      <c r="I398" s="182"/>
    </row>
    <row r="399" spans="1:15" hidden="1">
      <c r="A399" s="262" t="s">
        <v>783</v>
      </c>
      <c r="B399" s="145">
        <v>763</v>
      </c>
      <c r="C399" s="143" t="s">
        <v>54</v>
      </c>
      <c r="D399" s="143" t="s">
        <v>173</v>
      </c>
      <c r="E399" s="254"/>
      <c r="F399" s="254"/>
      <c r="G399" s="92">
        <f>G401</f>
        <v>0</v>
      </c>
      <c r="H399" s="92">
        <f t="shared" ref="H399" si="96">H401</f>
        <v>0</v>
      </c>
      <c r="I399" s="186"/>
    </row>
    <row r="400" spans="1:15" ht="53.25" hidden="1" customHeight="1">
      <c r="A400" s="81" t="s">
        <v>438</v>
      </c>
      <c r="B400" s="145">
        <v>763</v>
      </c>
      <c r="C400" s="83" t="s">
        <v>54</v>
      </c>
      <c r="D400" s="83" t="s">
        <v>173</v>
      </c>
      <c r="E400" s="145" t="s">
        <v>207</v>
      </c>
      <c r="F400" s="145"/>
      <c r="G400" s="86">
        <f>G401</f>
        <v>0</v>
      </c>
      <c r="H400" s="86">
        <f t="shared" ref="H400" si="97">H401</f>
        <v>0</v>
      </c>
      <c r="I400" s="171"/>
    </row>
    <row r="401" spans="1:9" ht="40.5" hidden="1" customHeight="1">
      <c r="A401" s="81" t="s">
        <v>782</v>
      </c>
      <c r="B401" s="145">
        <v>763</v>
      </c>
      <c r="C401" s="83" t="s">
        <v>54</v>
      </c>
      <c r="D401" s="83" t="s">
        <v>173</v>
      </c>
      <c r="E401" s="145" t="s">
        <v>793</v>
      </c>
      <c r="F401" s="145"/>
      <c r="G401" s="86">
        <f>G402</f>
        <v>0</v>
      </c>
      <c r="H401" s="86">
        <f>H403</f>
        <v>0</v>
      </c>
      <c r="I401" s="171"/>
    </row>
    <row r="402" spans="1:9" ht="25.5" hidden="1">
      <c r="A402" s="81" t="s">
        <v>36</v>
      </c>
      <c r="B402" s="145">
        <v>763</v>
      </c>
      <c r="C402" s="83" t="s">
        <v>54</v>
      </c>
      <c r="D402" s="83" t="s">
        <v>173</v>
      </c>
      <c r="E402" s="145" t="s">
        <v>793</v>
      </c>
      <c r="F402" s="145">
        <v>200</v>
      </c>
      <c r="G402" s="86">
        <f t="shared" ref="G402:H402" si="98">G403</f>
        <v>0</v>
      </c>
      <c r="H402" s="86">
        <f t="shared" si="98"/>
        <v>0</v>
      </c>
      <c r="I402" s="171"/>
    </row>
    <row r="403" spans="1:9" ht="48" hidden="1" customHeight="1">
      <c r="A403" s="81" t="s">
        <v>38</v>
      </c>
      <c r="B403" s="145">
        <v>763</v>
      </c>
      <c r="C403" s="83" t="s">
        <v>54</v>
      </c>
      <c r="D403" s="83" t="s">
        <v>173</v>
      </c>
      <c r="E403" s="145" t="s">
        <v>793</v>
      </c>
      <c r="F403" s="145">
        <v>240</v>
      </c>
      <c r="G403" s="86"/>
      <c r="H403" s="84"/>
      <c r="I403" s="172"/>
    </row>
    <row r="404" spans="1:9">
      <c r="A404" s="81" t="s">
        <v>87</v>
      </c>
      <c r="B404" s="145">
        <v>763</v>
      </c>
      <c r="C404" s="83" t="s">
        <v>54</v>
      </c>
      <c r="D404" s="83" t="s">
        <v>88</v>
      </c>
      <c r="E404" s="83"/>
      <c r="F404" s="83"/>
      <c r="G404" s="86">
        <f>G405</f>
        <v>1346000</v>
      </c>
      <c r="H404" s="86">
        <f>H405</f>
        <v>1346000</v>
      </c>
      <c r="I404" s="171"/>
    </row>
    <row r="405" spans="1:9" ht="38.25">
      <c r="A405" s="81" t="s">
        <v>438</v>
      </c>
      <c r="B405" s="145">
        <v>763</v>
      </c>
      <c r="C405" s="83" t="s">
        <v>54</v>
      </c>
      <c r="D405" s="83" t="s">
        <v>88</v>
      </c>
      <c r="E405" s="83" t="s">
        <v>207</v>
      </c>
      <c r="F405" s="83"/>
      <c r="G405" s="86">
        <f>G406+G409+G412+G415++G418+G421+G424+G427+G430</f>
        <v>1346000</v>
      </c>
      <c r="H405" s="86">
        <f>H406+H409+H421+H424</f>
        <v>1346000</v>
      </c>
      <c r="I405" s="171"/>
    </row>
    <row r="406" spans="1:9" ht="116.25" customHeight="1">
      <c r="A406" s="81" t="s">
        <v>279</v>
      </c>
      <c r="B406" s="145">
        <v>763</v>
      </c>
      <c r="C406" s="83" t="s">
        <v>54</v>
      </c>
      <c r="D406" s="83" t="s">
        <v>88</v>
      </c>
      <c r="E406" s="83" t="s">
        <v>212</v>
      </c>
      <c r="F406" s="83"/>
      <c r="G406" s="86">
        <f>G407</f>
        <v>1076000</v>
      </c>
      <c r="H406" s="86">
        <f t="shared" ref="H406" si="99">H407</f>
        <v>1076000</v>
      </c>
      <c r="I406" s="171"/>
    </row>
    <row r="407" spans="1:9" ht="25.5">
      <c r="A407" s="81" t="s">
        <v>36</v>
      </c>
      <c r="B407" s="145">
        <v>763</v>
      </c>
      <c r="C407" s="83" t="s">
        <v>54</v>
      </c>
      <c r="D407" s="83" t="s">
        <v>88</v>
      </c>
      <c r="E407" s="83" t="s">
        <v>212</v>
      </c>
      <c r="F407" s="83" t="s">
        <v>37</v>
      </c>
      <c r="G407" s="86">
        <f>SUM(G408)</f>
        <v>1076000</v>
      </c>
      <c r="H407" s="86">
        <f>SUM(H408)</f>
        <v>1076000</v>
      </c>
      <c r="I407" s="171"/>
    </row>
    <row r="408" spans="1:9" ht="30.75" customHeight="1">
      <c r="A408" s="81" t="s">
        <v>38</v>
      </c>
      <c r="B408" s="145">
        <v>763</v>
      </c>
      <c r="C408" s="83" t="s">
        <v>54</v>
      </c>
      <c r="D408" s="83" t="s">
        <v>88</v>
      </c>
      <c r="E408" s="83" t="s">
        <v>212</v>
      </c>
      <c r="F408" s="83" t="s">
        <v>39</v>
      </c>
      <c r="G408" s="86">
        <f>250000+800000+26000</f>
        <v>1076000</v>
      </c>
      <c r="H408" s="86">
        <v>1076000</v>
      </c>
      <c r="I408" s="171"/>
    </row>
    <row r="409" spans="1:9" ht="107.25" customHeight="1">
      <c r="A409" s="132" t="s">
        <v>639</v>
      </c>
      <c r="B409" s="145">
        <v>763</v>
      </c>
      <c r="C409" s="83" t="s">
        <v>54</v>
      </c>
      <c r="D409" s="83" t="s">
        <v>88</v>
      </c>
      <c r="E409" s="83" t="s">
        <v>213</v>
      </c>
      <c r="F409" s="83"/>
      <c r="G409" s="86">
        <f>G410</f>
        <v>270000</v>
      </c>
      <c r="H409" s="86">
        <f t="shared" ref="H409" si="100">H410</f>
        <v>270000</v>
      </c>
      <c r="I409" s="171"/>
    </row>
    <row r="410" spans="1:9" ht="25.5">
      <c r="A410" s="81" t="s">
        <v>36</v>
      </c>
      <c r="B410" s="145">
        <v>763</v>
      </c>
      <c r="C410" s="83" t="s">
        <v>54</v>
      </c>
      <c r="D410" s="83" t="s">
        <v>88</v>
      </c>
      <c r="E410" s="83" t="s">
        <v>213</v>
      </c>
      <c r="F410" s="83" t="s">
        <v>37</v>
      </c>
      <c r="G410" s="86">
        <f>SUM(G411)</f>
        <v>270000</v>
      </c>
      <c r="H410" s="86">
        <f>SUM(H411)</f>
        <v>270000</v>
      </c>
      <c r="I410" s="171"/>
    </row>
    <row r="411" spans="1:9" ht="25.5" customHeight="1">
      <c r="A411" s="81" t="s">
        <v>38</v>
      </c>
      <c r="B411" s="145">
        <v>763</v>
      </c>
      <c r="C411" s="83" t="s">
        <v>54</v>
      </c>
      <c r="D411" s="83" t="s">
        <v>88</v>
      </c>
      <c r="E411" s="83" t="s">
        <v>213</v>
      </c>
      <c r="F411" s="83" t="s">
        <v>39</v>
      </c>
      <c r="G411" s="86">
        <v>270000</v>
      </c>
      <c r="H411" s="86">
        <v>270000</v>
      </c>
      <c r="I411" s="171"/>
    </row>
    <row r="412" spans="1:9" ht="78" hidden="1" customHeight="1">
      <c r="A412" s="132" t="s">
        <v>592</v>
      </c>
      <c r="B412" s="145">
        <v>763</v>
      </c>
      <c r="C412" s="83" t="s">
        <v>54</v>
      </c>
      <c r="D412" s="83" t="s">
        <v>88</v>
      </c>
      <c r="E412" s="83" t="s">
        <v>560</v>
      </c>
      <c r="F412" s="83"/>
      <c r="G412" s="86">
        <f>G413</f>
        <v>0</v>
      </c>
      <c r="H412" s="86">
        <v>0</v>
      </c>
      <c r="I412" s="171"/>
    </row>
    <row r="413" spans="1:9" ht="25.5" hidden="1">
      <c r="A413" s="81" t="s">
        <v>36</v>
      </c>
      <c r="B413" s="145">
        <v>763</v>
      </c>
      <c r="C413" s="83" t="s">
        <v>54</v>
      </c>
      <c r="D413" s="83" t="s">
        <v>88</v>
      </c>
      <c r="E413" s="83" t="s">
        <v>560</v>
      </c>
      <c r="F413" s="83" t="s">
        <v>37</v>
      </c>
      <c r="G413" s="86">
        <f>SUM(G414)</f>
        <v>0</v>
      </c>
      <c r="H413" s="86">
        <f>SUM(H414)</f>
        <v>0</v>
      </c>
      <c r="I413" s="171"/>
    </row>
    <row r="414" spans="1:9" ht="25.5" hidden="1" customHeight="1">
      <c r="A414" s="81" t="s">
        <v>38</v>
      </c>
      <c r="B414" s="145">
        <v>763</v>
      </c>
      <c r="C414" s="83" t="s">
        <v>54</v>
      </c>
      <c r="D414" s="83" t="s">
        <v>88</v>
      </c>
      <c r="E414" s="83" t="s">
        <v>560</v>
      </c>
      <c r="F414" s="83" t="s">
        <v>39</v>
      </c>
      <c r="G414" s="86"/>
      <c r="H414" s="86">
        <v>0</v>
      </c>
      <c r="I414" s="171"/>
    </row>
    <row r="415" spans="1:9" ht="23.25" hidden="1" customHeight="1">
      <c r="A415" s="263" t="s">
        <v>562</v>
      </c>
      <c r="B415" s="145">
        <v>763</v>
      </c>
      <c r="C415" s="83" t="s">
        <v>54</v>
      </c>
      <c r="D415" s="83" t="s">
        <v>88</v>
      </c>
      <c r="E415" s="83" t="s">
        <v>561</v>
      </c>
      <c r="F415" s="83"/>
      <c r="G415" s="86">
        <f>G416</f>
        <v>0</v>
      </c>
      <c r="H415" s="86">
        <v>0</v>
      </c>
      <c r="I415" s="171"/>
    </row>
    <row r="416" spans="1:9" ht="25.5" hidden="1">
      <c r="A416" s="81" t="s">
        <v>36</v>
      </c>
      <c r="B416" s="145">
        <v>763</v>
      </c>
      <c r="C416" s="83" t="s">
        <v>54</v>
      </c>
      <c r="D416" s="83" t="s">
        <v>88</v>
      </c>
      <c r="E416" s="83" t="s">
        <v>561</v>
      </c>
      <c r="F416" s="83" t="s">
        <v>37</v>
      </c>
      <c r="G416" s="86">
        <f>SUM(G417)</f>
        <v>0</v>
      </c>
      <c r="H416" s="86">
        <f>SUM(H417)</f>
        <v>0</v>
      </c>
      <c r="I416" s="171"/>
    </row>
    <row r="417" spans="1:9" ht="25.5" hidden="1" customHeight="1">
      <c r="A417" s="81" t="s">
        <v>38</v>
      </c>
      <c r="B417" s="145">
        <v>763</v>
      </c>
      <c r="C417" s="83" t="s">
        <v>54</v>
      </c>
      <c r="D417" s="83" t="s">
        <v>88</v>
      </c>
      <c r="E417" s="83" t="s">
        <v>561</v>
      </c>
      <c r="F417" s="83" t="s">
        <v>39</v>
      </c>
      <c r="G417" s="86"/>
      <c r="H417" s="86">
        <v>0</v>
      </c>
      <c r="I417" s="171"/>
    </row>
    <row r="418" spans="1:9" ht="23.25" hidden="1" customHeight="1">
      <c r="A418" s="263" t="s">
        <v>564</v>
      </c>
      <c r="B418" s="145">
        <v>763</v>
      </c>
      <c r="C418" s="83" t="s">
        <v>54</v>
      </c>
      <c r="D418" s="83" t="s">
        <v>88</v>
      </c>
      <c r="E418" s="83" t="s">
        <v>563</v>
      </c>
      <c r="F418" s="83"/>
      <c r="G418" s="86">
        <f>G419</f>
        <v>0</v>
      </c>
      <c r="H418" s="86">
        <v>0</v>
      </c>
      <c r="I418" s="171"/>
    </row>
    <row r="419" spans="1:9" ht="25.5" hidden="1">
      <c r="A419" s="81" t="s">
        <v>36</v>
      </c>
      <c r="B419" s="145">
        <v>763</v>
      </c>
      <c r="C419" s="83" t="s">
        <v>54</v>
      </c>
      <c r="D419" s="83" t="s">
        <v>88</v>
      </c>
      <c r="E419" s="83" t="s">
        <v>563</v>
      </c>
      <c r="F419" s="83" t="s">
        <v>37</v>
      </c>
      <c r="G419" s="86">
        <f>SUM(G420)</f>
        <v>0</v>
      </c>
      <c r="H419" s="86">
        <f>SUM(H420)</f>
        <v>0</v>
      </c>
      <c r="I419" s="171"/>
    </row>
    <row r="420" spans="1:9" ht="25.5" hidden="1" customHeight="1">
      <c r="A420" s="81" t="s">
        <v>38</v>
      </c>
      <c r="B420" s="145">
        <v>763</v>
      </c>
      <c r="C420" s="83" t="s">
        <v>54</v>
      </c>
      <c r="D420" s="83" t="s">
        <v>88</v>
      </c>
      <c r="E420" s="83" t="s">
        <v>563</v>
      </c>
      <c r="F420" s="83" t="s">
        <v>39</v>
      </c>
      <c r="G420" s="86"/>
      <c r="H420" s="86">
        <v>0</v>
      </c>
      <c r="I420" s="171"/>
    </row>
    <row r="421" spans="1:9" ht="34.5" customHeight="1">
      <c r="A421" s="81" t="s">
        <v>578</v>
      </c>
      <c r="B421" s="145">
        <v>763</v>
      </c>
      <c r="C421" s="83" t="s">
        <v>54</v>
      </c>
      <c r="D421" s="83" t="s">
        <v>88</v>
      </c>
      <c r="E421" s="83" t="s">
        <v>577</v>
      </c>
      <c r="F421" s="83"/>
      <c r="G421" s="86">
        <f>G422</f>
        <v>0</v>
      </c>
      <c r="H421" s="86">
        <f>SUM(H422)</f>
        <v>0</v>
      </c>
      <c r="I421" s="171"/>
    </row>
    <row r="422" spans="1:9" ht="25.5">
      <c r="A422" s="81" t="s">
        <v>36</v>
      </c>
      <c r="B422" s="145">
        <v>763</v>
      </c>
      <c r="C422" s="83" t="s">
        <v>54</v>
      </c>
      <c r="D422" s="83" t="s">
        <v>88</v>
      </c>
      <c r="E422" s="83" t="s">
        <v>577</v>
      </c>
      <c r="F422" s="83" t="s">
        <v>37</v>
      </c>
      <c r="G422" s="86">
        <f>SUM(G423)</f>
        <v>0</v>
      </c>
      <c r="H422" s="86">
        <f>SUM(H423)</f>
        <v>0</v>
      </c>
      <c r="I422" s="171"/>
    </row>
    <row r="423" spans="1:9" ht="30.75" customHeight="1">
      <c r="A423" s="81" t="s">
        <v>38</v>
      </c>
      <c r="B423" s="145">
        <v>763</v>
      </c>
      <c r="C423" s="83" t="s">
        <v>54</v>
      </c>
      <c r="D423" s="83" t="s">
        <v>88</v>
      </c>
      <c r="E423" s="83" t="s">
        <v>577</v>
      </c>
      <c r="F423" s="83" t="s">
        <v>39</v>
      </c>
      <c r="G423" s="86">
        <f>40000-40000</f>
        <v>0</v>
      </c>
      <c r="H423" s="86">
        <v>0</v>
      </c>
      <c r="I423" s="171"/>
    </row>
    <row r="424" spans="1:9" ht="34.5" customHeight="1">
      <c r="A424" s="81" t="s">
        <v>785</v>
      </c>
      <c r="B424" s="145">
        <v>763</v>
      </c>
      <c r="C424" s="83" t="s">
        <v>54</v>
      </c>
      <c r="D424" s="83" t="s">
        <v>88</v>
      </c>
      <c r="E424" s="83" t="s">
        <v>784</v>
      </c>
      <c r="F424" s="83"/>
      <c r="G424" s="86">
        <f>G425</f>
        <v>0</v>
      </c>
      <c r="H424" s="86">
        <f>SUM(H425)</f>
        <v>0</v>
      </c>
      <c r="I424" s="171"/>
    </row>
    <row r="425" spans="1:9" ht="25.5">
      <c r="A425" s="81" t="s">
        <v>36</v>
      </c>
      <c r="B425" s="145">
        <v>763</v>
      </c>
      <c r="C425" s="83" t="s">
        <v>54</v>
      </c>
      <c r="D425" s="83" t="s">
        <v>88</v>
      </c>
      <c r="E425" s="83" t="s">
        <v>784</v>
      </c>
      <c r="F425" s="83" t="s">
        <v>37</v>
      </c>
      <c r="G425" s="86">
        <f>SUM(G426)</f>
        <v>0</v>
      </c>
      <c r="H425" s="86">
        <f>SUM(H426)</f>
        <v>0</v>
      </c>
      <c r="I425" s="171"/>
    </row>
    <row r="426" spans="1:9" ht="30.75" customHeight="1">
      <c r="A426" s="81" t="s">
        <v>38</v>
      </c>
      <c r="B426" s="145">
        <v>763</v>
      </c>
      <c r="C426" s="83" t="s">
        <v>54</v>
      </c>
      <c r="D426" s="83" t="s">
        <v>88</v>
      </c>
      <c r="E426" s="83" t="s">
        <v>784</v>
      </c>
      <c r="F426" s="83" t="s">
        <v>39</v>
      </c>
      <c r="G426" s="86">
        <v>0</v>
      </c>
      <c r="H426" s="86"/>
      <c r="I426" s="171"/>
    </row>
    <row r="427" spans="1:9" ht="34.5" customHeight="1">
      <c r="A427" s="81" t="s">
        <v>795</v>
      </c>
      <c r="B427" s="145">
        <v>763</v>
      </c>
      <c r="C427" s="83" t="s">
        <v>54</v>
      </c>
      <c r="D427" s="83" t="s">
        <v>88</v>
      </c>
      <c r="E427" s="83" t="s">
        <v>794</v>
      </c>
      <c r="F427" s="83"/>
      <c r="G427" s="86">
        <f>G428</f>
        <v>0</v>
      </c>
      <c r="H427" s="86">
        <f>SUM(H428)</f>
        <v>0</v>
      </c>
      <c r="I427" s="171"/>
    </row>
    <row r="428" spans="1:9" ht="25.5">
      <c r="A428" s="81" t="s">
        <v>36</v>
      </c>
      <c r="B428" s="145">
        <v>763</v>
      </c>
      <c r="C428" s="83" t="s">
        <v>54</v>
      </c>
      <c r="D428" s="83" t="s">
        <v>88</v>
      </c>
      <c r="E428" s="83" t="s">
        <v>794</v>
      </c>
      <c r="F428" s="83" t="s">
        <v>37</v>
      </c>
      <c r="G428" s="86">
        <f>SUM(G429)</f>
        <v>0</v>
      </c>
      <c r="H428" s="86">
        <f>SUM(H429)</f>
        <v>0</v>
      </c>
      <c r="I428" s="171"/>
    </row>
    <row r="429" spans="1:9" ht="30.75" customHeight="1">
      <c r="A429" s="81" t="s">
        <v>38</v>
      </c>
      <c r="B429" s="145">
        <v>763</v>
      </c>
      <c r="C429" s="83" t="s">
        <v>54</v>
      </c>
      <c r="D429" s="83" t="s">
        <v>88</v>
      </c>
      <c r="E429" s="83" t="s">
        <v>794</v>
      </c>
      <c r="F429" s="83" t="s">
        <v>39</v>
      </c>
      <c r="G429" s="86"/>
      <c r="H429" s="86"/>
      <c r="I429" s="171"/>
    </row>
    <row r="430" spans="1:9" ht="34.5" customHeight="1">
      <c r="A430" s="81" t="s">
        <v>798</v>
      </c>
      <c r="B430" s="145">
        <v>763</v>
      </c>
      <c r="C430" s="83" t="s">
        <v>54</v>
      </c>
      <c r="D430" s="83" t="s">
        <v>88</v>
      </c>
      <c r="E430" s="83" t="s">
        <v>797</v>
      </c>
      <c r="F430" s="83"/>
      <c r="G430" s="86">
        <f>G431</f>
        <v>0</v>
      </c>
      <c r="H430" s="86">
        <f>SUM(H431)</f>
        <v>0</v>
      </c>
      <c r="I430" s="171"/>
    </row>
    <row r="431" spans="1:9" ht="25.5">
      <c r="A431" s="81" t="s">
        <v>36</v>
      </c>
      <c r="B431" s="145">
        <v>763</v>
      </c>
      <c r="C431" s="83" t="s">
        <v>54</v>
      </c>
      <c r="D431" s="83" t="s">
        <v>88</v>
      </c>
      <c r="E431" s="83" t="s">
        <v>797</v>
      </c>
      <c r="F431" s="83" t="s">
        <v>37</v>
      </c>
      <c r="G431" s="86">
        <f>SUM(G432)</f>
        <v>0</v>
      </c>
      <c r="H431" s="86">
        <f>SUM(H432)</f>
        <v>0</v>
      </c>
      <c r="I431" s="171"/>
    </row>
    <row r="432" spans="1:9" ht="30.75" customHeight="1">
      <c r="A432" s="81" t="s">
        <v>38</v>
      </c>
      <c r="B432" s="145">
        <v>763</v>
      </c>
      <c r="C432" s="83" t="s">
        <v>54</v>
      </c>
      <c r="D432" s="83" t="s">
        <v>88</v>
      </c>
      <c r="E432" s="83" t="s">
        <v>797</v>
      </c>
      <c r="F432" s="83" t="s">
        <v>39</v>
      </c>
      <c r="G432" s="86"/>
      <c r="H432" s="86">
        <v>0</v>
      </c>
      <c r="I432" s="171"/>
    </row>
    <row r="433" spans="1:17">
      <c r="A433" s="130" t="s">
        <v>346</v>
      </c>
      <c r="B433" s="151">
        <v>763</v>
      </c>
      <c r="C433" s="254" t="s">
        <v>173</v>
      </c>
      <c r="D433" s="254"/>
      <c r="E433" s="254"/>
      <c r="F433" s="254"/>
      <c r="G433" s="251">
        <f>G434</f>
        <v>3376000</v>
      </c>
      <c r="H433" s="251">
        <f t="shared" ref="H433" si="101">H434</f>
        <v>3291715.11</v>
      </c>
      <c r="I433" s="182"/>
      <c r="O433" s="200"/>
      <c r="P433" s="200"/>
    </row>
    <row r="434" spans="1:17">
      <c r="A434" s="128" t="s">
        <v>174</v>
      </c>
      <c r="B434" s="145">
        <v>763</v>
      </c>
      <c r="C434" s="149" t="s">
        <v>173</v>
      </c>
      <c r="D434" s="149" t="s">
        <v>19</v>
      </c>
      <c r="E434" s="254"/>
      <c r="F434" s="254"/>
      <c r="G434" s="93">
        <f>G435+G453+G443</f>
        <v>3376000</v>
      </c>
      <c r="H434" s="93">
        <f>H435+H453+H443</f>
        <v>3291715.11</v>
      </c>
      <c r="I434" s="185"/>
      <c r="J434" s="185"/>
      <c r="K434" s="185"/>
      <c r="L434" s="185"/>
      <c r="M434" s="185"/>
      <c r="N434" s="185"/>
    </row>
    <row r="435" spans="1:17" ht="51">
      <c r="A435" s="81" t="s">
        <v>489</v>
      </c>
      <c r="B435" s="145">
        <v>763</v>
      </c>
      <c r="C435" s="83" t="s">
        <v>173</v>
      </c>
      <c r="D435" s="83" t="s">
        <v>19</v>
      </c>
      <c r="E435" s="83" t="s">
        <v>295</v>
      </c>
      <c r="F435" s="83"/>
      <c r="G435" s="86">
        <f>G438+G442+G449+G452</f>
        <v>3373929.2</v>
      </c>
      <c r="H435" s="86">
        <f>H438+H442+H449+H452</f>
        <v>3289644.31</v>
      </c>
      <c r="I435" s="171"/>
    </row>
    <row r="436" spans="1:17" s="18" customFormat="1" ht="20.25" customHeight="1">
      <c r="A436" s="81" t="s">
        <v>85</v>
      </c>
      <c r="B436" s="145">
        <v>763</v>
      </c>
      <c r="C436" s="83" t="s">
        <v>173</v>
      </c>
      <c r="D436" s="83" t="s">
        <v>19</v>
      </c>
      <c r="E436" s="83" t="s">
        <v>84</v>
      </c>
      <c r="F436" s="83"/>
      <c r="G436" s="86">
        <f t="shared" ref="G436:H437" si="102">G437</f>
        <v>453929.2</v>
      </c>
      <c r="H436" s="86">
        <f t="shared" si="102"/>
        <v>376925</v>
      </c>
      <c r="I436" s="171"/>
      <c r="J436" s="191"/>
      <c r="K436" s="191"/>
      <c r="L436" s="191"/>
      <c r="M436" s="191"/>
      <c r="N436" s="191"/>
      <c r="O436" s="191"/>
      <c r="P436" s="191"/>
      <c r="Q436" s="191"/>
    </row>
    <row r="437" spans="1:17" ht="30.75" customHeight="1">
      <c r="A437" s="81" t="s">
        <v>36</v>
      </c>
      <c r="B437" s="145">
        <v>763</v>
      </c>
      <c r="C437" s="83" t="s">
        <v>173</v>
      </c>
      <c r="D437" s="83" t="s">
        <v>19</v>
      </c>
      <c r="E437" s="83" t="s">
        <v>84</v>
      </c>
      <c r="F437" s="83" t="s">
        <v>37</v>
      </c>
      <c r="G437" s="86">
        <f t="shared" si="102"/>
        <v>453929.2</v>
      </c>
      <c r="H437" s="86">
        <f t="shared" si="102"/>
        <v>376925</v>
      </c>
      <c r="I437" s="171"/>
    </row>
    <row r="438" spans="1:17" s="18" customFormat="1" ht="34.5" customHeight="1">
      <c r="A438" s="81" t="s">
        <v>38</v>
      </c>
      <c r="B438" s="145">
        <v>763</v>
      </c>
      <c r="C438" s="83" t="s">
        <v>173</v>
      </c>
      <c r="D438" s="83" t="s">
        <v>19</v>
      </c>
      <c r="E438" s="83" t="s">
        <v>84</v>
      </c>
      <c r="F438" s="83" t="s">
        <v>39</v>
      </c>
      <c r="G438" s="86">
        <f>50000+606000-200000-2070.8</f>
        <v>453929.2</v>
      </c>
      <c r="H438" s="86">
        <v>376925</v>
      </c>
      <c r="I438" s="171"/>
      <c r="J438" s="191"/>
      <c r="K438" s="191"/>
      <c r="L438" s="191"/>
      <c r="M438" s="191"/>
      <c r="N438" s="191"/>
      <c r="O438" s="191"/>
      <c r="P438" s="191"/>
      <c r="Q438" s="191"/>
    </row>
    <row r="439" spans="1:17" s="3" customFormat="1" ht="52.5" hidden="1" customHeight="1">
      <c r="A439" s="81"/>
      <c r="B439" s="145">
        <v>763</v>
      </c>
      <c r="C439" s="83"/>
      <c r="D439" s="83"/>
      <c r="E439" s="83"/>
      <c r="F439" s="83"/>
      <c r="G439" s="86"/>
      <c r="H439" s="86"/>
      <c r="I439" s="171"/>
      <c r="J439" s="190"/>
      <c r="K439" s="190"/>
      <c r="L439" s="190"/>
      <c r="M439" s="190"/>
      <c r="N439" s="190"/>
      <c r="O439" s="190"/>
      <c r="P439" s="190"/>
      <c r="Q439" s="190"/>
    </row>
    <row r="440" spans="1:17" s="18" customFormat="1" ht="63" customHeight="1">
      <c r="A440" s="81" t="s">
        <v>81</v>
      </c>
      <c r="B440" s="145">
        <v>763</v>
      </c>
      <c r="C440" s="83" t="s">
        <v>173</v>
      </c>
      <c r="D440" s="83" t="s">
        <v>19</v>
      </c>
      <c r="E440" s="83" t="s">
        <v>80</v>
      </c>
      <c r="F440" s="83"/>
      <c r="G440" s="86">
        <f t="shared" ref="G440:H445" si="103">G441</f>
        <v>2920000</v>
      </c>
      <c r="H440" s="86">
        <f t="shared" si="103"/>
        <v>2912719.31</v>
      </c>
      <c r="I440" s="171"/>
      <c r="J440" s="191"/>
      <c r="K440" s="191"/>
      <c r="L440" s="191"/>
      <c r="M440" s="191"/>
      <c r="N440" s="191"/>
      <c r="O440" s="191"/>
      <c r="P440" s="191"/>
      <c r="Q440" s="191"/>
    </row>
    <row r="441" spans="1:17" ht="30.75" customHeight="1">
      <c r="A441" s="81" t="s">
        <v>36</v>
      </c>
      <c r="B441" s="145">
        <v>763</v>
      </c>
      <c r="C441" s="83" t="s">
        <v>173</v>
      </c>
      <c r="D441" s="83" t="s">
        <v>19</v>
      </c>
      <c r="E441" s="83" t="s">
        <v>80</v>
      </c>
      <c r="F441" s="83" t="s">
        <v>37</v>
      </c>
      <c r="G441" s="86">
        <f t="shared" si="103"/>
        <v>2920000</v>
      </c>
      <c r="H441" s="86">
        <f t="shared" si="103"/>
        <v>2912719.31</v>
      </c>
      <c r="I441" s="171"/>
    </row>
    <row r="442" spans="1:17" s="18" customFormat="1" ht="34.5" customHeight="1">
      <c r="A442" s="81" t="s">
        <v>38</v>
      </c>
      <c r="B442" s="145">
        <v>763</v>
      </c>
      <c r="C442" s="83" t="s">
        <v>173</v>
      </c>
      <c r="D442" s="83" t="s">
        <v>19</v>
      </c>
      <c r="E442" s="83" t="s">
        <v>80</v>
      </c>
      <c r="F442" s="83" t="s">
        <v>39</v>
      </c>
      <c r="G442" s="86">
        <f>2180000+740000</f>
        <v>2920000</v>
      </c>
      <c r="H442" s="86">
        <v>2912719.31</v>
      </c>
      <c r="I442" s="171"/>
      <c r="J442" s="191"/>
      <c r="K442" s="191"/>
      <c r="L442" s="191"/>
      <c r="M442" s="191"/>
      <c r="N442" s="191"/>
      <c r="O442" s="191"/>
      <c r="P442" s="191"/>
      <c r="Q442" s="191"/>
    </row>
    <row r="443" spans="1:17" s="18" customFormat="1" ht="34.5" customHeight="1">
      <c r="A443" s="81" t="s">
        <v>1090</v>
      </c>
      <c r="B443" s="145">
        <v>763</v>
      </c>
      <c r="C443" s="83" t="s">
        <v>173</v>
      </c>
      <c r="D443" s="83" t="s">
        <v>19</v>
      </c>
      <c r="E443" s="83" t="s">
        <v>1089</v>
      </c>
      <c r="F443" s="83"/>
      <c r="G443" s="86">
        <f>G444</f>
        <v>2070.8000000000002</v>
      </c>
      <c r="H443" s="86">
        <f>H444</f>
        <v>2070.8000000000002</v>
      </c>
      <c r="I443" s="171"/>
      <c r="J443" s="191"/>
      <c r="K443" s="191"/>
      <c r="L443" s="191"/>
      <c r="M443" s="191"/>
      <c r="N443" s="191"/>
      <c r="O443" s="191"/>
      <c r="P443" s="191"/>
      <c r="Q443" s="191"/>
    </row>
    <row r="444" spans="1:17" s="18" customFormat="1" ht="32.25" customHeight="1">
      <c r="A444" s="81" t="s">
        <v>333</v>
      </c>
      <c r="B444" s="145">
        <v>763</v>
      </c>
      <c r="C444" s="83" t="s">
        <v>173</v>
      </c>
      <c r="D444" s="83" t="s">
        <v>19</v>
      </c>
      <c r="E444" s="83" t="s">
        <v>1088</v>
      </c>
      <c r="F444" s="83"/>
      <c r="G444" s="86">
        <f t="shared" si="103"/>
        <v>2070.8000000000002</v>
      </c>
      <c r="H444" s="86">
        <f t="shared" si="103"/>
        <v>2070.8000000000002</v>
      </c>
      <c r="I444" s="171"/>
      <c r="J444" s="191"/>
      <c r="K444" s="191"/>
      <c r="L444" s="191"/>
      <c r="M444" s="191"/>
      <c r="N444" s="191"/>
      <c r="O444" s="191"/>
      <c r="P444" s="191"/>
      <c r="Q444" s="191"/>
    </row>
    <row r="445" spans="1:17" ht="25.5" customHeight="1">
      <c r="A445" s="81" t="s">
        <v>63</v>
      </c>
      <c r="B445" s="145">
        <v>763</v>
      </c>
      <c r="C445" s="83" t="s">
        <v>173</v>
      </c>
      <c r="D445" s="83" t="s">
        <v>19</v>
      </c>
      <c r="E445" s="83" t="s">
        <v>1088</v>
      </c>
      <c r="F445" s="83" t="s">
        <v>64</v>
      </c>
      <c r="G445" s="86">
        <f t="shared" si="103"/>
        <v>2070.8000000000002</v>
      </c>
      <c r="H445" s="86">
        <f t="shared" si="103"/>
        <v>2070.8000000000002</v>
      </c>
      <c r="I445" s="171"/>
    </row>
    <row r="446" spans="1:17" s="18" customFormat="1" ht="26.25" customHeight="1">
      <c r="A446" s="81" t="s">
        <v>328</v>
      </c>
      <c r="B446" s="145">
        <v>763</v>
      </c>
      <c r="C446" s="83" t="s">
        <v>173</v>
      </c>
      <c r="D446" s="83" t="s">
        <v>19</v>
      </c>
      <c r="E446" s="83" t="s">
        <v>1088</v>
      </c>
      <c r="F446" s="83" t="s">
        <v>327</v>
      </c>
      <c r="G446" s="86">
        <v>2070.8000000000002</v>
      </c>
      <c r="H446" s="86">
        <v>2070.8000000000002</v>
      </c>
      <c r="I446" s="171"/>
      <c r="J446" s="191"/>
      <c r="K446" s="191"/>
      <c r="L446" s="191"/>
      <c r="M446" s="191"/>
      <c r="N446" s="191"/>
      <c r="O446" s="191"/>
      <c r="P446" s="191"/>
      <c r="Q446" s="191"/>
    </row>
    <row r="447" spans="1:17" s="120" customFormat="1">
      <c r="A447" s="295" t="s">
        <v>74</v>
      </c>
      <c r="B447" s="85"/>
      <c r="C447" s="296"/>
      <c r="D447" s="296"/>
      <c r="E447" s="296"/>
      <c r="F447" s="296"/>
      <c r="G447" s="297">
        <f>G377+G398+G433</f>
        <v>17704813</v>
      </c>
      <c r="H447" s="297">
        <f t="shared" ref="H447" si="104">H377+H398+H433</f>
        <v>17449123.079999998</v>
      </c>
      <c r="I447" s="183"/>
      <c r="J447" s="198"/>
      <c r="K447" s="198"/>
      <c r="L447" s="198"/>
      <c r="M447" s="198"/>
      <c r="N447" s="198"/>
      <c r="O447" s="198"/>
      <c r="P447" s="198"/>
      <c r="Q447" s="198"/>
    </row>
    <row r="448" spans="1:17" s="121" customFormat="1" ht="50.25" customHeight="1">
      <c r="A448" s="302" t="s">
        <v>972</v>
      </c>
      <c r="B448" s="303">
        <v>774</v>
      </c>
      <c r="C448" s="304"/>
      <c r="D448" s="304"/>
      <c r="E448" s="304"/>
      <c r="F448" s="304"/>
      <c r="G448" s="305"/>
      <c r="H448" s="305"/>
      <c r="I448" s="188"/>
      <c r="J448" s="204"/>
      <c r="K448" s="204"/>
      <c r="L448" s="204"/>
      <c r="M448" s="204"/>
      <c r="N448" s="204"/>
      <c r="O448" s="204"/>
      <c r="P448" s="204"/>
      <c r="Q448" s="204"/>
    </row>
    <row r="449" spans="1:17" hidden="1">
      <c r="A449" s="259" t="s">
        <v>18</v>
      </c>
      <c r="B449" s="253">
        <v>774</v>
      </c>
      <c r="C449" s="254" t="s">
        <v>19</v>
      </c>
      <c r="D449" s="254"/>
      <c r="E449" s="254"/>
      <c r="F449" s="254"/>
      <c r="G449" s="251">
        <f t="shared" ref="G449:H453" si="105">G450</f>
        <v>0</v>
      </c>
      <c r="H449" s="251">
        <f t="shared" si="105"/>
        <v>0</v>
      </c>
      <c r="I449" s="182"/>
    </row>
    <row r="450" spans="1:17" ht="18.75" hidden="1" customHeight="1">
      <c r="A450" s="133" t="s">
        <v>22</v>
      </c>
      <c r="B450" s="145">
        <v>774</v>
      </c>
      <c r="C450" s="83" t="s">
        <v>19</v>
      </c>
      <c r="D450" s="83" t="s">
        <v>23</v>
      </c>
      <c r="E450" s="83"/>
      <c r="F450" s="83"/>
      <c r="G450" s="86">
        <f t="shared" si="105"/>
        <v>0</v>
      </c>
      <c r="H450" s="86">
        <f t="shared" si="105"/>
        <v>0</v>
      </c>
      <c r="I450" s="171"/>
    </row>
    <row r="451" spans="1:17" s="22" customFormat="1" ht="26.25" hidden="1" customHeight="1">
      <c r="A451" s="81" t="s">
        <v>164</v>
      </c>
      <c r="B451" s="145">
        <v>774</v>
      </c>
      <c r="C451" s="83" t="s">
        <v>19</v>
      </c>
      <c r="D451" s="83" t="s">
        <v>23</v>
      </c>
      <c r="E451" s="143" t="s">
        <v>210</v>
      </c>
      <c r="F451" s="152"/>
      <c r="G451" s="86">
        <f t="shared" si="105"/>
        <v>0</v>
      </c>
      <c r="H451" s="86">
        <f t="shared" si="105"/>
        <v>0</v>
      </c>
      <c r="I451" s="171"/>
      <c r="J451" s="199"/>
      <c r="K451" s="198"/>
      <c r="L451" s="198"/>
      <c r="M451" s="198"/>
      <c r="N451" s="198"/>
      <c r="O451" s="198"/>
      <c r="P451" s="198"/>
      <c r="Q451" s="198"/>
    </row>
    <row r="452" spans="1:17" s="22" customFormat="1" ht="26.25" hidden="1" customHeight="1">
      <c r="A452" s="81" t="s">
        <v>430</v>
      </c>
      <c r="B452" s="145">
        <v>774</v>
      </c>
      <c r="C452" s="83" t="s">
        <v>19</v>
      </c>
      <c r="D452" s="83" t="s">
        <v>23</v>
      </c>
      <c r="E452" s="83" t="s">
        <v>509</v>
      </c>
      <c r="F452" s="152"/>
      <c r="G452" s="86">
        <f t="shared" si="105"/>
        <v>0</v>
      </c>
      <c r="H452" s="86">
        <f t="shared" si="105"/>
        <v>0</v>
      </c>
      <c r="I452" s="171"/>
      <c r="J452" s="199"/>
      <c r="K452" s="198"/>
      <c r="L452" s="198"/>
      <c r="M452" s="198"/>
      <c r="N452" s="198"/>
      <c r="O452" s="198"/>
      <c r="P452" s="198"/>
      <c r="Q452" s="198"/>
    </row>
    <row r="453" spans="1:17" ht="40.5" hidden="1" customHeight="1">
      <c r="A453" s="81" t="s">
        <v>430</v>
      </c>
      <c r="B453" s="145">
        <v>774</v>
      </c>
      <c r="C453" s="83" t="s">
        <v>19</v>
      </c>
      <c r="D453" s="83" t="s">
        <v>23</v>
      </c>
      <c r="E453" s="83" t="s">
        <v>429</v>
      </c>
      <c r="F453" s="83"/>
      <c r="G453" s="86">
        <f t="shared" si="105"/>
        <v>0</v>
      </c>
      <c r="H453" s="86">
        <f t="shared" si="105"/>
        <v>0</v>
      </c>
      <c r="I453" s="171"/>
      <c r="J453" s="200"/>
    </row>
    <row r="454" spans="1:17" hidden="1">
      <c r="A454" s="81" t="s">
        <v>63</v>
      </c>
      <c r="B454" s="145">
        <v>774</v>
      </c>
      <c r="C454" s="83" t="s">
        <v>19</v>
      </c>
      <c r="D454" s="83" t="s">
        <v>23</v>
      </c>
      <c r="E454" s="83" t="s">
        <v>429</v>
      </c>
      <c r="F454" s="83" t="s">
        <v>64</v>
      </c>
      <c r="G454" s="86">
        <f>G455</f>
        <v>0</v>
      </c>
      <c r="H454" s="86">
        <v>0</v>
      </c>
      <c r="I454" s="171"/>
      <c r="J454" s="200"/>
    </row>
    <row r="455" spans="1:17" ht="15" hidden="1" customHeight="1">
      <c r="A455" s="81" t="s">
        <v>328</v>
      </c>
      <c r="B455" s="145">
        <v>774</v>
      </c>
      <c r="C455" s="83" t="s">
        <v>19</v>
      </c>
      <c r="D455" s="83" t="s">
        <v>23</v>
      </c>
      <c r="E455" s="83" t="s">
        <v>429</v>
      </c>
      <c r="F455" s="83" t="s">
        <v>327</v>
      </c>
      <c r="G455" s="86"/>
      <c r="H455" s="86">
        <v>0</v>
      </c>
      <c r="I455" s="171"/>
      <c r="J455" s="200"/>
    </row>
    <row r="456" spans="1:17" ht="25.5">
      <c r="A456" s="252" t="s">
        <v>168</v>
      </c>
      <c r="B456" s="253">
        <v>774</v>
      </c>
      <c r="C456" s="254" t="s">
        <v>70</v>
      </c>
      <c r="D456" s="254"/>
      <c r="E456" s="254"/>
      <c r="F456" s="254"/>
      <c r="G456" s="251">
        <f>G457</f>
        <v>200000</v>
      </c>
      <c r="H456" s="251">
        <f t="shared" ref="H456" si="106">H457</f>
        <v>200000</v>
      </c>
      <c r="I456" s="182"/>
      <c r="L456" s="200"/>
      <c r="M456" s="200"/>
      <c r="N456" s="200"/>
      <c r="O456" s="200"/>
    </row>
    <row r="457" spans="1:17" s="46" customFormat="1" ht="25.5">
      <c r="A457" s="81" t="s">
        <v>335</v>
      </c>
      <c r="B457" s="145">
        <v>774</v>
      </c>
      <c r="C457" s="83" t="s">
        <v>70</v>
      </c>
      <c r="D457" s="83" t="s">
        <v>309</v>
      </c>
      <c r="E457" s="83"/>
      <c r="F457" s="83"/>
      <c r="G457" s="86">
        <f>G458</f>
        <v>200000</v>
      </c>
      <c r="H457" s="86">
        <f t="shared" ref="H457" si="107">H458</f>
        <v>200000</v>
      </c>
      <c r="I457" s="171"/>
      <c r="J457" s="177"/>
      <c r="K457" s="205"/>
      <c r="L457" s="205"/>
      <c r="M457" s="205"/>
      <c r="N457" s="213"/>
      <c r="O457" s="213"/>
      <c r="P457" s="213"/>
      <c r="Q457" s="213"/>
    </row>
    <row r="458" spans="1:17" ht="38.25">
      <c r="A458" s="81" t="s">
        <v>478</v>
      </c>
      <c r="B458" s="145">
        <v>774</v>
      </c>
      <c r="C458" s="83" t="s">
        <v>70</v>
      </c>
      <c r="D458" s="83" t="s">
        <v>309</v>
      </c>
      <c r="E458" s="83" t="s">
        <v>256</v>
      </c>
      <c r="F458" s="83"/>
      <c r="G458" s="86">
        <f t="shared" ref="G458:H460" si="108">G459</f>
        <v>200000</v>
      </c>
      <c r="H458" s="86">
        <f t="shared" si="108"/>
        <v>200000</v>
      </c>
      <c r="I458" s="171"/>
      <c r="K458" s="200"/>
    </row>
    <row r="459" spans="1:17" ht="38.25">
      <c r="A459" s="81" t="s">
        <v>336</v>
      </c>
      <c r="B459" s="145">
        <v>774</v>
      </c>
      <c r="C459" s="83" t="s">
        <v>70</v>
      </c>
      <c r="D459" s="83" t="s">
        <v>309</v>
      </c>
      <c r="E459" s="83" t="s">
        <v>257</v>
      </c>
      <c r="F459" s="83"/>
      <c r="G459" s="86">
        <f>G460+G462</f>
        <v>200000</v>
      </c>
      <c r="H459" s="86">
        <f t="shared" ref="H459" si="109">H460+H462</f>
        <v>200000</v>
      </c>
      <c r="I459" s="171"/>
      <c r="K459" s="200"/>
    </row>
    <row r="460" spans="1:17" ht="25.5" hidden="1">
      <c r="A460" s="81" t="s">
        <v>38</v>
      </c>
      <c r="B460" s="145">
        <v>774</v>
      </c>
      <c r="C460" s="83" t="s">
        <v>70</v>
      </c>
      <c r="D460" s="83" t="s">
        <v>309</v>
      </c>
      <c r="E460" s="83" t="s">
        <v>257</v>
      </c>
      <c r="F460" s="83" t="s">
        <v>37</v>
      </c>
      <c r="G460" s="86">
        <f t="shared" si="108"/>
        <v>0</v>
      </c>
      <c r="H460" s="86">
        <f t="shared" si="108"/>
        <v>0</v>
      </c>
      <c r="I460" s="171"/>
    </row>
    <row r="461" spans="1:17" ht="31.5" hidden="1" customHeight="1">
      <c r="A461" s="81" t="s">
        <v>38</v>
      </c>
      <c r="B461" s="145">
        <v>774</v>
      </c>
      <c r="C461" s="83" t="s">
        <v>70</v>
      </c>
      <c r="D461" s="83" t="s">
        <v>309</v>
      </c>
      <c r="E461" s="83" t="s">
        <v>257</v>
      </c>
      <c r="F461" s="83" t="s">
        <v>39</v>
      </c>
      <c r="G461" s="86"/>
      <c r="H461" s="86"/>
      <c r="I461" s="171"/>
    </row>
    <row r="462" spans="1:17" s="18" customFormat="1" ht="25.5">
      <c r="A462" s="81" t="s">
        <v>30</v>
      </c>
      <c r="B462" s="145">
        <v>774</v>
      </c>
      <c r="C462" s="83" t="s">
        <v>70</v>
      </c>
      <c r="D462" s="83" t="s">
        <v>309</v>
      </c>
      <c r="E462" s="83" t="s">
        <v>257</v>
      </c>
      <c r="F462" s="83" t="s">
        <v>31</v>
      </c>
      <c r="G462" s="86">
        <f t="shared" ref="G462:H462" si="110">G463</f>
        <v>200000</v>
      </c>
      <c r="H462" s="86">
        <f t="shared" si="110"/>
        <v>200000</v>
      </c>
      <c r="I462" s="171"/>
      <c r="J462" s="191"/>
      <c r="K462" s="191"/>
      <c r="L462" s="191"/>
      <c r="M462" s="191"/>
      <c r="N462" s="191"/>
      <c r="O462" s="191"/>
      <c r="P462" s="191"/>
      <c r="Q462" s="191"/>
    </row>
    <row r="463" spans="1:17" s="18" customFormat="1">
      <c r="A463" s="81" t="s">
        <v>32</v>
      </c>
      <c r="B463" s="145">
        <v>774</v>
      </c>
      <c r="C463" s="83" t="s">
        <v>70</v>
      </c>
      <c r="D463" s="83" t="s">
        <v>309</v>
      </c>
      <c r="E463" s="83" t="s">
        <v>257</v>
      </c>
      <c r="F463" s="83" t="s">
        <v>33</v>
      </c>
      <c r="G463" s="86">
        <v>200000</v>
      </c>
      <c r="H463" s="86">
        <v>200000</v>
      </c>
      <c r="I463" s="171"/>
      <c r="J463" s="191"/>
      <c r="K463" s="191"/>
      <c r="L463" s="206"/>
      <c r="M463" s="191"/>
      <c r="N463" s="191"/>
      <c r="O463" s="191"/>
      <c r="P463" s="191"/>
      <c r="Q463" s="191"/>
    </row>
    <row r="464" spans="1:17" ht="19.5" hidden="1" customHeight="1">
      <c r="A464" s="150" t="s">
        <v>172</v>
      </c>
      <c r="B464" s="151">
        <v>774</v>
      </c>
      <c r="C464" s="152" t="s">
        <v>54</v>
      </c>
      <c r="D464" s="152" t="s">
        <v>123</v>
      </c>
      <c r="E464" s="152"/>
      <c r="F464" s="152"/>
      <c r="G464" s="153">
        <f>G465</f>
        <v>0</v>
      </c>
      <c r="H464" s="153">
        <f t="shared" ref="H464:H467" si="111">H465</f>
        <v>0</v>
      </c>
      <c r="I464" s="187"/>
    </row>
    <row r="465" spans="1:18" ht="47.25" hidden="1" customHeight="1">
      <c r="A465" s="81" t="s">
        <v>455</v>
      </c>
      <c r="B465" s="145">
        <v>774</v>
      </c>
      <c r="C465" s="83" t="s">
        <v>54</v>
      </c>
      <c r="D465" s="83" t="s">
        <v>123</v>
      </c>
      <c r="E465" s="83" t="s">
        <v>454</v>
      </c>
      <c r="F465" s="83"/>
      <c r="G465" s="86">
        <f>G466</f>
        <v>0</v>
      </c>
      <c r="H465" s="86">
        <f t="shared" si="111"/>
        <v>0</v>
      </c>
      <c r="I465" s="171"/>
    </row>
    <row r="466" spans="1:18" ht="33.75" hidden="1" customHeight="1">
      <c r="A466" s="81" t="s">
        <v>453</v>
      </c>
      <c r="B466" s="145">
        <v>774</v>
      </c>
      <c r="C466" s="83" t="s">
        <v>54</v>
      </c>
      <c r="D466" s="83" t="s">
        <v>123</v>
      </c>
      <c r="E466" s="83" t="s">
        <v>451</v>
      </c>
      <c r="F466" s="83"/>
      <c r="G466" s="86">
        <f>G467</f>
        <v>0</v>
      </c>
      <c r="H466" s="86">
        <f t="shared" si="111"/>
        <v>0</v>
      </c>
      <c r="I466" s="171"/>
    </row>
    <row r="467" spans="1:18" ht="30.75" hidden="1" customHeight="1">
      <c r="A467" s="81" t="s">
        <v>452</v>
      </c>
      <c r="B467" s="145">
        <v>774</v>
      </c>
      <c r="C467" s="83" t="s">
        <v>54</v>
      </c>
      <c r="D467" s="83" t="s">
        <v>123</v>
      </c>
      <c r="E467" s="83" t="s">
        <v>451</v>
      </c>
      <c r="F467" s="83" t="s">
        <v>37</v>
      </c>
      <c r="G467" s="86">
        <f>G468</f>
        <v>0</v>
      </c>
      <c r="H467" s="86">
        <f t="shared" si="111"/>
        <v>0</v>
      </c>
      <c r="I467" s="171"/>
    </row>
    <row r="468" spans="1:18" ht="33" hidden="1" customHeight="1">
      <c r="A468" s="81" t="s">
        <v>38</v>
      </c>
      <c r="B468" s="145">
        <v>774</v>
      </c>
      <c r="C468" s="83" t="s">
        <v>54</v>
      </c>
      <c r="D468" s="83" t="s">
        <v>123</v>
      </c>
      <c r="E468" s="83" t="s">
        <v>451</v>
      </c>
      <c r="F468" s="83" t="s">
        <v>39</v>
      </c>
      <c r="G468" s="86">
        <f>63000-63000</f>
        <v>0</v>
      </c>
      <c r="H468" s="86"/>
      <c r="I468" s="171"/>
    </row>
    <row r="469" spans="1:18">
      <c r="A469" s="252" t="s">
        <v>25</v>
      </c>
      <c r="B469" s="253">
        <v>774</v>
      </c>
      <c r="C469" s="254" t="s">
        <v>26</v>
      </c>
      <c r="D469" s="254"/>
      <c r="E469" s="254"/>
      <c r="F469" s="254"/>
      <c r="G469" s="251">
        <f>G470+G549+G793+G909+G961</f>
        <v>1222633540.96</v>
      </c>
      <c r="H469" s="251">
        <f>H470+H549+H793+H909+H961</f>
        <v>1221248981.05</v>
      </c>
      <c r="I469" s="182"/>
      <c r="J469" s="200"/>
    </row>
    <row r="470" spans="1:18">
      <c r="A470" s="81" t="s">
        <v>89</v>
      </c>
      <c r="B470" s="145">
        <v>774</v>
      </c>
      <c r="C470" s="83" t="s">
        <v>26</v>
      </c>
      <c r="D470" s="83" t="s">
        <v>19</v>
      </c>
      <c r="E470" s="83"/>
      <c r="F470" s="83"/>
      <c r="G470" s="86">
        <f>G471+G541+G545</f>
        <v>332086862.06999999</v>
      </c>
      <c r="H470" s="86">
        <f>H471+H541+H545</f>
        <v>331638250.95999998</v>
      </c>
      <c r="I470" s="171"/>
    </row>
    <row r="471" spans="1:18" s="18" customFormat="1" ht="25.5">
      <c r="A471" s="81" t="s">
        <v>473</v>
      </c>
      <c r="B471" s="145">
        <v>774</v>
      </c>
      <c r="C471" s="83" t="s">
        <v>26</v>
      </c>
      <c r="D471" s="83" t="s">
        <v>19</v>
      </c>
      <c r="E471" s="83" t="s">
        <v>189</v>
      </c>
      <c r="F471" s="83"/>
      <c r="G471" s="86">
        <f>G472+G499</f>
        <v>332086862.06999999</v>
      </c>
      <c r="H471" s="86">
        <f>H472+H499</f>
        <v>331638250.95999998</v>
      </c>
      <c r="I471" s="171"/>
      <c r="J471" s="191"/>
      <c r="K471" s="191"/>
      <c r="L471" s="191"/>
      <c r="M471" s="191"/>
      <c r="N471" s="191"/>
      <c r="O471" s="191"/>
      <c r="P471" s="191"/>
      <c r="Q471" s="191"/>
    </row>
    <row r="472" spans="1:18" s="18" customFormat="1" ht="30" customHeight="1">
      <c r="A472" s="81" t="s">
        <v>90</v>
      </c>
      <c r="B472" s="83" t="s">
        <v>94</v>
      </c>
      <c r="C472" s="83" t="s">
        <v>26</v>
      </c>
      <c r="D472" s="83" t="s">
        <v>19</v>
      </c>
      <c r="E472" s="83" t="s">
        <v>215</v>
      </c>
      <c r="F472" s="83"/>
      <c r="G472" s="86">
        <f>G473+G476+G479+G485+G491+G493+G482+G488</f>
        <v>328060919.56999999</v>
      </c>
      <c r="H472" s="86">
        <f>H473+H476+H479+H485+H491+H493+H482+H488</f>
        <v>327612308.45999998</v>
      </c>
      <c r="I472" s="171"/>
      <c r="J472" s="191"/>
      <c r="K472" s="191"/>
      <c r="L472" s="191"/>
      <c r="M472" s="191"/>
      <c r="N472" s="191"/>
      <c r="O472" s="191"/>
      <c r="P472" s="191"/>
      <c r="Q472" s="191"/>
    </row>
    <row r="473" spans="1:18" ht="50.25" customHeight="1">
      <c r="A473" s="81" t="s">
        <v>3</v>
      </c>
      <c r="B473" s="83" t="s">
        <v>94</v>
      </c>
      <c r="C473" s="83" t="s">
        <v>26</v>
      </c>
      <c r="D473" s="83" t="s">
        <v>19</v>
      </c>
      <c r="E473" s="83" t="s">
        <v>904</v>
      </c>
      <c r="F473" s="83"/>
      <c r="G473" s="86">
        <f t="shared" ref="G473:H474" si="112">G474</f>
        <v>21497572.75</v>
      </c>
      <c r="H473" s="86">
        <f t="shared" si="112"/>
        <v>21235666.920000002</v>
      </c>
      <c r="I473" s="171"/>
    </row>
    <row r="474" spans="1:18" s="18" customFormat="1" ht="25.5">
      <c r="A474" s="81" t="s">
        <v>30</v>
      </c>
      <c r="B474" s="83" t="s">
        <v>94</v>
      </c>
      <c r="C474" s="83" t="s">
        <v>26</v>
      </c>
      <c r="D474" s="83" t="s">
        <v>19</v>
      </c>
      <c r="E474" s="83" t="s">
        <v>904</v>
      </c>
      <c r="F474" s="83" t="s">
        <v>31</v>
      </c>
      <c r="G474" s="86">
        <f t="shared" si="112"/>
        <v>21497572.75</v>
      </c>
      <c r="H474" s="86">
        <f t="shared" si="112"/>
        <v>21235666.920000002</v>
      </c>
      <c r="I474" s="171"/>
      <c r="J474" s="191"/>
      <c r="K474" s="191"/>
      <c r="L474" s="191"/>
      <c r="M474" s="191"/>
      <c r="N474" s="191"/>
      <c r="O474" s="191"/>
      <c r="P474" s="191"/>
      <c r="Q474" s="191"/>
    </row>
    <row r="475" spans="1:18" s="18" customFormat="1">
      <c r="A475" s="81" t="s">
        <v>32</v>
      </c>
      <c r="B475" s="83" t="s">
        <v>94</v>
      </c>
      <c r="C475" s="83" t="s">
        <v>26</v>
      </c>
      <c r="D475" s="83" t="s">
        <v>19</v>
      </c>
      <c r="E475" s="83" t="s">
        <v>904</v>
      </c>
      <c r="F475" s="83" t="s">
        <v>33</v>
      </c>
      <c r="G475" s="86">
        <v>21497572.75</v>
      </c>
      <c r="H475" s="86">
        <v>21235666.920000002</v>
      </c>
      <c r="I475" s="171"/>
      <c r="J475" s="191"/>
      <c r="K475" s="191"/>
      <c r="L475" s="206"/>
      <c r="M475" s="191"/>
      <c r="N475" s="191"/>
      <c r="O475" s="191"/>
      <c r="P475" s="191"/>
      <c r="Q475" s="191"/>
    </row>
    <row r="476" spans="1:18" s="18" customFormat="1" ht="15" customHeight="1">
      <c r="A476" s="81" t="s">
        <v>91</v>
      </c>
      <c r="B476" s="145">
        <v>774</v>
      </c>
      <c r="C476" s="83" t="s">
        <v>26</v>
      </c>
      <c r="D476" s="83" t="s">
        <v>19</v>
      </c>
      <c r="E476" s="83" t="s">
        <v>134</v>
      </c>
      <c r="F476" s="83"/>
      <c r="G476" s="86">
        <f t="shared" ref="G476:H477" si="113">G477</f>
        <v>196446497.49000001</v>
      </c>
      <c r="H476" s="86">
        <f t="shared" si="113"/>
        <v>196446497.49000001</v>
      </c>
      <c r="I476" s="171"/>
      <c r="J476" s="191"/>
      <c r="K476" s="191"/>
      <c r="L476" s="191"/>
      <c r="M476" s="191"/>
      <c r="N476" s="191"/>
      <c r="O476" s="191"/>
      <c r="P476" s="206"/>
      <c r="Q476" s="206"/>
      <c r="R476" s="17"/>
    </row>
    <row r="477" spans="1:18" s="18" customFormat="1" ht="25.5">
      <c r="A477" s="81" t="s">
        <v>30</v>
      </c>
      <c r="B477" s="145">
        <v>774</v>
      </c>
      <c r="C477" s="83" t="s">
        <v>26</v>
      </c>
      <c r="D477" s="83" t="s">
        <v>19</v>
      </c>
      <c r="E477" s="83" t="s">
        <v>134</v>
      </c>
      <c r="F477" s="83" t="s">
        <v>31</v>
      </c>
      <c r="G477" s="86">
        <f t="shared" si="113"/>
        <v>196446497.49000001</v>
      </c>
      <c r="H477" s="86">
        <f t="shared" si="113"/>
        <v>196446497.49000001</v>
      </c>
      <c r="I477" s="171"/>
      <c r="J477" s="191"/>
      <c r="K477" s="191"/>
      <c r="L477" s="191"/>
      <c r="M477" s="191"/>
      <c r="N477" s="191"/>
      <c r="O477" s="191"/>
      <c r="P477" s="206"/>
      <c r="Q477" s="206"/>
      <c r="R477" s="17"/>
    </row>
    <row r="478" spans="1:18" s="18" customFormat="1">
      <c r="A478" s="81" t="s">
        <v>32</v>
      </c>
      <c r="B478" s="145">
        <v>774</v>
      </c>
      <c r="C478" s="83" t="s">
        <v>26</v>
      </c>
      <c r="D478" s="83" t="s">
        <v>19</v>
      </c>
      <c r="E478" s="83" t="s">
        <v>134</v>
      </c>
      <c r="F478" s="83" t="s">
        <v>33</v>
      </c>
      <c r="G478" s="86">
        <v>196446497.49000001</v>
      </c>
      <c r="H478" s="86">
        <v>196446497.49000001</v>
      </c>
      <c r="I478" s="171"/>
      <c r="J478" s="191"/>
      <c r="K478" s="191"/>
      <c r="L478" s="191"/>
      <c r="M478" s="191"/>
      <c r="N478" s="191"/>
      <c r="O478" s="191"/>
      <c r="P478" s="206"/>
      <c r="Q478" s="206"/>
      <c r="R478" s="17"/>
    </row>
    <row r="479" spans="1:18" s="18" customFormat="1" ht="25.5">
      <c r="A479" s="81" t="s">
        <v>93</v>
      </c>
      <c r="B479" s="145">
        <v>774</v>
      </c>
      <c r="C479" s="83" t="s">
        <v>26</v>
      </c>
      <c r="D479" s="83" t="s">
        <v>19</v>
      </c>
      <c r="E479" s="83" t="s">
        <v>217</v>
      </c>
      <c r="F479" s="83"/>
      <c r="G479" s="86">
        <f t="shared" ref="G479:H483" si="114">G480</f>
        <v>105878296.25</v>
      </c>
      <c r="H479" s="86">
        <f t="shared" si="114"/>
        <v>105878296.25</v>
      </c>
      <c r="I479" s="171"/>
      <c r="J479" s="191"/>
      <c r="K479" s="191"/>
      <c r="L479" s="191"/>
      <c r="M479" s="191"/>
      <c r="N479" s="191"/>
      <c r="O479" s="191"/>
      <c r="P479" s="206"/>
      <c r="Q479" s="206"/>
      <c r="R479" s="17"/>
    </row>
    <row r="480" spans="1:18" s="18" customFormat="1" ht="25.5">
      <c r="A480" s="81" t="s">
        <v>30</v>
      </c>
      <c r="B480" s="145">
        <v>774</v>
      </c>
      <c r="C480" s="83" t="s">
        <v>26</v>
      </c>
      <c r="D480" s="83" t="s">
        <v>19</v>
      </c>
      <c r="E480" s="83" t="s">
        <v>217</v>
      </c>
      <c r="F480" s="83" t="s">
        <v>31</v>
      </c>
      <c r="G480" s="86">
        <f t="shared" si="114"/>
        <v>105878296.25</v>
      </c>
      <c r="H480" s="86">
        <f t="shared" si="114"/>
        <v>105878296.25</v>
      </c>
      <c r="I480" s="171"/>
      <c r="J480" s="191"/>
      <c r="K480" s="191"/>
      <c r="L480" s="191"/>
      <c r="M480" s="191"/>
      <c r="N480" s="191"/>
      <c r="O480" s="191"/>
      <c r="P480" s="206"/>
      <c r="Q480" s="206"/>
      <c r="R480" s="17"/>
    </row>
    <row r="481" spans="1:18" s="18" customFormat="1" ht="24.75" customHeight="1">
      <c r="A481" s="81" t="s">
        <v>32</v>
      </c>
      <c r="B481" s="145">
        <v>774</v>
      </c>
      <c r="C481" s="83" t="s">
        <v>26</v>
      </c>
      <c r="D481" s="83" t="s">
        <v>19</v>
      </c>
      <c r="E481" s="83" t="s">
        <v>217</v>
      </c>
      <c r="F481" s="83" t="s">
        <v>33</v>
      </c>
      <c r="G481" s="86">
        <f>103803805+812371.25+1262120</f>
        <v>105878296.25</v>
      </c>
      <c r="H481" s="86">
        <v>105878296.25</v>
      </c>
      <c r="I481" s="171"/>
      <c r="J481" s="191"/>
      <c r="K481" s="191"/>
      <c r="L481" s="191"/>
      <c r="M481" s="191"/>
      <c r="N481" s="191"/>
      <c r="O481" s="191"/>
      <c r="P481" s="206"/>
      <c r="Q481" s="206"/>
      <c r="R481" s="17"/>
    </row>
    <row r="482" spans="1:18" s="18" customFormat="1">
      <c r="A482" s="81" t="s">
        <v>851</v>
      </c>
      <c r="B482" s="145">
        <v>774</v>
      </c>
      <c r="C482" s="83" t="s">
        <v>26</v>
      </c>
      <c r="D482" s="83" t="s">
        <v>19</v>
      </c>
      <c r="E482" s="83" t="s">
        <v>869</v>
      </c>
      <c r="F482" s="83"/>
      <c r="G482" s="86">
        <f t="shared" si="114"/>
        <v>600165.93000000005</v>
      </c>
      <c r="H482" s="86">
        <f t="shared" si="114"/>
        <v>591346.03</v>
      </c>
      <c r="I482" s="171"/>
      <c r="J482" s="191"/>
      <c r="K482" s="191"/>
      <c r="L482" s="191"/>
      <c r="M482" s="191"/>
      <c r="N482" s="191"/>
      <c r="O482" s="191"/>
      <c r="P482" s="206"/>
      <c r="Q482" s="206"/>
      <c r="R482" s="17"/>
    </row>
    <row r="483" spans="1:18" s="18" customFormat="1" ht="25.5">
      <c r="A483" s="81" t="s">
        <v>30</v>
      </c>
      <c r="B483" s="145">
        <v>774</v>
      </c>
      <c r="C483" s="83" t="s">
        <v>26</v>
      </c>
      <c r="D483" s="83" t="s">
        <v>19</v>
      </c>
      <c r="E483" s="83" t="s">
        <v>869</v>
      </c>
      <c r="F483" s="83" t="s">
        <v>31</v>
      </c>
      <c r="G483" s="86">
        <f t="shared" si="114"/>
        <v>600165.93000000005</v>
      </c>
      <c r="H483" s="86">
        <f t="shared" si="114"/>
        <v>591346.03</v>
      </c>
      <c r="I483" s="171"/>
      <c r="J483" s="191"/>
      <c r="K483" s="191"/>
      <c r="L483" s="191"/>
      <c r="M483" s="191"/>
      <c r="N483" s="191"/>
      <c r="O483" s="191"/>
      <c r="P483" s="206"/>
      <c r="Q483" s="206"/>
      <c r="R483" s="17"/>
    </row>
    <row r="484" spans="1:18" s="18" customFormat="1">
      <c r="A484" s="81" t="s">
        <v>32</v>
      </c>
      <c r="B484" s="145">
        <v>774</v>
      </c>
      <c r="C484" s="83" t="s">
        <v>26</v>
      </c>
      <c r="D484" s="83" t="s">
        <v>19</v>
      </c>
      <c r="E484" s="83" t="s">
        <v>869</v>
      </c>
      <c r="F484" s="83" t="s">
        <v>33</v>
      </c>
      <c r="G484" s="86">
        <f>632228.79-32062.86</f>
        <v>600165.93000000005</v>
      </c>
      <c r="H484" s="86">
        <v>591346.03</v>
      </c>
      <c r="I484" s="171"/>
      <c r="J484" s="191"/>
      <c r="K484" s="191"/>
      <c r="L484" s="191"/>
      <c r="M484" s="191"/>
      <c r="N484" s="191"/>
      <c r="O484" s="191"/>
      <c r="P484" s="206"/>
      <c r="Q484" s="206"/>
      <c r="R484" s="17"/>
    </row>
    <row r="485" spans="1:18" s="18" customFormat="1" ht="31.5" customHeight="1">
      <c r="A485" s="264" t="s">
        <v>125</v>
      </c>
      <c r="B485" s="83" t="s">
        <v>94</v>
      </c>
      <c r="C485" s="83" t="s">
        <v>26</v>
      </c>
      <c r="D485" s="83" t="s">
        <v>19</v>
      </c>
      <c r="E485" s="83" t="s">
        <v>226</v>
      </c>
      <c r="F485" s="83"/>
      <c r="G485" s="86">
        <f t="shared" ref="G485:H489" si="115">G486</f>
        <v>888490</v>
      </c>
      <c r="H485" s="86">
        <f t="shared" si="115"/>
        <v>726816.96</v>
      </c>
      <c r="I485" s="171"/>
      <c r="J485" s="191"/>
      <c r="K485" s="191"/>
      <c r="L485" s="191"/>
      <c r="M485" s="191"/>
      <c r="N485" s="191"/>
      <c r="O485" s="191"/>
      <c r="P485" s="206"/>
      <c r="Q485" s="206"/>
      <c r="R485" s="17"/>
    </row>
    <row r="486" spans="1:18" s="18" customFormat="1" ht="25.5">
      <c r="A486" s="81" t="s">
        <v>30</v>
      </c>
      <c r="B486" s="83" t="s">
        <v>94</v>
      </c>
      <c r="C486" s="83" t="s">
        <v>26</v>
      </c>
      <c r="D486" s="83" t="s">
        <v>19</v>
      </c>
      <c r="E486" s="83" t="s">
        <v>226</v>
      </c>
      <c r="F486" s="83" t="s">
        <v>31</v>
      </c>
      <c r="G486" s="86">
        <f t="shared" si="115"/>
        <v>888490</v>
      </c>
      <c r="H486" s="86">
        <f t="shared" si="115"/>
        <v>726816.96</v>
      </c>
      <c r="I486" s="171"/>
      <c r="J486" s="191"/>
      <c r="K486" s="191"/>
      <c r="L486" s="191"/>
      <c r="M486" s="191"/>
      <c r="N486" s="191"/>
      <c r="O486" s="191"/>
      <c r="P486" s="191"/>
      <c r="Q486" s="191"/>
    </row>
    <row r="487" spans="1:18">
      <c r="A487" s="81" t="s">
        <v>32</v>
      </c>
      <c r="B487" s="83" t="s">
        <v>94</v>
      </c>
      <c r="C487" s="83" t="s">
        <v>26</v>
      </c>
      <c r="D487" s="83" t="s">
        <v>19</v>
      </c>
      <c r="E487" s="83" t="s">
        <v>226</v>
      </c>
      <c r="F487" s="83" t="s">
        <v>33</v>
      </c>
      <c r="G487" s="86">
        <v>888490</v>
      </c>
      <c r="H487" s="86">
        <v>726816.96</v>
      </c>
      <c r="I487" s="171"/>
    </row>
    <row r="488" spans="1:18" s="18" customFormat="1" ht="42.75" customHeight="1">
      <c r="A488" s="264" t="s">
        <v>870</v>
      </c>
      <c r="B488" s="83" t="s">
        <v>94</v>
      </c>
      <c r="C488" s="83" t="s">
        <v>26</v>
      </c>
      <c r="D488" s="83" t="s">
        <v>19</v>
      </c>
      <c r="E488" s="83" t="s">
        <v>611</v>
      </c>
      <c r="F488" s="83"/>
      <c r="G488" s="86">
        <f t="shared" si="115"/>
        <v>0</v>
      </c>
      <c r="H488" s="86">
        <f t="shared" si="115"/>
        <v>0</v>
      </c>
      <c r="I488" s="171"/>
      <c r="J488" s="191"/>
      <c r="K488" s="191"/>
      <c r="L488" s="191"/>
      <c r="M488" s="191"/>
      <c r="N488" s="191"/>
      <c r="O488" s="191"/>
      <c r="P488" s="206"/>
      <c r="Q488" s="206"/>
      <c r="R488" s="17"/>
    </row>
    <row r="489" spans="1:18" s="18" customFormat="1" ht="25.5">
      <c r="A489" s="81" t="s">
        <v>30</v>
      </c>
      <c r="B489" s="83" t="s">
        <v>94</v>
      </c>
      <c r="C489" s="83" t="s">
        <v>26</v>
      </c>
      <c r="D489" s="83" t="s">
        <v>19</v>
      </c>
      <c r="E489" s="83" t="s">
        <v>611</v>
      </c>
      <c r="F489" s="83" t="s">
        <v>31</v>
      </c>
      <c r="G489" s="86">
        <f t="shared" si="115"/>
        <v>0</v>
      </c>
      <c r="H489" s="86">
        <f t="shared" si="115"/>
        <v>0</v>
      </c>
      <c r="I489" s="171"/>
      <c r="J489" s="191"/>
      <c r="K489" s="191"/>
      <c r="L489" s="191"/>
      <c r="M489" s="191"/>
      <c r="N489" s="191"/>
      <c r="O489" s="191"/>
      <c r="P489" s="206"/>
      <c r="Q489" s="206"/>
      <c r="R489" s="17"/>
    </row>
    <row r="490" spans="1:18">
      <c r="A490" s="81" t="s">
        <v>32</v>
      </c>
      <c r="B490" s="83" t="s">
        <v>94</v>
      </c>
      <c r="C490" s="83" t="s">
        <v>26</v>
      </c>
      <c r="D490" s="83" t="s">
        <v>19</v>
      </c>
      <c r="E490" s="83" t="s">
        <v>611</v>
      </c>
      <c r="F490" s="83" t="s">
        <v>33</v>
      </c>
      <c r="G490" s="86">
        <f>257165-257165</f>
        <v>0</v>
      </c>
      <c r="H490" s="86">
        <v>0</v>
      </c>
      <c r="I490" s="171"/>
    </row>
    <row r="491" spans="1:18" s="3" customFormat="1" ht="42.75" hidden="1" customHeight="1">
      <c r="A491" s="81" t="s">
        <v>734</v>
      </c>
      <c r="B491" s="145">
        <v>774</v>
      </c>
      <c r="C491" s="83" t="s">
        <v>26</v>
      </c>
      <c r="D491" s="83" t="s">
        <v>19</v>
      </c>
      <c r="E491" s="83" t="s">
        <v>721</v>
      </c>
      <c r="F491" s="83"/>
      <c r="G491" s="86">
        <f>G492</f>
        <v>0</v>
      </c>
      <c r="H491" s="86">
        <f>H492</f>
        <v>0</v>
      </c>
      <c r="I491" s="171"/>
      <c r="J491" s="190"/>
      <c r="K491" s="190"/>
      <c r="L491" s="190"/>
      <c r="M491" s="190"/>
      <c r="N491" s="190"/>
      <c r="O491" s="190"/>
      <c r="P491" s="190"/>
      <c r="Q491" s="190"/>
    </row>
    <row r="492" spans="1:18" s="3" customFormat="1" hidden="1">
      <c r="A492" s="81" t="s">
        <v>32</v>
      </c>
      <c r="B492" s="145">
        <v>774</v>
      </c>
      <c r="C492" s="83" t="s">
        <v>26</v>
      </c>
      <c r="D492" s="83" t="s">
        <v>19</v>
      </c>
      <c r="E492" s="83" t="s">
        <v>721</v>
      </c>
      <c r="F492" s="83" t="s">
        <v>33</v>
      </c>
      <c r="G492" s="86"/>
      <c r="H492" s="86"/>
      <c r="I492" s="171"/>
      <c r="J492" s="190"/>
      <c r="K492" s="190"/>
      <c r="L492" s="190"/>
      <c r="M492" s="190"/>
      <c r="N492" s="190"/>
      <c r="O492" s="190"/>
      <c r="P492" s="190"/>
      <c r="Q492" s="190"/>
    </row>
    <row r="493" spans="1:18" s="18" customFormat="1" ht="51" customHeight="1">
      <c r="A493" s="264" t="s">
        <v>875</v>
      </c>
      <c r="B493" s="83" t="s">
        <v>94</v>
      </c>
      <c r="C493" s="83" t="s">
        <v>26</v>
      </c>
      <c r="D493" s="83" t="s">
        <v>19</v>
      </c>
      <c r="E493" s="83" t="s">
        <v>871</v>
      </c>
      <c r="F493" s="83"/>
      <c r="G493" s="86">
        <f t="shared" ref="G493:H497" si="116">G494</f>
        <v>2749897.1499999994</v>
      </c>
      <c r="H493" s="86">
        <f t="shared" si="116"/>
        <v>2733684.81</v>
      </c>
      <c r="I493" s="171"/>
      <c r="J493" s="191"/>
      <c r="K493" s="191"/>
      <c r="L493" s="191"/>
      <c r="M493" s="191"/>
      <c r="N493" s="191"/>
      <c r="O493" s="191"/>
      <c r="P493" s="191"/>
      <c r="Q493" s="191"/>
    </row>
    <row r="494" spans="1:18" s="18" customFormat="1" ht="25.5">
      <c r="A494" s="81" t="s">
        <v>30</v>
      </c>
      <c r="B494" s="83" t="s">
        <v>94</v>
      </c>
      <c r="C494" s="83" t="s">
        <v>26</v>
      </c>
      <c r="D494" s="83" t="s">
        <v>19</v>
      </c>
      <c r="E494" s="83" t="s">
        <v>871</v>
      </c>
      <c r="F494" s="83" t="s">
        <v>31</v>
      </c>
      <c r="G494" s="86">
        <f t="shared" si="116"/>
        <v>2749897.1499999994</v>
      </c>
      <c r="H494" s="86">
        <f t="shared" si="116"/>
        <v>2733684.81</v>
      </c>
      <c r="I494" s="171"/>
      <c r="J494" s="191"/>
      <c r="K494" s="191"/>
      <c r="L494" s="191"/>
      <c r="M494" s="191"/>
      <c r="N494" s="191"/>
      <c r="O494" s="191"/>
      <c r="P494" s="191"/>
      <c r="Q494" s="191"/>
    </row>
    <row r="495" spans="1:18">
      <c r="A495" s="81" t="s">
        <v>32</v>
      </c>
      <c r="B495" s="83" t="s">
        <v>94</v>
      </c>
      <c r="C495" s="83" t="s">
        <v>26</v>
      </c>
      <c r="D495" s="83" t="s">
        <v>19</v>
      </c>
      <c r="E495" s="83" t="s">
        <v>871</v>
      </c>
      <c r="F495" s="83" t="s">
        <v>33</v>
      </c>
      <c r="G495" s="86">
        <f>4233923-16508.49-1467517.36</f>
        <v>2749897.1499999994</v>
      </c>
      <c r="H495" s="86">
        <v>2733684.81</v>
      </c>
      <c r="I495" s="171"/>
    </row>
    <row r="496" spans="1:18" s="18" customFormat="1" ht="45.75" hidden="1" customHeight="1">
      <c r="A496" s="264" t="s">
        <v>612</v>
      </c>
      <c r="B496" s="83" t="s">
        <v>94</v>
      </c>
      <c r="C496" s="83" t="s">
        <v>26</v>
      </c>
      <c r="D496" s="83" t="s">
        <v>19</v>
      </c>
      <c r="E496" s="83" t="s">
        <v>611</v>
      </c>
      <c r="F496" s="83"/>
      <c r="G496" s="86">
        <f t="shared" si="116"/>
        <v>0</v>
      </c>
      <c r="H496" s="86">
        <f t="shared" si="116"/>
        <v>0</v>
      </c>
      <c r="I496" s="171"/>
      <c r="J496" s="191"/>
      <c r="K496" s="191"/>
      <c r="L496" s="191"/>
      <c r="M496" s="191"/>
      <c r="N496" s="191"/>
      <c r="O496" s="191"/>
      <c r="P496" s="191"/>
      <c r="Q496" s="191"/>
    </row>
    <row r="497" spans="1:18" s="18" customFormat="1" ht="25.5" hidden="1">
      <c r="A497" s="81" t="s">
        <v>30</v>
      </c>
      <c r="B497" s="83" t="s">
        <v>94</v>
      </c>
      <c r="C497" s="83" t="s">
        <v>26</v>
      </c>
      <c r="D497" s="83" t="s">
        <v>19</v>
      </c>
      <c r="E497" s="83" t="s">
        <v>611</v>
      </c>
      <c r="F497" s="83" t="s">
        <v>31</v>
      </c>
      <c r="G497" s="86">
        <f t="shared" si="116"/>
        <v>0</v>
      </c>
      <c r="H497" s="86">
        <f t="shared" si="116"/>
        <v>0</v>
      </c>
      <c r="I497" s="171"/>
      <c r="J497" s="191"/>
      <c r="K497" s="191"/>
      <c r="L497" s="191"/>
      <c r="M497" s="191"/>
      <c r="N497" s="191"/>
      <c r="O497" s="191"/>
      <c r="P497" s="191"/>
      <c r="Q497" s="191"/>
    </row>
    <row r="498" spans="1:18" hidden="1">
      <c r="A498" s="81" t="s">
        <v>32</v>
      </c>
      <c r="B498" s="83" t="s">
        <v>94</v>
      </c>
      <c r="C498" s="83" t="s">
        <v>26</v>
      </c>
      <c r="D498" s="83" t="s">
        <v>19</v>
      </c>
      <c r="E498" s="83" t="s">
        <v>611</v>
      </c>
      <c r="F498" s="83" t="s">
        <v>33</v>
      </c>
      <c r="G498" s="86"/>
      <c r="H498" s="86"/>
      <c r="I498" s="171"/>
    </row>
    <row r="499" spans="1:18" s="3" customFormat="1" ht="25.5">
      <c r="A499" s="81" t="s">
        <v>0</v>
      </c>
      <c r="B499" s="145">
        <v>774</v>
      </c>
      <c r="C499" s="83" t="s">
        <v>26</v>
      </c>
      <c r="D499" s="83" t="s">
        <v>19</v>
      </c>
      <c r="E499" s="83" t="s">
        <v>218</v>
      </c>
      <c r="F499" s="83"/>
      <c r="G499" s="86">
        <f>G517+G528+G534+G540+G529+G500+G535+G512+G511+G506+G503</f>
        <v>4025942.5</v>
      </c>
      <c r="H499" s="86">
        <f>H517+H528+H534+H540+H529+H500+H535+H512+H511+H506+H503</f>
        <v>4025942.5</v>
      </c>
      <c r="I499" s="171"/>
      <c r="J499" s="190"/>
      <c r="K499" s="190"/>
      <c r="L499" s="190"/>
      <c r="M499" s="190"/>
      <c r="N499" s="190"/>
      <c r="O499" s="190"/>
      <c r="P499" s="190"/>
      <c r="Q499" s="190"/>
    </row>
    <row r="500" spans="1:18" ht="25.5" hidden="1" customHeight="1">
      <c r="A500" s="81" t="s">
        <v>769</v>
      </c>
      <c r="B500" s="145">
        <v>774</v>
      </c>
      <c r="C500" s="83" t="s">
        <v>26</v>
      </c>
      <c r="D500" s="83" t="s">
        <v>19</v>
      </c>
      <c r="E500" s="83" t="s">
        <v>768</v>
      </c>
      <c r="F500" s="145"/>
      <c r="G500" s="86">
        <f t="shared" ref="G500:H501" si="117">G501</f>
        <v>0</v>
      </c>
      <c r="H500" s="86">
        <f t="shared" si="117"/>
        <v>0</v>
      </c>
      <c r="I500" s="171"/>
    </row>
    <row r="501" spans="1:18" ht="25.5" hidden="1" customHeight="1">
      <c r="A501" s="81" t="s">
        <v>30</v>
      </c>
      <c r="B501" s="145">
        <v>774</v>
      </c>
      <c r="C501" s="83" t="s">
        <v>26</v>
      </c>
      <c r="D501" s="83" t="s">
        <v>19</v>
      </c>
      <c r="E501" s="83" t="s">
        <v>768</v>
      </c>
      <c r="F501" s="83" t="s">
        <v>31</v>
      </c>
      <c r="G501" s="86">
        <f t="shared" si="117"/>
        <v>0</v>
      </c>
      <c r="H501" s="86">
        <f t="shared" si="117"/>
        <v>0</v>
      </c>
      <c r="I501" s="171"/>
    </row>
    <row r="502" spans="1:18" ht="25.5" hidden="1" customHeight="1">
      <c r="A502" s="81" t="s">
        <v>32</v>
      </c>
      <c r="B502" s="145">
        <v>774</v>
      </c>
      <c r="C502" s="83" t="s">
        <v>26</v>
      </c>
      <c r="D502" s="83" t="s">
        <v>19</v>
      </c>
      <c r="E502" s="83" t="s">
        <v>768</v>
      </c>
      <c r="F502" s="83" t="s">
        <v>33</v>
      </c>
      <c r="G502" s="86"/>
      <c r="H502" s="86"/>
      <c r="I502" s="171"/>
    </row>
    <row r="503" spans="1:18" s="18" customFormat="1" ht="25.5">
      <c r="A503" s="81" t="s">
        <v>1104</v>
      </c>
      <c r="B503" s="145">
        <v>774</v>
      </c>
      <c r="C503" s="83" t="s">
        <v>26</v>
      </c>
      <c r="D503" s="83" t="s">
        <v>19</v>
      </c>
      <c r="E503" s="83" t="s">
        <v>1105</v>
      </c>
      <c r="F503" s="83"/>
      <c r="G503" s="86">
        <f t="shared" ref="G503:H504" si="118">G504</f>
        <v>300000</v>
      </c>
      <c r="H503" s="86">
        <f t="shared" si="118"/>
        <v>300000</v>
      </c>
      <c r="I503" s="171"/>
      <c r="J503" s="191"/>
      <c r="K503" s="191"/>
      <c r="L503" s="191"/>
      <c r="M503" s="191"/>
      <c r="N503" s="191"/>
      <c r="O503" s="191"/>
      <c r="P503" s="206"/>
      <c r="Q503" s="206"/>
      <c r="R503" s="17"/>
    </row>
    <row r="504" spans="1:18" s="18" customFormat="1" ht="25.5">
      <c r="A504" s="81" t="s">
        <v>30</v>
      </c>
      <c r="B504" s="145">
        <v>774</v>
      </c>
      <c r="C504" s="83" t="s">
        <v>26</v>
      </c>
      <c r="D504" s="83" t="s">
        <v>19</v>
      </c>
      <c r="E504" s="83" t="s">
        <v>1105</v>
      </c>
      <c r="F504" s="83" t="s">
        <v>31</v>
      </c>
      <c r="G504" s="86">
        <f t="shared" si="118"/>
        <v>300000</v>
      </c>
      <c r="H504" s="86">
        <f t="shared" si="118"/>
        <v>300000</v>
      </c>
      <c r="I504" s="171"/>
      <c r="J504" s="191"/>
      <c r="K504" s="191"/>
      <c r="L504" s="191"/>
      <c r="M504" s="191"/>
      <c r="N504" s="191"/>
      <c r="O504" s="191"/>
      <c r="P504" s="206"/>
      <c r="Q504" s="206"/>
      <c r="R504" s="17"/>
    </row>
    <row r="505" spans="1:18" s="18" customFormat="1">
      <c r="A505" s="81" t="s">
        <v>32</v>
      </c>
      <c r="B505" s="145">
        <v>774</v>
      </c>
      <c r="C505" s="83" t="s">
        <v>26</v>
      </c>
      <c r="D505" s="83" t="s">
        <v>19</v>
      </c>
      <c r="E505" s="83" t="s">
        <v>1105</v>
      </c>
      <c r="F505" s="83" t="s">
        <v>33</v>
      </c>
      <c r="G505" s="86">
        <v>300000</v>
      </c>
      <c r="H505" s="86">
        <v>300000</v>
      </c>
      <c r="I505" s="171"/>
      <c r="J505" s="191"/>
      <c r="K505" s="191"/>
      <c r="L505" s="191"/>
      <c r="M505" s="191"/>
      <c r="N505" s="191"/>
      <c r="O505" s="191"/>
      <c r="P505" s="206"/>
      <c r="Q505" s="206"/>
      <c r="R505" s="17"/>
    </row>
    <row r="506" spans="1:18" s="3" customFormat="1" ht="25.5">
      <c r="A506" s="81" t="s">
        <v>996</v>
      </c>
      <c r="B506" s="145">
        <v>774</v>
      </c>
      <c r="C506" s="83" t="s">
        <v>26</v>
      </c>
      <c r="D506" s="83" t="s">
        <v>19</v>
      </c>
      <c r="E506" s="83" t="s">
        <v>219</v>
      </c>
      <c r="F506" s="83"/>
      <c r="G506" s="86">
        <f t="shared" ref="G506:H507" si="119">G507</f>
        <v>2082996.42</v>
      </c>
      <c r="H506" s="86">
        <f t="shared" si="119"/>
        <v>2082996.42</v>
      </c>
      <c r="I506" s="171"/>
      <c r="J506" s="190"/>
      <c r="K506" s="190"/>
      <c r="L506" s="190"/>
      <c r="M506" s="190"/>
      <c r="N506" s="190"/>
      <c r="O506" s="190"/>
      <c r="P506" s="190"/>
      <c r="Q506" s="190"/>
    </row>
    <row r="507" spans="1:18" s="3" customFormat="1" ht="25.5">
      <c r="A507" s="81" t="s">
        <v>30</v>
      </c>
      <c r="B507" s="145">
        <v>774</v>
      </c>
      <c r="C507" s="83" t="s">
        <v>26</v>
      </c>
      <c r="D507" s="83" t="s">
        <v>19</v>
      </c>
      <c r="E507" s="83" t="s">
        <v>219</v>
      </c>
      <c r="F507" s="83" t="s">
        <v>31</v>
      </c>
      <c r="G507" s="86">
        <f t="shared" si="119"/>
        <v>2082996.42</v>
      </c>
      <c r="H507" s="86">
        <f t="shared" si="119"/>
        <v>2082996.42</v>
      </c>
      <c r="I507" s="171"/>
      <c r="J507" s="190"/>
      <c r="K507" s="190"/>
      <c r="L507" s="190"/>
      <c r="M507" s="190"/>
      <c r="N507" s="190"/>
      <c r="O507" s="190"/>
      <c r="P507" s="190"/>
      <c r="Q507" s="190"/>
    </row>
    <row r="508" spans="1:18" s="3" customFormat="1">
      <c r="A508" s="81" t="s">
        <v>32</v>
      </c>
      <c r="B508" s="145">
        <v>774</v>
      </c>
      <c r="C508" s="83" t="s">
        <v>26</v>
      </c>
      <c r="D508" s="83" t="s">
        <v>19</v>
      </c>
      <c r="E508" s="83" t="s">
        <v>219</v>
      </c>
      <c r="F508" s="83" t="s">
        <v>33</v>
      </c>
      <c r="G508" s="86">
        <f>2083259.42-263</f>
        <v>2082996.42</v>
      </c>
      <c r="H508" s="86">
        <v>2082996.42</v>
      </c>
      <c r="I508" s="171"/>
      <c r="J508" s="190"/>
      <c r="K508" s="190"/>
      <c r="L508" s="190"/>
      <c r="M508" s="190"/>
      <c r="N508" s="190"/>
      <c r="O508" s="190"/>
      <c r="P508" s="190"/>
      <c r="Q508" s="190"/>
    </row>
    <row r="509" spans="1:18" s="3" customFormat="1" ht="25.5">
      <c r="A509" s="81" t="s">
        <v>995</v>
      </c>
      <c r="B509" s="145">
        <v>774</v>
      </c>
      <c r="C509" s="83" t="s">
        <v>26</v>
      </c>
      <c r="D509" s="83" t="s">
        <v>19</v>
      </c>
      <c r="E509" s="83" t="s">
        <v>993</v>
      </c>
      <c r="F509" s="83"/>
      <c r="G509" s="86">
        <f t="shared" ref="G509:H510" si="120">G510</f>
        <v>642065</v>
      </c>
      <c r="H509" s="86">
        <f t="shared" si="120"/>
        <v>642065</v>
      </c>
      <c r="I509" s="171"/>
      <c r="J509" s="190"/>
      <c r="K509" s="190"/>
      <c r="L509" s="190"/>
      <c r="M509" s="190"/>
      <c r="N509" s="190"/>
      <c r="O509" s="190"/>
      <c r="P509" s="190"/>
      <c r="Q509" s="190"/>
    </row>
    <row r="510" spans="1:18" s="3" customFormat="1" ht="25.5">
      <c r="A510" s="81" t="s">
        <v>30</v>
      </c>
      <c r="B510" s="145">
        <v>774</v>
      </c>
      <c r="C510" s="83" t="s">
        <v>26</v>
      </c>
      <c r="D510" s="83" t="s">
        <v>19</v>
      </c>
      <c r="E510" s="83" t="s">
        <v>993</v>
      </c>
      <c r="F510" s="83" t="s">
        <v>31</v>
      </c>
      <c r="G510" s="86">
        <f t="shared" si="120"/>
        <v>642065</v>
      </c>
      <c r="H510" s="86">
        <f t="shared" si="120"/>
        <v>642065</v>
      </c>
      <c r="I510" s="171"/>
      <c r="J510" s="190"/>
      <c r="K510" s="190"/>
      <c r="L510" s="190"/>
      <c r="M510" s="190"/>
      <c r="N510" s="190"/>
      <c r="O510" s="190"/>
      <c r="P510" s="190"/>
      <c r="Q510" s="190"/>
    </row>
    <row r="511" spans="1:18" s="3" customFormat="1">
      <c r="A511" s="81" t="s">
        <v>32</v>
      </c>
      <c r="B511" s="145">
        <v>774</v>
      </c>
      <c r="C511" s="83" t="s">
        <v>26</v>
      </c>
      <c r="D511" s="83" t="s">
        <v>19</v>
      </c>
      <c r="E511" s="83" t="s">
        <v>993</v>
      </c>
      <c r="F511" s="83" t="s">
        <v>33</v>
      </c>
      <c r="G511" s="86">
        <f>184790+308292+31000+117983</f>
        <v>642065</v>
      </c>
      <c r="H511" s="86">
        <v>642065</v>
      </c>
      <c r="I511" s="171"/>
      <c r="J511" s="190"/>
      <c r="K511" s="190"/>
      <c r="L511" s="190"/>
      <c r="M511" s="190"/>
      <c r="N511" s="190"/>
      <c r="O511" s="190"/>
      <c r="P511" s="190"/>
      <c r="Q511" s="190"/>
    </row>
    <row r="512" spans="1:18" s="3" customFormat="1" ht="65.25" customHeight="1">
      <c r="A512" s="81" t="s">
        <v>952</v>
      </c>
      <c r="B512" s="145">
        <v>774</v>
      </c>
      <c r="C512" s="83" t="s">
        <v>26</v>
      </c>
      <c r="D512" s="83" t="s">
        <v>19</v>
      </c>
      <c r="E512" s="83" t="s">
        <v>731</v>
      </c>
      <c r="F512" s="83"/>
      <c r="G512" s="86">
        <f t="shared" ref="G512:H513" si="121">G513</f>
        <v>0</v>
      </c>
      <c r="H512" s="86">
        <f t="shared" si="121"/>
        <v>0</v>
      </c>
      <c r="I512" s="171"/>
      <c r="J512" s="190"/>
      <c r="K512" s="190"/>
      <c r="L512" s="190"/>
      <c r="M512" s="190"/>
      <c r="N512" s="190"/>
      <c r="O512" s="190"/>
      <c r="P512" s="190"/>
      <c r="Q512" s="190"/>
    </row>
    <row r="513" spans="1:17" s="3" customFormat="1" ht="25.5">
      <c r="A513" s="81" t="s">
        <v>30</v>
      </c>
      <c r="B513" s="145">
        <v>774</v>
      </c>
      <c r="C513" s="83" t="s">
        <v>26</v>
      </c>
      <c r="D513" s="83" t="s">
        <v>19</v>
      </c>
      <c r="E513" s="83" t="s">
        <v>731</v>
      </c>
      <c r="F513" s="83" t="s">
        <v>31</v>
      </c>
      <c r="G513" s="86">
        <f t="shared" si="121"/>
        <v>0</v>
      </c>
      <c r="H513" s="86">
        <f t="shared" si="121"/>
        <v>0</v>
      </c>
      <c r="I513" s="171"/>
      <c r="J513" s="190"/>
      <c r="K513" s="190"/>
      <c r="L513" s="190"/>
      <c r="M513" s="190"/>
      <c r="N513" s="190"/>
      <c r="O513" s="190"/>
      <c r="P513" s="190"/>
      <c r="Q513" s="190"/>
    </row>
    <row r="514" spans="1:17" s="3" customFormat="1">
      <c r="A514" s="81" t="s">
        <v>32</v>
      </c>
      <c r="B514" s="145">
        <v>774</v>
      </c>
      <c r="C514" s="83" t="s">
        <v>26</v>
      </c>
      <c r="D514" s="83" t="s">
        <v>19</v>
      </c>
      <c r="E514" s="83" t="s">
        <v>731</v>
      </c>
      <c r="F514" s="83" t="s">
        <v>33</v>
      </c>
      <c r="G514" s="86">
        <v>0</v>
      </c>
      <c r="H514" s="86">
        <v>0</v>
      </c>
      <c r="I514" s="171"/>
      <c r="J514" s="190"/>
      <c r="K514" s="190"/>
      <c r="L514" s="190"/>
      <c r="M514" s="190"/>
      <c r="N514" s="190"/>
      <c r="O514" s="190"/>
      <c r="P514" s="190"/>
      <c r="Q514" s="190"/>
    </row>
    <row r="515" spans="1:17" ht="25.5" customHeight="1">
      <c r="A515" s="81" t="s">
        <v>294</v>
      </c>
      <c r="B515" s="145">
        <v>774</v>
      </c>
      <c r="C515" s="83" t="s">
        <v>26</v>
      </c>
      <c r="D515" s="83" t="s">
        <v>19</v>
      </c>
      <c r="E515" s="83" t="s">
        <v>293</v>
      </c>
      <c r="F515" s="145"/>
      <c r="G515" s="86">
        <f t="shared" ref="G515:H516" si="122">G516</f>
        <v>1000881.08</v>
      </c>
      <c r="H515" s="86">
        <f t="shared" si="122"/>
        <v>1000881.08</v>
      </c>
      <c r="I515" s="171"/>
    </row>
    <row r="516" spans="1:17" ht="25.5" customHeight="1">
      <c r="A516" s="81" t="s">
        <v>30</v>
      </c>
      <c r="B516" s="145">
        <v>774</v>
      </c>
      <c r="C516" s="83" t="s">
        <v>26</v>
      </c>
      <c r="D516" s="83" t="s">
        <v>19</v>
      </c>
      <c r="E516" s="83" t="s">
        <v>293</v>
      </c>
      <c r="F516" s="83" t="s">
        <v>31</v>
      </c>
      <c r="G516" s="86">
        <f t="shared" si="122"/>
        <v>1000881.08</v>
      </c>
      <c r="H516" s="86">
        <f t="shared" si="122"/>
        <v>1000881.08</v>
      </c>
      <c r="I516" s="171"/>
    </row>
    <row r="517" spans="1:17" ht="25.5" customHeight="1">
      <c r="A517" s="81" t="s">
        <v>32</v>
      </c>
      <c r="B517" s="145">
        <v>774</v>
      </c>
      <c r="C517" s="83" t="s">
        <v>26</v>
      </c>
      <c r="D517" s="83" t="s">
        <v>19</v>
      </c>
      <c r="E517" s="83" t="s">
        <v>293</v>
      </c>
      <c r="F517" s="83" t="s">
        <v>33</v>
      </c>
      <c r="G517" s="86">
        <f>927003+200000-126121.92</f>
        <v>1000881.08</v>
      </c>
      <c r="H517" s="86">
        <v>1000881.08</v>
      </c>
      <c r="I517" s="171"/>
    </row>
    <row r="518" spans="1:17" ht="96" hidden="1" customHeight="1">
      <c r="A518" s="81" t="s">
        <v>4</v>
      </c>
      <c r="B518" s="145">
        <v>774</v>
      </c>
      <c r="C518" s="83" t="s">
        <v>26</v>
      </c>
      <c r="D518" s="83" t="s">
        <v>19</v>
      </c>
      <c r="E518" s="83" t="s">
        <v>5</v>
      </c>
      <c r="F518" s="145"/>
      <c r="G518" s="86">
        <f t="shared" ref="G518:H519" si="123">G519</f>
        <v>0</v>
      </c>
      <c r="H518" s="86">
        <f t="shared" si="123"/>
        <v>0</v>
      </c>
      <c r="I518" s="171"/>
    </row>
    <row r="519" spans="1:17" ht="25.5" hidden="1" customHeight="1">
      <c r="A519" s="81" t="s">
        <v>30</v>
      </c>
      <c r="B519" s="145">
        <v>774</v>
      </c>
      <c r="C519" s="83" t="s">
        <v>26</v>
      </c>
      <c r="D519" s="83" t="s">
        <v>19</v>
      </c>
      <c r="E519" s="83" t="s">
        <v>5</v>
      </c>
      <c r="F519" s="83" t="s">
        <v>31</v>
      </c>
      <c r="G519" s="86">
        <f t="shared" si="123"/>
        <v>0</v>
      </c>
      <c r="H519" s="86">
        <f t="shared" si="123"/>
        <v>0</v>
      </c>
      <c r="I519" s="171"/>
    </row>
    <row r="520" spans="1:17" ht="25.5" hidden="1" customHeight="1">
      <c r="A520" s="81" t="s">
        <v>32</v>
      </c>
      <c r="B520" s="145">
        <v>774</v>
      </c>
      <c r="C520" s="83" t="s">
        <v>26</v>
      </c>
      <c r="D520" s="83" t="s">
        <v>19</v>
      </c>
      <c r="E520" s="83" t="s">
        <v>5</v>
      </c>
      <c r="F520" s="83" t="s">
        <v>33</v>
      </c>
      <c r="G520" s="86"/>
      <c r="H520" s="86"/>
      <c r="I520" s="171"/>
    </row>
    <row r="521" spans="1:17" ht="96" hidden="1" customHeight="1">
      <c r="A521" s="129" t="s">
        <v>42</v>
      </c>
      <c r="B521" s="145">
        <v>774</v>
      </c>
      <c r="C521" s="83" t="s">
        <v>26</v>
      </c>
      <c r="D521" s="83" t="s">
        <v>19</v>
      </c>
      <c r="E521" s="83" t="s">
        <v>41</v>
      </c>
      <c r="F521" s="145"/>
      <c r="G521" s="86">
        <f t="shared" ref="G521:H522" si="124">G522</f>
        <v>0</v>
      </c>
      <c r="H521" s="86">
        <f t="shared" si="124"/>
        <v>0</v>
      </c>
      <c r="I521" s="171"/>
    </row>
    <row r="522" spans="1:17" ht="25.5" hidden="1" customHeight="1">
      <c r="A522" s="81" t="s">
        <v>30</v>
      </c>
      <c r="B522" s="145">
        <v>774</v>
      </c>
      <c r="C522" s="83" t="s">
        <v>26</v>
      </c>
      <c r="D522" s="83" t="s">
        <v>19</v>
      </c>
      <c r="E522" s="83" t="s">
        <v>5</v>
      </c>
      <c r="F522" s="83" t="s">
        <v>31</v>
      </c>
      <c r="G522" s="86">
        <f t="shared" si="124"/>
        <v>0</v>
      </c>
      <c r="H522" s="86">
        <f t="shared" si="124"/>
        <v>0</v>
      </c>
      <c r="I522" s="171"/>
    </row>
    <row r="523" spans="1:17" ht="25.5" hidden="1" customHeight="1">
      <c r="A523" s="81" t="s">
        <v>32</v>
      </c>
      <c r="B523" s="145">
        <v>774</v>
      </c>
      <c r="C523" s="83" t="s">
        <v>26</v>
      </c>
      <c r="D523" s="83" t="s">
        <v>19</v>
      </c>
      <c r="E523" s="83" t="s">
        <v>5</v>
      </c>
      <c r="F523" s="83" t="s">
        <v>33</v>
      </c>
      <c r="G523" s="86"/>
      <c r="H523" s="86"/>
      <c r="I523" s="171"/>
    </row>
    <row r="524" spans="1:17" ht="48" hidden="1" customHeight="1">
      <c r="A524" s="81" t="s">
        <v>387</v>
      </c>
      <c r="B524" s="145">
        <v>774</v>
      </c>
      <c r="C524" s="83" t="s">
        <v>26</v>
      </c>
      <c r="D524" s="83" t="s">
        <v>19</v>
      </c>
      <c r="E524" s="83" t="s">
        <v>383</v>
      </c>
      <c r="F524" s="83"/>
      <c r="G524" s="86">
        <f>G525</f>
        <v>0</v>
      </c>
      <c r="H524" s="86">
        <f>H525</f>
        <v>0</v>
      </c>
      <c r="I524" s="171"/>
    </row>
    <row r="525" spans="1:17" ht="25.5" hidden="1" customHeight="1">
      <c r="A525" s="81" t="s">
        <v>32</v>
      </c>
      <c r="B525" s="145">
        <v>774</v>
      </c>
      <c r="C525" s="83" t="s">
        <v>26</v>
      </c>
      <c r="D525" s="83" t="s">
        <v>19</v>
      </c>
      <c r="E525" s="83" t="s">
        <v>383</v>
      </c>
      <c r="F525" s="83" t="s">
        <v>33</v>
      </c>
      <c r="G525" s="86"/>
      <c r="H525" s="86"/>
      <c r="I525" s="171"/>
    </row>
    <row r="526" spans="1:17" s="3" customFormat="1" hidden="1">
      <c r="A526" s="81" t="s">
        <v>1</v>
      </c>
      <c r="B526" s="145">
        <v>774</v>
      </c>
      <c r="C526" s="83" t="s">
        <v>26</v>
      </c>
      <c r="D526" s="83" t="s">
        <v>19</v>
      </c>
      <c r="E526" s="83" t="s">
        <v>219</v>
      </c>
      <c r="F526" s="83"/>
      <c r="G526" s="86">
        <f t="shared" ref="G526:H527" si="125">G527</f>
        <v>0</v>
      </c>
      <c r="H526" s="86">
        <f t="shared" si="125"/>
        <v>0</v>
      </c>
      <c r="I526" s="171"/>
      <c r="J526" s="190"/>
      <c r="K526" s="190"/>
      <c r="L526" s="190"/>
      <c r="M526" s="190"/>
      <c r="N526" s="190"/>
      <c r="O526" s="190"/>
      <c r="P526" s="190"/>
      <c r="Q526" s="190"/>
    </row>
    <row r="527" spans="1:17" s="3" customFormat="1" ht="25.5" hidden="1">
      <c r="A527" s="81" t="s">
        <v>30</v>
      </c>
      <c r="B527" s="145">
        <v>774</v>
      </c>
      <c r="C527" s="83" t="s">
        <v>26</v>
      </c>
      <c r="D527" s="83" t="s">
        <v>19</v>
      </c>
      <c r="E527" s="83" t="s">
        <v>219</v>
      </c>
      <c r="F527" s="83" t="s">
        <v>31</v>
      </c>
      <c r="G527" s="86">
        <f t="shared" si="125"/>
        <v>0</v>
      </c>
      <c r="H527" s="86">
        <f t="shared" si="125"/>
        <v>0</v>
      </c>
      <c r="I527" s="171"/>
      <c r="J527" s="190"/>
      <c r="K527" s="190"/>
      <c r="L527" s="190"/>
      <c r="M527" s="190"/>
      <c r="N527" s="190"/>
      <c r="O527" s="190"/>
      <c r="P527" s="190"/>
      <c r="Q527" s="190"/>
    </row>
    <row r="528" spans="1:17" s="3" customFormat="1" hidden="1">
      <c r="A528" s="81" t="s">
        <v>32</v>
      </c>
      <c r="B528" s="145">
        <v>774</v>
      </c>
      <c r="C528" s="83" t="s">
        <v>26</v>
      </c>
      <c r="D528" s="83" t="s">
        <v>19</v>
      </c>
      <c r="E528" s="83" t="s">
        <v>219</v>
      </c>
      <c r="F528" s="83" t="s">
        <v>33</v>
      </c>
      <c r="G528" s="86">
        <v>0</v>
      </c>
      <c r="H528" s="86"/>
      <c r="I528" s="171"/>
      <c r="J528" s="190"/>
      <c r="K528" s="190"/>
      <c r="L528" s="190"/>
      <c r="M528" s="190"/>
      <c r="N528" s="190"/>
      <c r="O528" s="190"/>
      <c r="P528" s="190"/>
      <c r="Q528" s="190"/>
    </row>
    <row r="529" spans="1:17" s="3" customFormat="1" ht="54.75" hidden="1" customHeight="1">
      <c r="A529" s="81" t="s">
        <v>741</v>
      </c>
      <c r="B529" s="145">
        <v>774</v>
      </c>
      <c r="C529" s="83" t="s">
        <v>26</v>
      </c>
      <c r="D529" s="83" t="s">
        <v>19</v>
      </c>
      <c r="E529" s="83" t="s">
        <v>729</v>
      </c>
      <c r="F529" s="83"/>
      <c r="G529" s="86">
        <f t="shared" ref="G529:H530" si="126">G530</f>
        <v>0</v>
      </c>
      <c r="H529" s="86">
        <f t="shared" si="126"/>
        <v>0</v>
      </c>
      <c r="I529" s="171"/>
      <c r="J529" s="190"/>
      <c r="K529" s="190"/>
      <c r="L529" s="190"/>
      <c r="M529" s="190"/>
      <c r="N529" s="190"/>
      <c r="O529" s="190"/>
      <c r="P529" s="190"/>
      <c r="Q529" s="190"/>
    </row>
    <row r="530" spans="1:17" s="3" customFormat="1" ht="25.5" hidden="1">
      <c r="A530" s="81" t="s">
        <v>30</v>
      </c>
      <c r="B530" s="145">
        <v>774</v>
      </c>
      <c r="C530" s="83" t="s">
        <v>26</v>
      </c>
      <c r="D530" s="83" t="s">
        <v>19</v>
      </c>
      <c r="E530" s="83" t="s">
        <v>729</v>
      </c>
      <c r="F530" s="83" t="s">
        <v>31</v>
      </c>
      <c r="G530" s="86">
        <f t="shared" si="126"/>
        <v>0</v>
      </c>
      <c r="H530" s="86">
        <f t="shared" si="126"/>
        <v>0</v>
      </c>
      <c r="I530" s="171"/>
      <c r="J530" s="190"/>
      <c r="K530" s="190"/>
      <c r="L530" s="190"/>
      <c r="M530" s="190"/>
      <c r="N530" s="190"/>
      <c r="O530" s="190"/>
      <c r="P530" s="190"/>
      <c r="Q530" s="190"/>
    </row>
    <row r="531" spans="1:17" s="3" customFormat="1" hidden="1">
      <c r="A531" s="81" t="s">
        <v>32</v>
      </c>
      <c r="B531" s="145">
        <v>774</v>
      </c>
      <c r="C531" s="83" t="s">
        <v>26</v>
      </c>
      <c r="D531" s="83" t="s">
        <v>19</v>
      </c>
      <c r="E531" s="83" t="s">
        <v>729</v>
      </c>
      <c r="F531" s="83" t="s">
        <v>33</v>
      </c>
      <c r="G531" s="86"/>
      <c r="H531" s="86"/>
      <c r="I531" s="171"/>
      <c r="J531" s="190"/>
      <c r="K531" s="190"/>
      <c r="L531" s="190"/>
      <c r="M531" s="190"/>
      <c r="N531" s="190"/>
      <c r="O531" s="190"/>
      <c r="P531" s="190"/>
      <c r="Q531" s="190"/>
    </row>
    <row r="532" spans="1:17" s="3" customFormat="1" ht="38.25">
      <c r="A532" s="81" t="s">
        <v>814</v>
      </c>
      <c r="B532" s="145">
        <v>774</v>
      </c>
      <c r="C532" s="83" t="s">
        <v>26</v>
      </c>
      <c r="D532" s="83" t="s">
        <v>19</v>
      </c>
      <c r="E532" s="83" t="s">
        <v>442</v>
      </c>
      <c r="F532" s="83"/>
      <c r="G532" s="86">
        <f>G533</f>
        <v>0</v>
      </c>
      <c r="H532" s="86">
        <f t="shared" ref="H532" si="127">H533</f>
        <v>0</v>
      </c>
      <c r="I532" s="171"/>
      <c r="J532" s="190"/>
      <c r="K532" s="190"/>
      <c r="L532" s="190"/>
      <c r="M532" s="190"/>
      <c r="N532" s="190"/>
      <c r="O532" s="190"/>
      <c r="P532" s="190"/>
      <c r="Q532" s="190"/>
    </row>
    <row r="533" spans="1:17" s="3" customFormat="1" ht="33" customHeight="1">
      <c r="A533" s="81" t="s">
        <v>30</v>
      </c>
      <c r="B533" s="145">
        <v>774</v>
      </c>
      <c r="C533" s="83" t="s">
        <v>26</v>
      </c>
      <c r="D533" s="83" t="s">
        <v>19</v>
      </c>
      <c r="E533" s="83" t="s">
        <v>442</v>
      </c>
      <c r="F533" s="83" t="s">
        <v>31</v>
      </c>
      <c r="G533" s="86">
        <f>G534</f>
        <v>0</v>
      </c>
      <c r="H533" s="86">
        <f t="shared" ref="H533" si="128">H534</f>
        <v>0</v>
      </c>
      <c r="I533" s="171"/>
      <c r="J533" s="190"/>
      <c r="K533" s="190"/>
      <c r="L533" s="190"/>
      <c r="M533" s="190"/>
      <c r="N533" s="190"/>
      <c r="O533" s="190"/>
      <c r="P533" s="190"/>
      <c r="Q533" s="190"/>
    </row>
    <row r="534" spans="1:17" s="3" customFormat="1">
      <c r="A534" s="81" t="s">
        <v>32</v>
      </c>
      <c r="B534" s="145">
        <v>774</v>
      </c>
      <c r="C534" s="83" t="s">
        <v>26</v>
      </c>
      <c r="D534" s="83" t="s">
        <v>19</v>
      </c>
      <c r="E534" s="83" t="s">
        <v>442</v>
      </c>
      <c r="F534" s="83" t="s">
        <v>33</v>
      </c>
      <c r="G534" s="86">
        <v>0</v>
      </c>
      <c r="H534" s="86">
        <v>0</v>
      </c>
      <c r="I534" s="171"/>
      <c r="J534" s="190"/>
      <c r="K534" s="190"/>
      <c r="L534" s="190"/>
      <c r="M534" s="190"/>
      <c r="N534" s="190"/>
      <c r="O534" s="190"/>
      <c r="P534" s="190"/>
      <c r="Q534" s="190"/>
    </row>
    <row r="535" spans="1:17" s="3" customFormat="1" hidden="1">
      <c r="A535" s="81"/>
      <c r="B535" s="145"/>
      <c r="C535" s="83"/>
      <c r="D535" s="83"/>
      <c r="E535" s="83"/>
      <c r="F535" s="83"/>
      <c r="G535" s="86"/>
      <c r="H535" s="86"/>
      <c r="I535" s="171"/>
      <c r="J535" s="190"/>
      <c r="K535" s="190"/>
      <c r="L535" s="190"/>
      <c r="M535" s="190"/>
      <c r="N535" s="190"/>
      <c r="O535" s="190"/>
      <c r="P535" s="190"/>
      <c r="Q535" s="190"/>
    </row>
    <row r="536" spans="1:17" s="3" customFormat="1" ht="33" hidden="1" customHeight="1">
      <c r="A536" s="81"/>
      <c r="B536" s="145"/>
      <c r="C536" s="83"/>
      <c r="D536" s="83"/>
      <c r="E536" s="83"/>
      <c r="F536" s="83"/>
      <c r="G536" s="86"/>
      <c r="H536" s="86"/>
      <c r="I536" s="171"/>
      <c r="J536" s="190"/>
      <c r="K536" s="190"/>
      <c r="L536" s="190"/>
      <c r="M536" s="190"/>
      <c r="N536" s="190"/>
      <c r="O536" s="190"/>
      <c r="P536" s="190"/>
      <c r="Q536" s="190"/>
    </row>
    <row r="537" spans="1:17" s="3" customFormat="1" hidden="1">
      <c r="A537" s="81"/>
      <c r="B537" s="145"/>
      <c r="C537" s="83"/>
      <c r="D537" s="83"/>
      <c r="E537" s="83"/>
      <c r="F537" s="83"/>
      <c r="G537" s="86"/>
      <c r="H537" s="86"/>
      <c r="I537" s="171"/>
      <c r="J537" s="190"/>
      <c r="K537" s="190"/>
      <c r="L537" s="190"/>
      <c r="M537" s="190"/>
      <c r="N537" s="190"/>
      <c r="O537" s="190"/>
      <c r="P537" s="190"/>
      <c r="Q537" s="190"/>
    </row>
    <row r="538" spans="1:17" s="3" customFormat="1" ht="30.75" hidden="1" customHeight="1">
      <c r="A538" s="81" t="s">
        <v>724</v>
      </c>
      <c r="B538" s="145">
        <v>774</v>
      </c>
      <c r="C538" s="83" t="s">
        <v>26</v>
      </c>
      <c r="D538" s="83" t="s">
        <v>19</v>
      </c>
      <c r="E538" s="83" t="s">
        <v>725</v>
      </c>
      <c r="F538" s="83"/>
      <c r="G538" s="86">
        <f>G539</f>
        <v>0</v>
      </c>
      <c r="H538" s="86">
        <f>H540</f>
        <v>0</v>
      </c>
      <c r="I538" s="171"/>
      <c r="J538" s="190"/>
      <c r="K538" s="190"/>
      <c r="L538" s="190"/>
      <c r="M538" s="190"/>
      <c r="N538" s="190"/>
      <c r="O538" s="190"/>
      <c r="P538" s="190"/>
      <c r="Q538" s="190"/>
    </row>
    <row r="539" spans="1:17" s="3" customFormat="1" ht="29.25" hidden="1" customHeight="1">
      <c r="A539" s="81" t="s">
        <v>30</v>
      </c>
      <c r="B539" s="145">
        <v>774</v>
      </c>
      <c r="C539" s="83" t="s">
        <v>26</v>
      </c>
      <c r="D539" s="83" t="s">
        <v>19</v>
      </c>
      <c r="E539" s="83" t="s">
        <v>725</v>
      </c>
      <c r="F539" s="83" t="s">
        <v>31</v>
      </c>
      <c r="G539" s="86">
        <f>G540</f>
        <v>0</v>
      </c>
      <c r="H539" s="86">
        <v>0</v>
      </c>
      <c r="I539" s="171"/>
      <c r="J539" s="190"/>
      <c r="K539" s="190"/>
      <c r="L539" s="190"/>
      <c r="M539" s="190"/>
      <c r="N539" s="190"/>
      <c r="O539" s="190"/>
      <c r="P539" s="190"/>
      <c r="Q539" s="190"/>
    </row>
    <row r="540" spans="1:17" s="3" customFormat="1" hidden="1">
      <c r="A540" s="81" t="s">
        <v>32</v>
      </c>
      <c r="B540" s="145">
        <v>774</v>
      </c>
      <c r="C540" s="83" t="s">
        <v>26</v>
      </c>
      <c r="D540" s="83" t="s">
        <v>19</v>
      </c>
      <c r="E540" s="83" t="s">
        <v>725</v>
      </c>
      <c r="F540" s="83" t="s">
        <v>33</v>
      </c>
      <c r="G540" s="86">
        <v>0</v>
      </c>
      <c r="H540" s="86">
        <v>0</v>
      </c>
      <c r="I540" s="171"/>
      <c r="J540" s="190"/>
      <c r="K540" s="190"/>
      <c r="L540" s="190"/>
      <c r="M540" s="190"/>
      <c r="N540" s="190"/>
      <c r="O540" s="190"/>
      <c r="P540" s="190"/>
      <c r="Q540" s="190"/>
    </row>
    <row r="541" spans="1:17" s="18" customFormat="1" ht="25.5" hidden="1" customHeight="1">
      <c r="A541" s="131" t="s">
        <v>477</v>
      </c>
      <c r="B541" s="145">
        <v>774</v>
      </c>
      <c r="C541" s="83" t="s">
        <v>26</v>
      </c>
      <c r="D541" s="83" t="s">
        <v>19</v>
      </c>
      <c r="E541" s="83" t="s">
        <v>220</v>
      </c>
      <c r="F541" s="83"/>
      <c r="G541" s="86">
        <f t="shared" ref="G541:H543" si="129">G542</f>
        <v>0</v>
      </c>
      <c r="H541" s="86">
        <f t="shared" si="129"/>
        <v>0</v>
      </c>
      <c r="I541" s="171"/>
      <c r="J541" s="191"/>
      <c r="K541" s="191"/>
      <c r="L541" s="191"/>
      <c r="M541" s="191"/>
      <c r="N541" s="191"/>
      <c r="O541" s="191"/>
      <c r="P541" s="191"/>
      <c r="Q541" s="191"/>
    </row>
    <row r="542" spans="1:17" s="18" customFormat="1" ht="25.5" hidden="1">
      <c r="A542" s="81" t="s">
        <v>99</v>
      </c>
      <c r="B542" s="83" t="s">
        <v>94</v>
      </c>
      <c r="C542" s="83" t="s">
        <v>26</v>
      </c>
      <c r="D542" s="83" t="s">
        <v>19</v>
      </c>
      <c r="E542" s="83" t="s">
        <v>221</v>
      </c>
      <c r="F542" s="83"/>
      <c r="G542" s="86">
        <f t="shared" si="129"/>
        <v>0</v>
      </c>
      <c r="H542" s="86">
        <f t="shared" si="129"/>
        <v>0</v>
      </c>
      <c r="I542" s="171"/>
      <c r="J542" s="191"/>
      <c r="K542" s="191"/>
      <c r="L542" s="191"/>
      <c r="M542" s="191"/>
      <c r="N542" s="191"/>
      <c r="O542" s="191"/>
      <c r="P542" s="191"/>
      <c r="Q542" s="191"/>
    </row>
    <row r="543" spans="1:17" s="18" customFormat="1" ht="30.75" hidden="1" customHeight="1">
      <c r="A543" s="81" t="s">
        <v>30</v>
      </c>
      <c r="B543" s="83" t="s">
        <v>94</v>
      </c>
      <c r="C543" s="83" t="s">
        <v>26</v>
      </c>
      <c r="D543" s="83" t="s">
        <v>19</v>
      </c>
      <c r="E543" s="83" t="s">
        <v>221</v>
      </c>
      <c r="F543" s="83" t="s">
        <v>31</v>
      </c>
      <c r="G543" s="86">
        <f t="shared" si="129"/>
        <v>0</v>
      </c>
      <c r="H543" s="86">
        <f t="shared" si="129"/>
        <v>0</v>
      </c>
      <c r="I543" s="171"/>
      <c r="J543" s="191"/>
      <c r="K543" s="191"/>
      <c r="L543" s="191"/>
      <c r="M543" s="191"/>
      <c r="N543" s="191"/>
      <c r="O543" s="191"/>
      <c r="P543" s="191"/>
      <c r="Q543" s="191"/>
    </row>
    <row r="544" spans="1:17" s="18" customFormat="1" hidden="1">
      <c r="A544" s="81" t="s">
        <v>32</v>
      </c>
      <c r="B544" s="83" t="s">
        <v>94</v>
      </c>
      <c r="C544" s="83" t="s">
        <v>26</v>
      </c>
      <c r="D544" s="83" t="s">
        <v>19</v>
      </c>
      <c r="E544" s="83" t="s">
        <v>221</v>
      </c>
      <c r="F544" s="83" t="s">
        <v>33</v>
      </c>
      <c r="G544" s="86"/>
      <c r="H544" s="86"/>
      <c r="I544" s="171"/>
      <c r="J544" s="191"/>
      <c r="K544" s="191"/>
      <c r="L544" s="191"/>
      <c r="M544" s="191"/>
      <c r="N544" s="191"/>
      <c r="O544" s="191"/>
      <c r="P544" s="191"/>
      <c r="Q544" s="191"/>
    </row>
    <row r="545" spans="1:17" s="18" customFormat="1" ht="25.5" hidden="1">
      <c r="A545" s="81" t="s">
        <v>169</v>
      </c>
      <c r="B545" s="83" t="s">
        <v>94</v>
      </c>
      <c r="C545" s="83" t="s">
        <v>26</v>
      </c>
      <c r="D545" s="83" t="s">
        <v>19</v>
      </c>
      <c r="E545" s="83" t="s">
        <v>233</v>
      </c>
      <c r="F545" s="83"/>
      <c r="G545" s="86">
        <f>G546</f>
        <v>0</v>
      </c>
      <c r="H545" s="86">
        <v>0</v>
      </c>
      <c r="I545" s="171"/>
      <c r="J545" s="191"/>
      <c r="K545" s="191"/>
      <c r="L545" s="191"/>
      <c r="M545" s="191"/>
      <c r="N545" s="191"/>
      <c r="O545" s="191"/>
      <c r="P545" s="191"/>
      <c r="Q545" s="191"/>
    </row>
    <row r="546" spans="1:17" s="18" customFormat="1" ht="47.25" hidden="1" customHeight="1">
      <c r="A546" s="81" t="s">
        <v>169</v>
      </c>
      <c r="B546" s="83" t="s">
        <v>94</v>
      </c>
      <c r="C546" s="83" t="s">
        <v>26</v>
      </c>
      <c r="D546" s="83" t="s">
        <v>19</v>
      </c>
      <c r="E546" s="83" t="s">
        <v>275</v>
      </c>
      <c r="F546" s="83"/>
      <c r="G546" s="86">
        <f>G547</f>
        <v>0</v>
      </c>
      <c r="H546" s="86">
        <f t="shared" ref="H546:H547" si="130">H547</f>
        <v>0</v>
      </c>
      <c r="I546" s="171"/>
      <c r="J546" s="191"/>
      <c r="K546" s="191"/>
      <c r="L546" s="191"/>
      <c r="M546" s="191"/>
      <c r="N546" s="191"/>
      <c r="O546" s="191"/>
      <c r="P546" s="191"/>
      <c r="Q546" s="191"/>
    </row>
    <row r="547" spans="1:17" s="18" customFormat="1" ht="25.5" hidden="1">
      <c r="A547" s="81" t="s">
        <v>30</v>
      </c>
      <c r="B547" s="83" t="s">
        <v>94</v>
      </c>
      <c r="C547" s="83" t="s">
        <v>26</v>
      </c>
      <c r="D547" s="83" t="s">
        <v>19</v>
      </c>
      <c r="E547" s="83" t="s">
        <v>275</v>
      </c>
      <c r="F547" s="83" t="s">
        <v>31</v>
      </c>
      <c r="G547" s="86">
        <f>G548</f>
        <v>0</v>
      </c>
      <c r="H547" s="86">
        <f t="shared" si="130"/>
        <v>0</v>
      </c>
      <c r="I547" s="171"/>
      <c r="J547" s="191"/>
      <c r="K547" s="191"/>
      <c r="L547" s="191"/>
      <c r="M547" s="191"/>
      <c r="N547" s="191"/>
      <c r="O547" s="191"/>
      <c r="P547" s="191"/>
      <c r="Q547" s="191"/>
    </row>
    <row r="548" spans="1:17" s="18" customFormat="1" hidden="1">
      <c r="A548" s="81" t="s">
        <v>32</v>
      </c>
      <c r="B548" s="83" t="s">
        <v>94</v>
      </c>
      <c r="C548" s="83" t="s">
        <v>26</v>
      </c>
      <c r="D548" s="83" t="s">
        <v>19</v>
      </c>
      <c r="E548" s="83" t="s">
        <v>275</v>
      </c>
      <c r="F548" s="83" t="s">
        <v>33</v>
      </c>
      <c r="G548" s="86"/>
      <c r="H548" s="86">
        <v>0</v>
      </c>
      <c r="I548" s="171"/>
      <c r="J548" s="191"/>
      <c r="K548" s="191"/>
      <c r="L548" s="191"/>
      <c r="M548" s="191"/>
      <c r="N548" s="191"/>
      <c r="O548" s="191"/>
      <c r="P548" s="191"/>
      <c r="Q548" s="191"/>
    </row>
    <row r="549" spans="1:17" ht="22.5" customHeight="1">
      <c r="A549" s="131" t="s">
        <v>27</v>
      </c>
      <c r="B549" s="83" t="s">
        <v>94</v>
      </c>
      <c r="C549" s="83" t="s">
        <v>26</v>
      </c>
      <c r="D549" s="83" t="s">
        <v>28</v>
      </c>
      <c r="E549" s="83"/>
      <c r="F549" s="83"/>
      <c r="G549" s="86">
        <f>G554+G729+G737+G748+G752+G733+G755+G765+G782+G775+G789+G550</f>
        <v>767332492.10000002</v>
      </c>
      <c r="H549" s="86">
        <f>H554+H729+H737+H748+H752+H733+H755+H765+H782+H775+H789+H550</f>
        <v>766769758.89999998</v>
      </c>
      <c r="I549" s="171"/>
    </row>
    <row r="550" spans="1:17" ht="55.5" customHeight="1">
      <c r="A550" s="131" t="s">
        <v>1079</v>
      </c>
      <c r="B550" s="83" t="s">
        <v>94</v>
      </c>
      <c r="C550" s="83" t="s">
        <v>26</v>
      </c>
      <c r="D550" s="83" t="s">
        <v>28</v>
      </c>
      <c r="E550" s="83" t="s">
        <v>214</v>
      </c>
      <c r="F550" s="83"/>
      <c r="G550" s="86">
        <f>G551</f>
        <v>478000</v>
      </c>
      <c r="H550" s="86">
        <f t="shared" ref="H550" si="131">H551</f>
        <v>478000</v>
      </c>
      <c r="I550" s="171"/>
    </row>
    <row r="551" spans="1:17" ht="41.25" customHeight="1">
      <c r="A551" s="131" t="s">
        <v>1103</v>
      </c>
      <c r="B551" s="83" t="s">
        <v>94</v>
      </c>
      <c r="C551" s="83" t="s">
        <v>26</v>
      </c>
      <c r="D551" s="83" t="s">
        <v>28</v>
      </c>
      <c r="E551" s="83" t="s">
        <v>1102</v>
      </c>
      <c r="F551" s="83"/>
      <c r="G551" s="86">
        <f>G552</f>
        <v>478000</v>
      </c>
      <c r="H551" s="86">
        <f t="shared" ref="H551" si="132">H552</f>
        <v>478000</v>
      </c>
      <c r="I551" s="171"/>
    </row>
    <row r="552" spans="1:17" ht="36" customHeight="1">
      <c r="A552" s="131" t="s">
        <v>96</v>
      </c>
      <c r="B552" s="83" t="s">
        <v>94</v>
      </c>
      <c r="C552" s="83" t="s">
        <v>26</v>
      </c>
      <c r="D552" s="83" t="s">
        <v>28</v>
      </c>
      <c r="E552" s="83" t="s">
        <v>1102</v>
      </c>
      <c r="F552" s="83" t="s">
        <v>348</v>
      </c>
      <c r="G552" s="86">
        <f>G553</f>
        <v>478000</v>
      </c>
      <c r="H552" s="86">
        <f t="shared" ref="H552" si="133">H553</f>
        <v>478000</v>
      </c>
      <c r="I552" s="171"/>
    </row>
    <row r="553" spans="1:17" ht="108" customHeight="1">
      <c r="A553" s="131" t="s">
        <v>419</v>
      </c>
      <c r="B553" s="83" t="s">
        <v>94</v>
      </c>
      <c r="C553" s="83" t="s">
        <v>26</v>
      </c>
      <c r="D553" s="83" t="s">
        <v>28</v>
      </c>
      <c r="E553" s="83" t="s">
        <v>1102</v>
      </c>
      <c r="F553" s="83" t="s">
        <v>418</v>
      </c>
      <c r="G553" s="86">
        <v>478000</v>
      </c>
      <c r="H553" s="86">
        <v>478000</v>
      </c>
      <c r="I553" s="171"/>
    </row>
    <row r="554" spans="1:17" s="28" customFormat="1" ht="25.5">
      <c r="A554" s="81" t="s">
        <v>473</v>
      </c>
      <c r="B554" s="83" t="s">
        <v>94</v>
      </c>
      <c r="C554" s="83" t="s">
        <v>26</v>
      </c>
      <c r="D554" s="83" t="s">
        <v>28</v>
      </c>
      <c r="E554" s="83" t="s">
        <v>189</v>
      </c>
      <c r="F554" s="163"/>
      <c r="G554" s="86">
        <f>G555+G637+G725</f>
        <v>765432144.10000002</v>
      </c>
      <c r="H554" s="86">
        <f>H555+H637+H725</f>
        <v>764869410.89999998</v>
      </c>
      <c r="I554" s="171"/>
      <c r="J554" s="195"/>
      <c r="K554" s="195"/>
      <c r="L554" s="195"/>
      <c r="M554" s="201"/>
      <c r="N554" s="195"/>
      <c r="O554" s="195"/>
      <c r="P554" s="195"/>
      <c r="Q554" s="195"/>
    </row>
    <row r="555" spans="1:17" ht="30.75" customHeight="1">
      <c r="A555" s="81" t="s">
        <v>90</v>
      </c>
      <c r="B555" s="83" t="s">
        <v>94</v>
      </c>
      <c r="C555" s="83" t="s">
        <v>26</v>
      </c>
      <c r="D555" s="83" t="s">
        <v>28</v>
      </c>
      <c r="E555" s="83" t="s">
        <v>215</v>
      </c>
      <c r="F555" s="83"/>
      <c r="G555" s="86">
        <f>G561+G564+G578+G583+G591+G594+G597+G609+G612+G624+G627+G630+G572+G584</f>
        <v>593549425.03999996</v>
      </c>
      <c r="H555" s="86">
        <f>H561+H564+H578+H583+H591+H594+H597+H609+H612+H624+H627+H630+H572+H584</f>
        <v>593511691.84000003</v>
      </c>
      <c r="I555" s="171"/>
      <c r="J555" s="171"/>
      <c r="K555" s="171"/>
      <c r="L555" s="171"/>
      <c r="M555" s="171"/>
      <c r="N555" s="171"/>
    </row>
    <row r="556" spans="1:17" ht="50.25" hidden="1" customHeight="1">
      <c r="A556" s="81" t="s">
        <v>643</v>
      </c>
      <c r="B556" s="83" t="s">
        <v>94</v>
      </c>
      <c r="C556" s="83" t="s">
        <v>26</v>
      </c>
      <c r="D556" s="83" t="s">
        <v>28</v>
      </c>
      <c r="E556" s="83" t="s">
        <v>642</v>
      </c>
      <c r="F556" s="83"/>
      <c r="G556" s="86">
        <f t="shared" ref="G556:H557" si="134">G557</f>
        <v>0</v>
      </c>
      <c r="H556" s="86">
        <f t="shared" si="134"/>
        <v>0</v>
      </c>
      <c r="I556" s="171"/>
    </row>
    <row r="557" spans="1:17" s="18" customFormat="1" ht="25.5" hidden="1">
      <c r="A557" s="81" t="s">
        <v>30</v>
      </c>
      <c r="B557" s="83" t="s">
        <v>94</v>
      </c>
      <c r="C557" s="83" t="s">
        <v>26</v>
      </c>
      <c r="D557" s="83" t="s">
        <v>28</v>
      </c>
      <c r="E557" s="83" t="s">
        <v>642</v>
      </c>
      <c r="F557" s="83" t="s">
        <v>31</v>
      </c>
      <c r="G557" s="86">
        <f t="shared" si="134"/>
        <v>0</v>
      </c>
      <c r="H557" s="86">
        <f>H558</f>
        <v>0</v>
      </c>
      <c r="I557" s="171"/>
      <c r="J557" s="191"/>
      <c r="K557" s="191"/>
      <c r="L557" s="206"/>
      <c r="M557" s="206"/>
      <c r="N557" s="191"/>
      <c r="O557" s="191"/>
      <c r="P557" s="191"/>
      <c r="Q557" s="191"/>
    </row>
    <row r="558" spans="1:17" s="18" customFormat="1" hidden="1">
      <c r="A558" s="81" t="s">
        <v>32</v>
      </c>
      <c r="B558" s="83" t="s">
        <v>94</v>
      </c>
      <c r="C558" s="83" t="s">
        <v>26</v>
      </c>
      <c r="D558" s="83" t="s">
        <v>28</v>
      </c>
      <c r="E558" s="83" t="s">
        <v>642</v>
      </c>
      <c r="F558" s="83" t="s">
        <v>33</v>
      </c>
      <c r="G558" s="86"/>
      <c r="H558" s="86"/>
      <c r="I558" s="171"/>
      <c r="J558" s="191"/>
      <c r="K558" s="191"/>
      <c r="L558" s="191"/>
      <c r="M558" s="191"/>
      <c r="N558" s="191"/>
      <c r="O558" s="191"/>
      <c r="P558" s="191"/>
      <c r="Q558" s="191"/>
    </row>
    <row r="559" spans="1:17" ht="50.25" customHeight="1">
      <c r="A559" s="81" t="s">
        <v>3</v>
      </c>
      <c r="B559" s="83" t="s">
        <v>94</v>
      </c>
      <c r="C559" s="83" t="s">
        <v>26</v>
      </c>
      <c r="D559" s="83" t="s">
        <v>28</v>
      </c>
      <c r="E559" s="83" t="s">
        <v>904</v>
      </c>
      <c r="F559" s="83"/>
      <c r="G559" s="86">
        <f t="shared" ref="G559:H560" si="135">G560</f>
        <v>39782767.390000001</v>
      </c>
      <c r="H559" s="86">
        <f t="shared" si="135"/>
        <v>39782767.390000001</v>
      </c>
      <c r="I559" s="171"/>
      <c r="J559" s="171"/>
      <c r="K559" s="171"/>
      <c r="P559" s="200"/>
    </row>
    <row r="560" spans="1:17" s="18" customFormat="1" ht="25.5">
      <c r="A560" s="81" t="s">
        <v>30</v>
      </c>
      <c r="B560" s="83" t="s">
        <v>94</v>
      </c>
      <c r="C560" s="83" t="s">
        <v>26</v>
      </c>
      <c r="D560" s="83" t="s">
        <v>28</v>
      </c>
      <c r="E560" s="83" t="s">
        <v>904</v>
      </c>
      <c r="F560" s="83" t="s">
        <v>31</v>
      </c>
      <c r="G560" s="86">
        <f t="shared" si="135"/>
        <v>39782767.390000001</v>
      </c>
      <c r="H560" s="86">
        <f t="shared" si="135"/>
        <v>39782767.390000001</v>
      </c>
      <c r="I560" s="171"/>
      <c r="J560" s="191"/>
      <c r="K560" s="191"/>
      <c r="L560" s="206"/>
      <c r="M560" s="206"/>
      <c r="N560" s="191"/>
      <c r="O560" s="191"/>
      <c r="P560" s="206"/>
      <c r="Q560" s="191"/>
    </row>
    <row r="561" spans="1:18" s="18" customFormat="1">
      <c r="A561" s="81" t="s">
        <v>32</v>
      </c>
      <c r="B561" s="83" t="s">
        <v>94</v>
      </c>
      <c r="C561" s="83" t="s">
        <v>26</v>
      </c>
      <c r="D561" s="83" t="s">
        <v>28</v>
      </c>
      <c r="E561" s="83" t="s">
        <v>904</v>
      </c>
      <c r="F561" s="83" t="s">
        <v>33</v>
      </c>
      <c r="G561" s="86">
        <v>39782767.390000001</v>
      </c>
      <c r="H561" s="86">
        <v>39782767.390000001</v>
      </c>
      <c r="I561" s="171"/>
      <c r="J561" s="191"/>
      <c r="K561" s="191"/>
      <c r="L561" s="191"/>
      <c r="M561" s="191"/>
      <c r="N561" s="191"/>
      <c r="O561" s="191"/>
      <c r="P561" s="191"/>
      <c r="Q561" s="191"/>
    </row>
    <row r="562" spans="1:18" s="18" customFormat="1" ht="15" customHeight="1">
      <c r="A562" s="81" t="s">
        <v>91</v>
      </c>
      <c r="B562" s="83" t="s">
        <v>94</v>
      </c>
      <c r="C562" s="83" t="s">
        <v>26</v>
      </c>
      <c r="D562" s="83" t="s">
        <v>28</v>
      </c>
      <c r="E562" s="83" t="s">
        <v>216</v>
      </c>
      <c r="F562" s="83"/>
      <c r="G562" s="86">
        <f t="shared" ref="G562:H563" si="136">G563</f>
        <v>380108987.50999999</v>
      </c>
      <c r="H562" s="86">
        <f t="shared" si="136"/>
        <v>380108987.50999999</v>
      </c>
      <c r="I562" s="171"/>
      <c r="J562" s="191"/>
      <c r="K562" s="191"/>
      <c r="L562" s="191"/>
      <c r="M562" s="191"/>
      <c r="N562" s="191"/>
      <c r="O562" s="191"/>
      <c r="P562" s="191"/>
      <c r="Q562" s="191"/>
    </row>
    <row r="563" spans="1:18" s="18" customFormat="1" ht="25.5">
      <c r="A563" s="81" t="s">
        <v>30</v>
      </c>
      <c r="B563" s="83" t="s">
        <v>94</v>
      </c>
      <c r="C563" s="83" t="s">
        <v>26</v>
      </c>
      <c r="D563" s="83" t="s">
        <v>28</v>
      </c>
      <c r="E563" s="83" t="s">
        <v>216</v>
      </c>
      <c r="F563" s="83" t="s">
        <v>31</v>
      </c>
      <c r="G563" s="86">
        <f t="shared" si="136"/>
        <v>380108987.50999999</v>
      </c>
      <c r="H563" s="86">
        <f t="shared" si="136"/>
        <v>380108987.50999999</v>
      </c>
      <c r="I563" s="171"/>
      <c r="J563" s="191"/>
      <c r="K563" s="191"/>
      <c r="L563" s="191"/>
      <c r="M563" s="191"/>
      <c r="N563" s="191"/>
      <c r="O563" s="191"/>
      <c r="P563" s="216"/>
      <c r="Q563" s="191"/>
    </row>
    <row r="564" spans="1:18" s="18" customFormat="1">
      <c r="A564" s="81" t="s">
        <v>32</v>
      </c>
      <c r="B564" s="83" t="s">
        <v>94</v>
      </c>
      <c r="C564" s="83" t="s">
        <v>26</v>
      </c>
      <c r="D564" s="83" t="s">
        <v>28</v>
      </c>
      <c r="E564" s="83" t="s">
        <v>134</v>
      </c>
      <c r="F564" s="83" t="s">
        <v>33</v>
      </c>
      <c r="G564" s="86">
        <v>380108987.50999999</v>
      </c>
      <c r="H564" s="86">
        <v>380108987.50999999</v>
      </c>
      <c r="I564" s="171"/>
      <c r="J564" s="191"/>
      <c r="K564" s="191"/>
      <c r="L564" s="191"/>
      <c r="M564" s="191"/>
      <c r="N564" s="191"/>
      <c r="O564" s="191"/>
      <c r="P564" s="191"/>
      <c r="Q564" s="191"/>
    </row>
    <row r="565" spans="1:18" s="18" customFormat="1" ht="38.25" hidden="1">
      <c r="A565" s="81" t="s">
        <v>297</v>
      </c>
      <c r="B565" s="83" t="s">
        <v>94</v>
      </c>
      <c r="C565" s="83" t="s">
        <v>26</v>
      </c>
      <c r="D565" s="83" t="s">
        <v>28</v>
      </c>
      <c r="E565" s="83" t="s">
        <v>134</v>
      </c>
      <c r="F565" s="83"/>
      <c r="G565" s="86">
        <f t="shared" ref="G565:H566" si="137">G566</f>
        <v>0</v>
      </c>
      <c r="H565" s="86">
        <f t="shared" si="137"/>
        <v>0</v>
      </c>
      <c r="I565" s="171"/>
      <c r="J565" s="191"/>
      <c r="K565" s="191"/>
      <c r="L565" s="191"/>
      <c r="M565" s="191"/>
      <c r="N565" s="191"/>
      <c r="O565" s="191"/>
      <c r="P565" s="191"/>
      <c r="Q565" s="191"/>
    </row>
    <row r="566" spans="1:18" s="18" customFormat="1" hidden="1">
      <c r="A566" s="81" t="s">
        <v>63</v>
      </c>
      <c r="B566" s="83" t="s">
        <v>94</v>
      </c>
      <c r="C566" s="83" t="s">
        <v>26</v>
      </c>
      <c r="D566" s="83" t="s">
        <v>28</v>
      </c>
      <c r="E566" s="83" t="s">
        <v>134</v>
      </c>
      <c r="F566" s="83" t="s">
        <v>64</v>
      </c>
      <c r="G566" s="86">
        <f t="shared" si="137"/>
        <v>0</v>
      </c>
      <c r="H566" s="86">
        <f t="shared" si="137"/>
        <v>0</v>
      </c>
      <c r="I566" s="171"/>
      <c r="J566" s="191"/>
      <c r="K566" s="191"/>
      <c r="L566" s="191"/>
      <c r="M566" s="191"/>
      <c r="N566" s="191"/>
      <c r="O566" s="191"/>
      <c r="P566" s="191"/>
      <c r="Q566" s="191"/>
    </row>
    <row r="567" spans="1:18" s="18" customFormat="1" hidden="1">
      <c r="A567" s="81" t="s">
        <v>180</v>
      </c>
      <c r="B567" s="83" t="s">
        <v>94</v>
      </c>
      <c r="C567" s="83" t="s">
        <v>26</v>
      </c>
      <c r="D567" s="83" t="s">
        <v>28</v>
      </c>
      <c r="E567" s="83" t="s">
        <v>134</v>
      </c>
      <c r="F567" s="83" t="s">
        <v>181</v>
      </c>
      <c r="G567" s="86"/>
      <c r="H567" s="86"/>
      <c r="I567" s="171"/>
      <c r="J567" s="191"/>
      <c r="K567" s="191"/>
      <c r="L567" s="191"/>
      <c r="M567" s="191"/>
      <c r="N567" s="191"/>
      <c r="O567" s="191"/>
      <c r="P567" s="191"/>
      <c r="Q567" s="191"/>
    </row>
    <row r="568" spans="1:18" ht="57" customHeight="1">
      <c r="A568" s="81" t="s">
        <v>118</v>
      </c>
      <c r="B568" s="83" t="s">
        <v>94</v>
      </c>
      <c r="C568" s="83" t="s">
        <v>26</v>
      </c>
      <c r="D568" s="83" t="s">
        <v>28</v>
      </c>
      <c r="E568" s="83" t="s">
        <v>222</v>
      </c>
      <c r="F568" s="83"/>
      <c r="G568" s="86">
        <f>G571+G569</f>
        <v>137433722.98000002</v>
      </c>
      <c r="H568" s="86">
        <f t="shared" ref="H568" si="138">H571</f>
        <v>137433722.97999999</v>
      </c>
      <c r="I568" s="171"/>
      <c r="P568" s="217"/>
    </row>
    <row r="569" spans="1:18" ht="25.5" hidden="1">
      <c r="A569" s="81" t="s">
        <v>96</v>
      </c>
      <c r="B569" s="83" t="s">
        <v>94</v>
      </c>
      <c r="C569" s="83" t="s">
        <v>26</v>
      </c>
      <c r="D569" s="83" t="s">
        <v>28</v>
      </c>
      <c r="E569" s="83" t="s">
        <v>730</v>
      </c>
      <c r="F569" s="83" t="s">
        <v>348</v>
      </c>
      <c r="G569" s="86">
        <f>G570</f>
        <v>0</v>
      </c>
      <c r="H569" s="86">
        <f>H570</f>
        <v>0</v>
      </c>
      <c r="I569" s="171"/>
    </row>
    <row r="570" spans="1:18" s="3" customFormat="1" ht="89.25" hidden="1">
      <c r="A570" s="81" t="s">
        <v>419</v>
      </c>
      <c r="B570" s="145">
        <v>774</v>
      </c>
      <c r="C570" s="83" t="s">
        <v>26</v>
      </c>
      <c r="D570" s="83" t="s">
        <v>28</v>
      </c>
      <c r="E570" s="83" t="s">
        <v>730</v>
      </c>
      <c r="F570" s="83" t="s">
        <v>418</v>
      </c>
      <c r="G570" s="86"/>
      <c r="H570" s="86">
        <v>0</v>
      </c>
      <c r="I570" s="171"/>
      <c r="J570" s="190"/>
      <c r="K570" s="190"/>
      <c r="L570" s="190"/>
      <c r="M570" s="190"/>
      <c r="N570" s="190"/>
      <c r="O570" s="190"/>
      <c r="P570" s="190"/>
      <c r="Q570" s="190"/>
    </row>
    <row r="571" spans="1:18" ht="25.5">
      <c r="A571" s="81" t="s">
        <v>30</v>
      </c>
      <c r="B571" s="83" t="s">
        <v>94</v>
      </c>
      <c r="C571" s="83" t="s">
        <v>26</v>
      </c>
      <c r="D571" s="83" t="s">
        <v>28</v>
      </c>
      <c r="E571" s="83" t="s">
        <v>222</v>
      </c>
      <c r="F571" s="83" t="s">
        <v>31</v>
      </c>
      <c r="G571" s="86">
        <f>G572</f>
        <v>137433722.98000002</v>
      </c>
      <c r="H571" s="86">
        <f>H572</f>
        <v>137433722.97999999</v>
      </c>
      <c r="I571" s="171"/>
    </row>
    <row r="572" spans="1:18">
      <c r="A572" s="81" t="s">
        <v>32</v>
      </c>
      <c r="B572" s="83" t="s">
        <v>94</v>
      </c>
      <c r="C572" s="83" t="s">
        <v>26</v>
      </c>
      <c r="D572" s="83" t="s">
        <v>28</v>
      </c>
      <c r="E572" s="83" t="s">
        <v>222</v>
      </c>
      <c r="F572" s="83" t="s">
        <v>33</v>
      </c>
      <c r="G572" s="86">
        <f>133237858.4+34698.15+1407726.43+2753440</f>
        <v>137433722.98000002</v>
      </c>
      <c r="H572" s="86">
        <v>137433722.97999999</v>
      </c>
      <c r="I572" s="171"/>
    </row>
    <row r="573" spans="1:18" ht="43.5" hidden="1" customHeight="1">
      <c r="A573" s="81" t="s">
        <v>736</v>
      </c>
      <c r="B573" s="83" t="s">
        <v>94</v>
      </c>
      <c r="C573" s="83" t="s">
        <v>26</v>
      </c>
      <c r="D573" s="83" t="s">
        <v>28</v>
      </c>
      <c r="E573" s="83" t="s">
        <v>730</v>
      </c>
      <c r="F573" s="83"/>
      <c r="G573" s="86">
        <f>G574</f>
        <v>0</v>
      </c>
      <c r="H573" s="86"/>
      <c r="I573" s="171"/>
      <c r="J573" s="206"/>
    </row>
    <row r="574" spans="1:18" ht="25.5" hidden="1">
      <c r="A574" s="81" t="s">
        <v>96</v>
      </c>
      <c r="B574" s="83" t="s">
        <v>94</v>
      </c>
      <c r="C574" s="83" t="s">
        <v>26</v>
      </c>
      <c r="D574" s="83" t="s">
        <v>28</v>
      </c>
      <c r="E574" s="83" t="s">
        <v>730</v>
      </c>
      <c r="F574" s="83" t="s">
        <v>348</v>
      </c>
      <c r="G574" s="86">
        <f>G575</f>
        <v>0</v>
      </c>
      <c r="H574" s="86">
        <f>H575</f>
        <v>0</v>
      </c>
      <c r="I574" s="171"/>
    </row>
    <row r="575" spans="1:18" s="3" customFormat="1" ht="89.25" hidden="1">
      <c r="A575" s="81" t="s">
        <v>419</v>
      </c>
      <c r="B575" s="145">
        <v>774</v>
      </c>
      <c r="C575" s="83" t="s">
        <v>26</v>
      </c>
      <c r="D575" s="83" t="s">
        <v>28</v>
      </c>
      <c r="E575" s="83" t="s">
        <v>730</v>
      </c>
      <c r="F575" s="83" t="s">
        <v>418</v>
      </c>
      <c r="G575" s="86"/>
      <c r="H575" s="86">
        <v>0</v>
      </c>
      <c r="I575" s="171"/>
      <c r="J575" s="190"/>
      <c r="K575" s="190"/>
      <c r="L575" s="190"/>
      <c r="M575" s="190"/>
      <c r="N575" s="190"/>
      <c r="O575" s="190"/>
      <c r="P575" s="190"/>
      <c r="Q575" s="190"/>
    </row>
    <row r="576" spans="1:18" s="18" customFormat="1">
      <c r="A576" s="81" t="s">
        <v>851</v>
      </c>
      <c r="B576" s="145">
        <v>774</v>
      </c>
      <c r="C576" s="83" t="s">
        <v>26</v>
      </c>
      <c r="D576" s="83" t="s">
        <v>28</v>
      </c>
      <c r="E576" s="83" t="s">
        <v>869</v>
      </c>
      <c r="F576" s="83"/>
      <c r="G576" s="86">
        <f t="shared" ref="G576:H577" si="139">G577</f>
        <v>881623.67999999993</v>
      </c>
      <c r="H576" s="86">
        <f t="shared" si="139"/>
        <v>881623.68</v>
      </c>
      <c r="I576" s="171"/>
      <c r="J576" s="191"/>
      <c r="K576" s="191"/>
      <c r="L576" s="191"/>
      <c r="M576" s="191"/>
      <c r="N576" s="191"/>
      <c r="O576" s="191"/>
      <c r="P576" s="206"/>
      <c r="Q576" s="206"/>
      <c r="R576" s="17"/>
    </row>
    <row r="577" spans="1:18" s="18" customFormat="1" ht="25.5">
      <c r="A577" s="81" t="s">
        <v>30</v>
      </c>
      <c r="B577" s="145">
        <v>774</v>
      </c>
      <c r="C577" s="83" t="s">
        <v>26</v>
      </c>
      <c r="D577" s="83" t="s">
        <v>28</v>
      </c>
      <c r="E577" s="83" t="s">
        <v>869</v>
      </c>
      <c r="F577" s="83" t="s">
        <v>31</v>
      </c>
      <c r="G577" s="86">
        <f t="shared" si="139"/>
        <v>881623.67999999993</v>
      </c>
      <c r="H577" s="86">
        <f t="shared" si="139"/>
        <v>881623.68</v>
      </c>
      <c r="I577" s="171"/>
      <c r="J577" s="191"/>
      <c r="K577" s="191"/>
      <c r="L577" s="191"/>
      <c r="M577" s="191"/>
      <c r="N577" s="191"/>
      <c r="O577" s="191"/>
      <c r="P577" s="206"/>
      <c r="Q577" s="206"/>
      <c r="R577" s="17"/>
    </row>
    <row r="578" spans="1:18" s="18" customFormat="1">
      <c r="A578" s="81" t="s">
        <v>32</v>
      </c>
      <c r="B578" s="145">
        <v>774</v>
      </c>
      <c r="C578" s="83" t="s">
        <v>26</v>
      </c>
      <c r="D578" s="83" t="s">
        <v>28</v>
      </c>
      <c r="E578" s="83" t="s">
        <v>869</v>
      </c>
      <c r="F578" s="83" t="s">
        <v>33</v>
      </c>
      <c r="G578" s="86">
        <f>859255.94+22367.74</f>
        <v>881623.67999999993</v>
      </c>
      <c r="H578" s="86">
        <v>881623.68</v>
      </c>
      <c r="I578" s="171"/>
      <c r="J578" s="191"/>
      <c r="K578" s="191"/>
      <c r="L578" s="191"/>
      <c r="M578" s="191"/>
      <c r="N578" s="191"/>
      <c r="O578" s="191"/>
      <c r="P578" s="206"/>
      <c r="Q578" s="206"/>
      <c r="R578" s="17"/>
    </row>
    <row r="579" spans="1:18" ht="74.25" customHeight="1">
      <c r="A579" s="81" t="s">
        <v>757</v>
      </c>
      <c r="B579" s="83" t="s">
        <v>94</v>
      </c>
      <c r="C579" s="83" t="s">
        <v>26</v>
      </c>
      <c r="D579" s="83" t="s">
        <v>28</v>
      </c>
      <c r="E579" s="83" t="s">
        <v>755</v>
      </c>
      <c r="F579" s="83"/>
      <c r="G579" s="86">
        <f>G582+G580</f>
        <v>0</v>
      </c>
      <c r="H579" s="86">
        <f t="shared" ref="H579" si="140">H582</f>
        <v>0</v>
      </c>
      <c r="I579" s="171"/>
    </row>
    <row r="580" spans="1:18" ht="25.5" hidden="1">
      <c r="A580" s="81" t="s">
        <v>96</v>
      </c>
      <c r="B580" s="83" t="s">
        <v>94</v>
      </c>
      <c r="C580" s="83" t="s">
        <v>26</v>
      </c>
      <c r="D580" s="83" t="s">
        <v>28</v>
      </c>
      <c r="E580" s="83" t="s">
        <v>730</v>
      </c>
      <c r="F580" s="83" t="s">
        <v>348</v>
      </c>
      <c r="G580" s="86">
        <f>G581</f>
        <v>0</v>
      </c>
      <c r="H580" s="86">
        <f>H581</f>
        <v>0</v>
      </c>
      <c r="I580" s="171"/>
    </row>
    <row r="581" spans="1:18" s="3" customFormat="1" ht="89.25" hidden="1">
      <c r="A581" s="81" t="s">
        <v>419</v>
      </c>
      <c r="B581" s="145">
        <v>774</v>
      </c>
      <c r="C581" s="83" t="s">
        <v>26</v>
      </c>
      <c r="D581" s="83" t="s">
        <v>28</v>
      </c>
      <c r="E581" s="83" t="s">
        <v>730</v>
      </c>
      <c r="F581" s="83" t="s">
        <v>418</v>
      </c>
      <c r="G581" s="86"/>
      <c r="H581" s="86">
        <v>0</v>
      </c>
      <c r="I581" s="171"/>
      <c r="J581" s="190"/>
      <c r="K581" s="190"/>
      <c r="L581" s="190"/>
      <c r="M581" s="190"/>
      <c r="N581" s="190"/>
      <c r="O581" s="190"/>
      <c r="P581" s="190"/>
      <c r="Q581" s="190"/>
    </row>
    <row r="582" spans="1:18" ht="25.5">
      <c r="A582" s="81" t="s">
        <v>30</v>
      </c>
      <c r="B582" s="83" t="s">
        <v>94</v>
      </c>
      <c r="C582" s="83" t="s">
        <v>26</v>
      </c>
      <c r="D582" s="83" t="s">
        <v>28</v>
      </c>
      <c r="E582" s="83" t="s">
        <v>755</v>
      </c>
      <c r="F582" s="83" t="s">
        <v>31</v>
      </c>
      <c r="G582" s="86">
        <f>G583</f>
        <v>0</v>
      </c>
      <c r="H582" s="86">
        <f>H583</f>
        <v>0</v>
      </c>
      <c r="I582" s="171"/>
    </row>
    <row r="583" spans="1:18">
      <c r="A583" s="81" t="s">
        <v>32</v>
      </c>
      <c r="B583" s="83" t="s">
        <v>94</v>
      </c>
      <c r="C583" s="83" t="s">
        <v>26</v>
      </c>
      <c r="D583" s="83" t="s">
        <v>28</v>
      </c>
      <c r="E583" s="83" t="s">
        <v>755</v>
      </c>
      <c r="F583" s="83" t="s">
        <v>33</v>
      </c>
      <c r="G583" s="86">
        <f>1000000-500000-500000</f>
        <v>0</v>
      </c>
      <c r="H583" s="86">
        <v>0</v>
      </c>
      <c r="I583" s="171"/>
    </row>
    <row r="584" spans="1:18" ht="57" customHeight="1">
      <c r="A584" s="81" t="s">
        <v>756</v>
      </c>
      <c r="B584" s="83" t="s">
        <v>94</v>
      </c>
      <c r="C584" s="83" t="s">
        <v>26</v>
      </c>
      <c r="D584" s="83" t="s">
        <v>28</v>
      </c>
      <c r="E584" s="83" t="s">
        <v>754</v>
      </c>
      <c r="F584" s="83"/>
      <c r="G584" s="86">
        <f>G587+G585</f>
        <v>400000</v>
      </c>
      <c r="H584" s="86">
        <f t="shared" ref="H584" si="141">H587</f>
        <v>400000</v>
      </c>
      <c r="I584" s="171"/>
    </row>
    <row r="585" spans="1:18" ht="25.5" hidden="1">
      <c r="A585" s="81" t="s">
        <v>96</v>
      </c>
      <c r="B585" s="83" t="s">
        <v>94</v>
      </c>
      <c r="C585" s="83" t="s">
        <v>26</v>
      </c>
      <c r="D585" s="83" t="s">
        <v>28</v>
      </c>
      <c r="E585" s="83" t="s">
        <v>730</v>
      </c>
      <c r="F585" s="83" t="s">
        <v>348</v>
      </c>
      <c r="G585" s="86">
        <f>G586</f>
        <v>0</v>
      </c>
      <c r="H585" s="86">
        <f>H586</f>
        <v>0</v>
      </c>
      <c r="I585" s="171"/>
    </row>
    <row r="586" spans="1:18" s="3" customFormat="1" ht="89.25" hidden="1">
      <c r="A586" s="81" t="s">
        <v>419</v>
      </c>
      <c r="B586" s="145">
        <v>774</v>
      </c>
      <c r="C586" s="83" t="s">
        <v>26</v>
      </c>
      <c r="D586" s="83" t="s">
        <v>28</v>
      </c>
      <c r="E586" s="83" t="s">
        <v>730</v>
      </c>
      <c r="F586" s="83" t="s">
        <v>418</v>
      </c>
      <c r="G586" s="86"/>
      <c r="H586" s="86">
        <v>0</v>
      </c>
      <c r="I586" s="171"/>
      <c r="J586" s="190"/>
      <c r="K586" s="190"/>
      <c r="L586" s="190"/>
      <c r="M586" s="190"/>
      <c r="N586" s="190"/>
      <c r="O586" s="190"/>
      <c r="P586" s="190"/>
      <c r="Q586" s="190"/>
    </row>
    <row r="587" spans="1:18" ht="25.5">
      <c r="A587" s="81" t="s">
        <v>30</v>
      </c>
      <c r="B587" s="83" t="s">
        <v>94</v>
      </c>
      <c r="C587" s="83" t="s">
        <v>26</v>
      </c>
      <c r="D587" s="83" t="s">
        <v>28</v>
      </c>
      <c r="E587" s="83" t="s">
        <v>754</v>
      </c>
      <c r="F587" s="83" t="s">
        <v>31</v>
      </c>
      <c r="G587" s="86">
        <f>G588</f>
        <v>400000</v>
      </c>
      <c r="H587" s="86">
        <f>H588</f>
        <v>400000</v>
      </c>
      <c r="I587" s="171"/>
    </row>
    <row r="588" spans="1:18">
      <c r="A588" s="81" t="s">
        <v>32</v>
      </c>
      <c r="B588" s="83" t="s">
        <v>94</v>
      </c>
      <c r="C588" s="83" t="s">
        <v>26</v>
      </c>
      <c r="D588" s="83" t="s">
        <v>28</v>
      </c>
      <c r="E588" s="83" t="s">
        <v>754</v>
      </c>
      <c r="F588" s="83" t="s">
        <v>33</v>
      </c>
      <c r="G588" s="86">
        <v>400000</v>
      </c>
      <c r="H588" s="86">
        <v>400000</v>
      </c>
      <c r="I588" s="171"/>
    </row>
    <row r="589" spans="1:18" ht="32.25" customHeight="1">
      <c r="A589" s="81" t="s">
        <v>142</v>
      </c>
      <c r="B589" s="83" t="s">
        <v>94</v>
      </c>
      <c r="C589" s="83" t="s">
        <v>26</v>
      </c>
      <c r="D589" s="83" t="s">
        <v>28</v>
      </c>
      <c r="E589" s="83" t="s">
        <v>710</v>
      </c>
      <c r="F589" s="83"/>
      <c r="G589" s="86">
        <f t="shared" ref="G589:H589" si="142">G590</f>
        <v>280242.99</v>
      </c>
      <c r="H589" s="86">
        <f t="shared" si="142"/>
        <v>280242.99</v>
      </c>
      <c r="I589" s="171"/>
    </row>
    <row r="590" spans="1:18" ht="25.5">
      <c r="A590" s="81" t="s">
        <v>30</v>
      </c>
      <c r="B590" s="83" t="s">
        <v>94</v>
      </c>
      <c r="C590" s="83" t="s">
        <v>26</v>
      </c>
      <c r="D590" s="83" t="s">
        <v>28</v>
      </c>
      <c r="E590" s="83" t="s">
        <v>710</v>
      </c>
      <c r="F590" s="83" t="s">
        <v>31</v>
      </c>
      <c r="G590" s="86">
        <f>G591</f>
        <v>280242.99</v>
      </c>
      <c r="H590" s="86">
        <f>H591</f>
        <v>280242.99</v>
      </c>
      <c r="I590" s="171"/>
    </row>
    <row r="591" spans="1:18">
      <c r="A591" s="81" t="s">
        <v>32</v>
      </c>
      <c r="B591" s="83" t="s">
        <v>94</v>
      </c>
      <c r="C591" s="83" t="s">
        <v>26</v>
      </c>
      <c r="D591" s="83" t="s">
        <v>28</v>
      </c>
      <c r="E591" s="83" t="s">
        <v>710</v>
      </c>
      <c r="F591" s="83" t="s">
        <v>33</v>
      </c>
      <c r="G591" s="86">
        <f>160000-100000+556711-336468.01</f>
        <v>280242.99</v>
      </c>
      <c r="H591" s="86">
        <v>280242.99</v>
      </c>
      <c r="I591" s="171"/>
    </row>
    <row r="592" spans="1:18" ht="33" hidden="1" customHeight="1">
      <c r="A592" s="81" t="s">
        <v>945</v>
      </c>
      <c r="B592" s="83" t="s">
        <v>94</v>
      </c>
      <c r="C592" s="83" t="s">
        <v>26</v>
      </c>
      <c r="D592" s="83" t="s">
        <v>28</v>
      </c>
      <c r="E592" s="83" t="s">
        <v>944</v>
      </c>
      <c r="F592" s="83"/>
      <c r="G592" s="86">
        <f>G593</f>
        <v>0</v>
      </c>
      <c r="H592" s="86"/>
      <c r="I592" s="171"/>
    </row>
    <row r="593" spans="1:17" ht="24.75" hidden="1" customHeight="1">
      <c r="A593" s="81" t="s">
        <v>30</v>
      </c>
      <c r="B593" s="83" t="s">
        <v>94</v>
      </c>
      <c r="C593" s="83" t="s">
        <v>26</v>
      </c>
      <c r="D593" s="83" t="s">
        <v>28</v>
      </c>
      <c r="E593" s="83" t="s">
        <v>944</v>
      </c>
      <c r="F593" s="83" t="s">
        <v>31</v>
      </c>
      <c r="G593" s="86">
        <f>G594</f>
        <v>0</v>
      </c>
      <c r="H593" s="86"/>
      <c r="I593" s="171"/>
    </row>
    <row r="594" spans="1:17" ht="19.5" hidden="1" customHeight="1">
      <c r="A594" s="81" t="s">
        <v>32</v>
      </c>
      <c r="B594" s="83" t="s">
        <v>94</v>
      </c>
      <c r="C594" s="83" t="s">
        <v>26</v>
      </c>
      <c r="D594" s="83" t="s">
        <v>28</v>
      </c>
      <c r="E594" s="83" t="s">
        <v>944</v>
      </c>
      <c r="F594" s="83" t="s">
        <v>33</v>
      </c>
      <c r="G594" s="86"/>
      <c r="H594" s="86"/>
      <c r="I594" s="171"/>
    </row>
    <row r="595" spans="1:17" s="3" customFormat="1" ht="76.5">
      <c r="A595" s="81" t="s">
        <v>885</v>
      </c>
      <c r="B595" s="145">
        <v>774</v>
      </c>
      <c r="C595" s="83" t="s">
        <v>26</v>
      </c>
      <c r="D595" s="83" t="s">
        <v>28</v>
      </c>
      <c r="E595" s="83" t="s">
        <v>771</v>
      </c>
      <c r="F595" s="83"/>
      <c r="G595" s="86">
        <f>G597</f>
        <v>1803468</v>
      </c>
      <c r="H595" s="86">
        <f>H597</f>
        <v>1803468</v>
      </c>
      <c r="I595" s="171"/>
      <c r="J595" s="190"/>
      <c r="K595" s="190"/>
      <c r="L595" s="190"/>
      <c r="M595" s="190"/>
      <c r="N595" s="190"/>
      <c r="O595" s="190"/>
      <c r="P595" s="190"/>
      <c r="Q595" s="190"/>
    </row>
    <row r="596" spans="1:17" ht="25.5">
      <c r="A596" s="81" t="s">
        <v>30</v>
      </c>
      <c r="B596" s="83" t="s">
        <v>94</v>
      </c>
      <c r="C596" s="83" t="s">
        <v>26</v>
      </c>
      <c r="D596" s="83" t="s">
        <v>28</v>
      </c>
      <c r="E596" s="83" t="s">
        <v>771</v>
      </c>
      <c r="F596" s="83" t="s">
        <v>31</v>
      </c>
      <c r="G596" s="86">
        <f>G597</f>
        <v>1803468</v>
      </c>
      <c r="H596" s="86">
        <f>H597</f>
        <v>1803468</v>
      </c>
      <c r="I596" s="171"/>
    </row>
    <row r="597" spans="1:17" s="3" customFormat="1">
      <c r="A597" s="81" t="s">
        <v>32</v>
      </c>
      <c r="B597" s="145">
        <v>774</v>
      </c>
      <c r="C597" s="83" t="s">
        <v>26</v>
      </c>
      <c r="D597" s="83" t="s">
        <v>28</v>
      </c>
      <c r="E597" s="83" t="s">
        <v>771</v>
      </c>
      <c r="F597" s="83" t="s">
        <v>33</v>
      </c>
      <c r="G597" s="86">
        <f>901734+901734</f>
        <v>1803468</v>
      </c>
      <c r="H597" s="86">
        <v>1803468</v>
      </c>
      <c r="I597" s="171"/>
      <c r="J597" s="190"/>
      <c r="K597" s="190"/>
      <c r="L597" s="190"/>
      <c r="M597" s="190"/>
      <c r="N597" s="190"/>
      <c r="O597" s="190"/>
      <c r="P597" s="190"/>
      <c r="Q597" s="190"/>
    </row>
    <row r="598" spans="1:17" s="3" customFormat="1" ht="88.5" hidden="1" customHeight="1">
      <c r="A598" s="81" t="s">
        <v>732</v>
      </c>
      <c r="B598" s="145">
        <v>774</v>
      </c>
      <c r="C598" s="83" t="s">
        <v>26</v>
      </c>
      <c r="D598" s="83" t="s">
        <v>28</v>
      </c>
      <c r="E598" s="83" t="s">
        <v>703</v>
      </c>
      <c r="F598" s="83"/>
      <c r="G598" s="86">
        <f>G600</f>
        <v>0</v>
      </c>
      <c r="H598" s="86">
        <f>H600</f>
        <v>0</v>
      </c>
      <c r="I598" s="171"/>
      <c r="J598" s="190"/>
      <c r="K598" s="190"/>
      <c r="L598" s="190"/>
      <c r="M598" s="190"/>
      <c r="N598" s="190"/>
      <c r="O598" s="190"/>
      <c r="P598" s="190"/>
      <c r="Q598" s="190"/>
    </row>
    <row r="599" spans="1:17" ht="25.5" hidden="1">
      <c r="A599" s="81" t="s">
        <v>96</v>
      </c>
      <c r="B599" s="83" t="s">
        <v>94</v>
      </c>
      <c r="C599" s="83" t="s">
        <v>26</v>
      </c>
      <c r="D599" s="83" t="s">
        <v>28</v>
      </c>
      <c r="E599" s="83" t="s">
        <v>703</v>
      </c>
      <c r="F599" s="83" t="s">
        <v>348</v>
      </c>
      <c r="G599" s="86">
        <f>G600</f>
        <v>0</v>
      </c>
      <c r="H599" s="86">
        <f>H600</f>
        <v>0</v>
      </c>
      <c r="I599" s="171"/>
    </row>
    <row r="600" spans="1:17" s="3" customFormat="1" ht="89.25" hidden="1">
      <c r="A600" s="81" t="s">
        <v>419</v>
      </c>
      <c r="B600" s="145">
        <v>774</v>
      </c>
      <c r="C600" s="83" t="s">
        <v>26</v>
      </c>
      <c r="D600" s="83" t="s">
        <v>28</v>
      </c>
      <c r="E600" s="83" t="s">
        <v>703</v>
      </c>
      <c r="F600" s="83" t="s">
        <v>418</v>
      </c>
      <c r="G600" s="86"/>
      <c r="H600" s="86">
        <v>0</v>
      </c>
      <c r="I600" s="171"/>
      <c r="J600" s="190"/>
      <c r="K600" s="190"/>
      <c r="L600" s="190"/>
      <c r="M600" s="190"/>
      <c r="N600" s="190"/>
      <c r="O600" s="190"/>
      <c r="P600" s="190"/>
      <c r="Q600" s="190"/>
    </row>
    <row r="601" spans="1:17" s="3" customFormat="1" ht="38.25" hidden="1">
      <c r="A601" s="81" t="s">
        <v>705</v>
      </c>
      <c r="B601" s="145">
        <v>774</v>
      </c>
      <c r="C601" s="83" t="s">
        <v>26</v>
      </c>
      <c r="D601" s="83" t="s">
        <v>28</v>
      </c>
      <c r="E601" s="83" t="s">
        <v>704</v>
      </c>
      <c r="F601" s="83"/>
      <c r="G601" s="86">
        <f>G603</f>
        <v>0</v>
      </c>
      <c r="H601" s="86">
        <f>H603</f>
        <v>0</v>
      </c>
      <c r="I601" s="171"/>
      <c r="J601" s="190"/>
      <c r="K601" s="190"/>
      <c r="L601" s="190"/>
      <c r="M601" s="190"/>
      <c r="N601" s="190"/>
      <c r="O601" s="190"/>
      <c r="P601" s="190"/>
      <c r="Q601" s="190"/>
    </row>
    <row r="602" spans="1:17" ht="25.5" hidden="1">
      <c r="A602" s="81" t="s">
        <v>96</v>
      </c>
      <c r="B602" s="83" t="s">
        <v>94</v>
      </c>
      <c r="C602" s="83" t="s">
        <v>26</v>
      </c>
      <c r="D602" s="83" t="s">
        <v>28</v>
      </c>
      <c r="E602" s="83" t="s">
        <v>704</v>
      </c>
      <c r="F602" s="83" t="s">
        <v>348</v>
      </c>
      <c r="G602" s="86">
        <f>G603</f>
        <v>0</v>
      </c>
      <c r="H602" s="86">
        <f>H603</f>
        <v>0</v>
      </c>
      <c r="I602" s="171"/>
    </row>
    <row r="603" spans="1:17" s="3" customFormat="1" ht="89.25" hidden="1">
      <c r="A603" s="81" t="s">
        <v>419</v>
      </c>
      <c r="B603" s="145">
        <v>774</v>
      </c>
      <c r="C603" s="83" t="s">
        <v>26</v>
      </c>
      <c r="D603" s="83" t="s">
        <v>28</v>
      </c>
      <c r="E603" s="83" t="s">
        <v>704</v>
      </c>
      <c r="F603" s="83" t="s">
        <v>418</v>
      </c>
      <c r="G603" s="86"/>
      <c r="H603" s="86">
        <v>0</v>
      </c>
      <c r="I603" s="171"/>
      <c r="J603" s="190"/>
      <c r="K603" s="190"/>
      <c r="L603" s="190"/>
      <c r="M603" s="190"/>
      <c r="N603" s="190"/>
      <c r="O603" s="190"/>
      <c r="P603" s="190"/>
      <c r="Q603" s="190"/>
    </row>
    <row r="604" spans="1:17" ht="63" hidden="1" customHeight="1">
      <c r="A604" s="81" t="s">
        <v>413</v>
      </c>
      <c r="B604" s="83" t="s">
        <v>94</v>
      </c>
      <c r="C604" s="83" t="s">
        <v>26</v>
      </c>
      <c r="D604" s="83" t="s">
        <v>28</v>
      </c>
      <c r="E604" s="83" t="s">
        <v>770</v>
      </c>
      <c r="F604" s="83"/>
      <c r="G604" s="86">
        <f t="shared" ref="G604:H604" si="143">G605</f>
        <v>0</v>
      </c>
      <c r="H604" s="86">
        <f t="shared" si="143"/>
        <v>0</v>
      </c>
      <c r="I604" s="171"/>
    </row>
    <row r="605" spans="1:17" ht="25.5" hidden="1">
      <c r="A605" s="81" t="s">
        <v>30</v>
      </c>
      <c r="B605" s="83" t="s">
        <v>94</v>
      </c>
      <c r="C605" s="83" t="s">
        <v>26</v>
      </c>
      <c r="D605" s="83" t="s">
        <v>28</v>
      </c>
      <c r="E605" s="83" t="s">
        <v>770</v>
      </c>
      <c r="F605" s="83" t="s">
        <v>31</v>
      </c>
      <c r="G605" s="86">
        <f>G606</f>
        <v>0</v>
      </c>
      <c r="H605" s="86">
        <f>H606</f>
        <v>0</v>
      </c>
      <c r="I605" s="171"/>
    </row>
    <row r="606" spans="1:17" hidden="1">
      <c r="A606" s="81" t="s">
        <v>32</v>
      </c>
      <c r="B606" s="83" t="s">
        <v>94</v>
      </c>
      <c r="C606" s="83" t="s">
        <v>26</v>
      </c>
      <c r="D606" s="83" t="s">
        <v>28</v>
      </c>
      <c r="E606" s="83" t="s">
        <v>770</v>
      </c>
      <c r="F606" s="83" t="s">
        <v>33</v>
      </c>
      <c r="G606" s="86"/>
      <c r="H606" s="86">
        <v>0</v>
      </c>
      <c r="I606" s="171"/>
    </row>
    <row r="607" spans="1:17" s="18" customFormat="1" ht="51" customHeight="1">
      <c r="A607" s="264" t="s">
        <v>872</v>
      </c>
      <c r="B607" s="83" t="s">
        <v>94</v>
      </c>
      <c r="C607" s="83" t="s">
        <v>26</v>
      </c>
      <c r="D607" s="83" t="s">
        <v>28</v>
      </c>
      <c r="E607" s="83" t="s">
        <v>876</v>
      </c>
      <c r="F607" s="83"/>
      <c r="G607" s="86">
        <f t="shared" ref="G607:H608" si="144">G608</f>
        <v>1646729.49</v>
      </c>
      <c r="H607" s="86">
        <f t="shared" si="144"/>
        <v>1646729.49</v>
      </c>
      <c r="I607" s="171"/>
      <c r="J607" s="191"/>
      <c r="K607" s="191"/>
      <c r="L607" s="191"/>
      <c r="M607" s="191"/>
      <c r="N607" s="191"/>
      <c r="O607" s="191"/>
      <c r="P607" s="191"/>
      <c r="Q607" s="191"/>
    </row>
    <row r="608" spans="1:17" s="18" customFormat="1" ht="25.5">
      <c r="A608" s="81" t="s">
        <v>30</v>
      </c>
      <c r="B608" s="83" t="s">
        <v>94</v>
      </c>
      <c r="C608" s="83" t="s">
        <v>26</v>
      </c>
      <c r="D608" s="83" t="s">
        <v>28</v>
      </c>
      <c r="E608" s="83" t="s">
        <v>876</v>
      </c>
      <c r="F608" s="83" t="s">
        <v>31</v>
      </c>
      <c r="G608" s="86">
        <f t="shared" si="144"/>
        <v>1646729.49</v>
      </c>
      <c r="H608" s="86">
        <f t="shared" si="144"/>
        <v>1646729.49</v>
      </c>
      <c r="I608" s="171"/>
      <c r="J608" s="191"/>
      <c r="K608" s="191"/>
      <c r="L608" s="191"/>
      <c r="M608" s="191"/>
      <c r="N608" s="191"/>
      <c r="O608" s="191"/>
      <c r="P608" s="191"/>
      <c r="Q608" s="191"/>
    </row>
    <row r="609" spans="1:17">
      <c r="A609" s="81" t="s">
        <v>32</v>
      </c>
      <c r="B609" s="83" t="s">
        <v>94</v>
      </c>
      <c r="C609" s="83" t="s">
        <v>26</v>
      </c>
      <c r="D609" s="83" t="s">
        <v>28</v>
      </c>
      <c r="E609" s="83" t="s">
        <v>876</v>
      </c>
      <c r="F609" s="83" t="s">
        <v>33</v>
      </c>
      <c r="G609" s="86">
        <f>1630221+16508.49</f>
        <v>1646729.49</v>
      </c>
      <c r="H609" s="86">
        <v>1646729.49</v>
      </c>
      <c r="I609" s="171"/>
    </row>
    <row r="610" spans="1:17" s="18" customFormat="1" ht="89.25">
      <c r="A610" s="138" t="s">
        <v>371</v>
      </c>
      <c r="B610" s="83" t="s">
        <v>94</v>
      </c>
      <c r="C610" s="83" t="s">
        <v>26</v>
      </c>
      <c r="D610" s="83" t="s">
        <v>28</v>
      </c>
      <c r="E610" s="83" t="s">
        <v>660</v>
      </c>
      <c r="F610" s="83"/>
      <c r="G610" s="86">
        <f t="shared" ref="G610:H611" si="145">G611</f>
        <v>101833</v>
      </c>
      <c r="H610" s="86">
        <f t="shared" si="145"/>
        <v>64099.8</v>
      </c>
      <c r="I610" s="171"/>
      <c r="J610" s="191"/>
      <c r="K610" s="191"/>
      <c r="L610" s="191"/>
      <c r="M610" s="191"/>
      <c r="N610" s="191"/>
      <c r="O610" s="191"/>
      <c r="P610" s="191"/>
      <c r="Q610" s="191"/>
    </row>
    <row r="611" spans="1:17" s="18" customFormat="1" ht="25.5">
      <c r="A611" s="81" t="s">
        <v>30</v>
      </c>
      <c r="B611" s="83" t="s">
        <v>94</v>
      </c>
      <c r="C611" s="83" t="s">
        <v>26</v>
      </c>
      <c r="D611" s="83" t="s">
        <v>28</v>
      </c>
      <c r="E611" s="83" t="s">
        <v>660</v>
      </c>
      <c r="F611" s="83" t="s">
        <v>31</v>
      </c>
      <c r="G611" s="86">
        <f t="shared" si="145"/>
        <v>101833</v>
      </c>
      <c r="H611" s="86">
        <f t="shared" si="145"/>
        <v>64099.8</v>
      </c>
      <c r="I611" s="171"/>
      <c r="J611" s="191"/>
      <c r="K611" s="191"/>
      <c r="L611" s="191"/>
      <c r="M611" s="191"/>
      <c r="N611" s="191"/>
      <c r="O611" s="191"/>
      <c r="P611" s="191"/>
      <c r="Q611" s="191"/>
    </row>
    <row r="612" spans="1:17" s="18" customFormat="1">
      <c r="A612" s="81" t="s">
        <v>32</v>
      </c>
      <c r="B612" s="83" t="s">
        <v>94</v>
      </c>
      <c r="C612" s="83" t="s">
        <v>26</v>
      </c>
      <c r="D612" s="83" t="s">
        <v>28</v>
      </c>
      <c r="E612" s="83" t="s">
        <v>660</v>
      </c>
      <c r="F612" s="83" t="s">
        <v>33</v>
      </c>
      <c r="G612" s="86">
        <f>2040.87+99792.13</f>
        <v>101833</v>
      </c>
      <c r="H612" s="86">
        <v>64099.8</v>
      </c>
      <c r="I612" s="171"/>
      <c r="J612" s="191"/>
      <c r="K612" s="191"/>
      <c r="L612" s="191"/>
      <c r="M612" s="191"/>
      <c r="N612" s="191"/>
      <c r="O612" s="191"/>
      <c r="P612" s="191"/>
      <c r="Q612" s="191"/>
    </row>
    <row r="613" spans="1:17" s="3" customFormat="1" hidden="1">
      <c r="A613" s="81" t="s">
        <v>1</v>
      </c>
      <c r="B613" s="145">
        <v>774</v>
      </c>
      <c r="C613" s="83" t="s">
        <v>26</v>
      </c>
      <c r="D613" s="83" t="s">
        <v>28</v>
      </c>
      <c r="E613" s="83" t="s">
        <v>545</v>
      </c>
      <c r="F613" s="83"/>
      <c r="G613" s="86">
        <f t="shared" ref="G613:H614" si="146">G614</f>
        <v>0</v>
      </c>
      <c r="H613" s="86">
        <f t="shared" si="146"/>
        <v>0</v>
      </c>
      <c r="I613" s="171"/>
      <c r="J613" s="190"/>
      <c r="K613" s="190"/>
      <c r="L613" s="190"/>
      <c r="M613" s="190"/>
      <c r="N613" s="190"/>
      <c r="O613" s="190"/>
      <c r="P613" s="190"/>
      <c r="Q613" s="190"/>
    </row>
    <row r="614" spans="1:17" s="3" customFormat="1" ht="25.5" hidden="1">
      <c r="A614" s="81" t="s">
        <v>30</v>
      </c>
      <c r="B614" s="145">
        <v>774</v>
      </c>
      <c r="C614" s="83" t="s">
        <v>26</v>
      </c>
      <c r="D614" s="83" t="s">
        <v>28</v>
      </c>
      <c r="E614" s="83" t="s">
        <v>545</v>
      </c>
      <c r="F614" s="83" t="s">
        <v>31</v>
      </c>
      <c r="G614" s="86">
        <f t="shared" si="146"/>
        <v>0</v>
      </c>
      <c r="H614" s="86">
        <f t="shared" si="146"/>
        <v>0</v>
      </c>
      <c r="I614" s="171"/>
      <c r="J614" s="190"/>
      <c r="K614" s="190"/>
      <c r="L614" s="190"/>
      <c r="M614" s="190"/>
      <c r="N614" s="190"/>
      <c r="O614" s="190"/>
      <c r="P614" s="190"/>
      <c r="Q614" s="190"/>
    </row>
    <row r="615" spans="1:17" s="3" customFormat="1" hidden="1">
      <c r="A615" s="81" t="s">
        <v>32</v>
      </c>
      <c r="B615" s="145">
        <v>774</v>
      </c>
      <c r="C615" s="83" t="s">
        <v>26</v>
      </c>
      <c r="D615" s="83" t="s">
        <v>28</v>
      </c>
      <c r="E615" s="83" t="s">
        <v>545</v>
      </c>
      <c r="F615" s="83" t="s">
        <v>33</v>
      </c>
      <c r="G615" s="86"/>
      <c r="H615" s="86">
        <v>0</v>
      </c>
      <c r="I615" s="171"/>
      <c r="J615" s="190"/>
      <c r="K615" s="190"/>
      <c r="L615" s="190"/>
      <c r="M615" s="190"/>
      <c r="N615" s="190"/>
      <c r="O615" s="190"/>
      <c r="P615" s="190"/>
      <c r="Q615" s="190"/>
    </row>
    <row r="616" spans="1:17" s="3" customFormat="1" ht="52.5" hidden="1" customHeight="1">
      <c r="A616" s="81" t="s">
        <v>413</v>
      </c>
      <c r="B616" s="145">
        <v>774</v>
      </c>
      <c r="C616" s="83" t="s">
        <v>26</v>
      </c>
      <c r="D616" s="83" t="s">
        <v>28</v>
      </c>
      <c r="E616" s="83" t="s">
        <v>608</v>
      </c>
      <c r="F616" s="83"/>
      <c r="G616" s="86">
        <f t="shared" ref="G616:H617" si="147">G617</f>
        <v>0</v>
      </c>
      <c r="H616" s="86">
        <f t="shared" si="147"/>
        <v>0</v>
      </c>
      <c r="I616" s="171"/>
      <c r="J616" s="190"/>
      <c r="K616" s="190"/>
      <c r="L616" s="190"/>
      <c r="M616" s="190"/>
      <c r="N616" s="190"/>
      <c r="O616" s="190"/>
      <c r="P616" s="190"/>
      <c r="Q616" s="190"/>
    </row>
    <row r="617" spans="1:17" s="3" customFormat="1" ht="25.5" hidden="1">
      <c r="A617" s="81" t="s">
        <v>30</v>
      </c>
      <c r="B617" s="145">
        <v>774</v>
      </c>
      <c r="C617" s="83" t="s">
        <v>26</v>
      </c>
      <c r="D617" s="83" t="s">
        <v>28</v>
      </c>
      <c r="E617" s="83" t="s">
        <v>608</v>
      </c>
      <c r="F617" s="83" t="s">
        <v>31</v>
      </c>
      <c r="G617" s="86">
        <f t="shared" si="147"/>
        <v>0</v>
      </c>
      <c r="H617" s="86">
        <f t="shared" si="147"/>
        <v>0</v>
      </c>
      <c r="I617" s="171"/>
      <c r="J617" s="190"/>
      <c r="K617" s="190"/>
      <c r="L617" s="190"/>
      <c r="M617" s="190"/>
      <c r="N617" s="190"/>
      <c r="O617" s="190"/>
      <c r="P617" s="190"/>
      <c r="Q617" s="190"/>
    </row>
    <row r="618" spans="1:17" s="3" customFormat="1" hidden="1">
      <c r="A618" s="81" t="s">
        <v>32</v>
      </c>
      <c r="B618" s="145">
        <v>774</v>
      </c>
      <c r="C618" s="83" t="s">
        <v>26</v>
      </c>
      <c r="D618" s="83" t="s">
        <v>28</v>
      </c>
      <c r="E618" s="83" t="s">
        <v>608</v>
      </c>
      <c r="F618" s="83" t="s">
        <v>33</v>
      </c>
      <c r="G618" s="86"/>
      <c r="H618" s="86"/>
      <c r="I618" s="171"/>
      <c r="J618" s="190"/>
      <c r="K618" s="190"/>
      <c r="L618" s="190"/>
      <c r="M618" s="190"/>
      <c r="N618" s="190"/>
      <c r="O618" s="190"/>
      <c r="P618" s="190"/>
      <c r="Q618" s="190"/>
    </row>
    <row r="619" spans="1:17" s="18" customFormat="1" ht="89.25" hidden="1">
      <c r="A619" s="138" t="s">
        <v>772</v>
      </c>
      <c r="B619" s="83" t="s">
        <v>94</v>
      </c>
      <c r="C619" s="83" t="s">
        <v>26</v>
      </c>
      <c r="D619" s="83" t="s">
        <v>28</v>
      </c>
      <c r="E619" s="83" t="s">
        <v>771</v>
      </c>
      <c r="F619" s="83"/>
      <c r="G619" s="86">
        <f t="shared" ref="G619:H620" si="148">G620</f>
        <v>0</v>
      </c>
      <c r="H619" s="86">
        <f t="shared" si="148"/>
        <v>0</v>
      </c>
      <c r="I619" s="171"/>
      <c r="J619" s="191"/>
      <c r="K619" s="191"/>
      <c r="L619" s="191"/>
      <c r="M619" s="191"/>
      <c r="N619" s="191"/>
      <c r="O619" s="191"/>
      <c r="P619" s="191"/>
      <c r="Q619" s="191"/>
    </row>
    <row r="620" spans="1:17" s="18" customFormat="1" ht="25.5" hidden="1">
      <c r="A620" s="81" t="s">
        <v>30</v>
      </c>
      <c r="B620" s="83" t="s">
        <v>94</v>
      </c>
      <c r="C620" s="83" t="s">
        <v>26</v>
      </c>
      <c r="D620" s="83" t="s">
        <v>28</v>
      </c>
      <c r="E620" s="83" t="s">
        <v>771</v>
      </c>
      <c r="F620" s="83" t="s">
        <v>31</v>
      </c>
      <c r="G620" s="86">
        <f t="shared" si="148"/>
        <v>0</v>
      </c>
      <c r="H620" s="86">
        <f t="shared" si="148"/>
        <v>0</v>
      </c>
      <c r="I620" s="171"/>
      <c r="J620" s="191"/>
      <c r="K620" s="191"/>
      <c r="L620" s="191"/>
      <c r="M620" s="191"/>
      <c r="N620" s="191"/>
      <c r="O620" s="191"/>
      <c r="P620" s="191"/>
      <c r="Q620" s="191"/>
    </row>
    <row r="621" spans="1:17" s="18" customFormat="1" hidden="1">
      <c r="A621" s="81" t="s">
        <v>32</v>
      </c>
      <c r="B621" s="83" t="s">
        <v>94</v>
      </c>
      <c r="C621" s="83" t="s">
        <v>26</v>
      </c>
      <c r="D621" s="83" t="s">
        <v>28</v>
      </c>
      <c r="E621" s="83" t="s">
        <v>771</v>
      </c>
      <c r="F621" s="83" t="s">
        <v>33</v>
      </c>
      <c r="G621" s="86"/>
      <c r="H621" s="86"/>
      <c r="I621" s="171"/>
      <c r="J621" s="191"/>
      <c r="K621" s="191"/>
      <c r="L621" s="191"/>
      <c r="M621" s="191"/>
      <c r="N621" s="191"/>
      <c r="O621" s="191"/>
      <c r="P621" s="191"/>
      <c r="Q621" s="191"/>
    </row>
    <row r="622" spans="1:17" s="18" customFormat="1" hidden="1">
      <c r="A622" s="138"/>
      <c r="B622" s="83"/>
      <c r="C622" s="83" t="s">
        <v>26</v>
      </c>
      <c r="D622" s="83" t="s">
        <v>28</v>
      </c>
      <c r="E622" s="83"/>
      <c r="F622" s="83"/>
      <c r="G622" s="86"/>
      <c r="H622" s="86"/>
      <c r="I622" s="171"/>
      <c r="J622" s="191"/>
      <c r="K622" s="191"/>
      <c r="L622" s="191"/>
      <c r="M622" s="191"/>
      <c r="N622" s="191"/>
      <c r="O622" s="191"/>
      <c r="P622" s="191"/>
      <c r="Q622" s="191"/>
    </row>
    <row r="623" spans="1:17" s="18" customFormat="1" hidden="1">
      <c r="A623" s="81"/>
      <c r="B623" s="83"/>
      <c r="C623" s="83" t="s">
        <v>26</v>
      </c>
      <c r="D623" s="83" t="s">
        <v>28</v>
      </c>
      <c r="E623" s="83"/>
      <c r="F623" s="83"/>
      <c r="G623" s="86"/>
      <c r="H623" s="86"/>
      <c r="I623" s="171"/>
      <c r="J623" s="191"/>
      <c r="K623" s="191"/>
      <c r="L623" s="191"/>
      <c r="M623" s="191"/>
      <c r="N623" s="191"/>
      <c r="O623" s="191"/>
      <c r="P623" s="191"/>
      <c r="Q623" s="191"/>
    </row>
    <row r="624" spans="1:17" s="18" customFormat="1" hidden="1">
      <c r="A624" s="81"/>
      <c r="B624" s="83"/>
      <c r="C624" s="83" t="s">
        <v>26</v>
      </c>
      <c r="D624" s="83" t="s">
        <v>28</v>
      </c>
      <c r="E624" s="83"/>
      <c r="F624" s="83"/>
      <c r="G624" s="86"/>
      <c r="H624" s="86"/>
      <c r="I624" s="171"/>
      <c r="J624" s="191"/>
      <c r="K624" s="191"/>
      <c r="L624" s="191"/>
      <c r="M624" s="191"/>
      <c r="N624" s="191"/>
      <c r="O624" s="191"/>
      <c r="P624" s="191"/>
      <c r="Q624" s="191"/>
    </row>
    <row r="625" spans="1:17" ht="54.75" customHeight="1">
      <c r="A625" s="81" t="s">
        <v>686</v>
      </c>
      <c r="B625" s="83" t="s">
        <v>94</v>
      </c>
      <c r="C625" s="83" t="s">
        <v>26</v>
      </c>
      <c r="D625" s="83" t="s">
        <v>28</v>
      </c>
      <c r="E625" s="83" t="s">
        <v>642</v>
      </c>
      <c r="F625" s="83"/>
      <c r="G625" s="86">
        <f t="shared" ref="G625:H625" si="149">G626</f>
        <v>31110050</v>
      </c>
      <c r="H625" s="86">
        <f t="shared" si="149"/>
        <v>31110050</v>
      </c>
      <c r="I625" s="171"/>
    </row>
    <row r="626" spans="1:17" ht="25.5">
      <c r="A626" s="81" t="s">
        <v>30</v>
      </c>
      <c r="B626" s="83" t="s">
        <v>94</v>
      </c>
      <c r="C626" s="83" t="s">
        <v>26</v>
      </c>
      <c r="D626" s="83" t="s">
        <v>28</v>
      </c>
      <c r="E626" s="83" t="s">
        <v>642</v>
      </c>
      <c r="F626" s="83" t="s">
        <v>31</v>
      </c>
      <c r="G626" s="86">
        <f>G627</f>
        <v>31110050</v>
      </c>
      <c r="H626" s="86">
        <f>H627</f>
        <v>31110050</v>
      </c>
      <c r="I626" s="171"/>
    </row>
    <row r="627" spans="1:17">
      <c r="A627" s="81" t="s">
        <v>32</v>
      </c>
      <c r="B627" s="83" t="s">
        <v>94</v>
      </c>
      <c r="C627" s="83" t="s">
        <v>26</v>
      </c>
      <c r="D627" s="83" t="s">
        <v>28</v>
      </c>
      <c r="E627" s="83" t="s">
        <v>642</v>
      </c>
      <c r="F627" s="83" t="s">
        <v>33</v>
      </c>
      <c r="G627" s="86">
        <v>31110050</v>
      </c>
      <c r="H627" s="86">
        <v>31110050</v>
      </c>
      <c r="I627" s="171"/>
    </row>
    <row r="628" spans="1:17" s="3" customFormat="1">
      <c r="A628" s="81" t="s">
        <v>881</v>
      </c>
      <c r="B628" s="145">
        <v>774</v>
      </c>
      <c r="C628" s="83" t="s">
        <v>26</v>
      </c>
      <c r="D628" s="83" t="s">
        <v>28</v>
      </c>
      <c r="E628" s="83" t="s">
        <v>928</v>
      </c>
      <c r="F628" s="83"/>
      <c r="G628" s="86">
        <f t="shared" ref="G628:H629" si="150">G629</f>
        <v>0</v>
      </c>
      <c r="H628" s="86">
        <f t="shared" si="150"/>
        <v>0</v>
      </c>
      <c r="I628" s="171"/>
      <c r="J628" s="190"/>
      <c r="K628" s="190"/>
      <c r="L628" s="190"/>
      <c r="M628" s="190"/>
      <c r="N628" s="190"/>
      <c r="O628" s="190"/>
      <c r="P628" s="190"/>
      <c r="Q628" s="190"/>
    </row>
    <row r="629" spans="1:17" s="3" customFormat="1" ht="25.5">
      <c r="A629" s="81" t="s">
        <v>30</v>
      </c>
      <c r="B629" s="145">
        <v>774</v>
      </c>
      <c r="C629" s="83" t="s">
        <v>26</v>
      </c>
      <c r="D629" s="83" t="s">
        <v>28</v>
      </c>
      <c r="E629" s="83" t="s">
        <v>928</v>
      </c>
      <c r="F629" s="83" t="s">
        <v>31</v>
      </c>
      <c r="G629" s="86">
        <f t="shared" si="150"/>
        <v>0</v>
      </c>
      <c r="H629" s="86">
        <f t="shared" si="150"/>
        <v>0</v>
      </c>
      <c r="I629" s="171"/>
      <c r="J629" s="190"/>
      <c r="K629" s="190"/>
      <c r="L629" s="190"/>
      <c r="M629" s="190"/>
      <c r="N629" s="190"/>
      <c r="O629" s="190"/>
      <c r="P629" s="190"/>
      <c r="Q629" s="190"/>
    </row>
    <row r="630" spans="1:17" s="3" customFormat="1">
      <c r="A630" s="81" t="s">
        <v>32</v>
      </c>
      <c r="B630" s="145">
        <v>774</v>
      </c>
      <c r="C630" s="83" t="s">
        <v>26</v>
      </c>
      <c r="D630" s="83" t="s">
        <v>28</v>
      </c>
      <c r="E630" s="83" t="s">
        <v>928</v>
      </c>
      <c r="F630" s="83" t="s">
        <v>33</v>
      </c>
      <c r="G630" s="86">
        <f>556711-556711</f>
        <v>0</v>
      </c>
      <c r="H630" s="86">
        <v>0</v>
      </c>
      <c r="I630" s="171"/>
      <c r="J630" s="190"/>
      <c r="K630" s="190"/>
      <c r="L630" s="190"/>
      <c r="M630" s="190"/>
      <c r="N630" s="190"/>
      <c r="O630" s="190"/>
      <c r="P630" s="190"/>
      <c r="Q630" s="190"/>
    </row>
    <row r="631" spans="1:17" ht="46.5" hidden="1" customHeight="1">
      <c r="A631" s="81" t="s">
        <v>712</v>
      </c>
      <c r="B631" s="83" t="s">
        <v>94</v>
      </c>
      <c r="C631" s="83" t="s">
        <v>26</v>
      </c>
      <c r="D631" s="83" t="s">
        <v>28</v>
      </c>
      <c r="E631" s="83" t="s">
        <v>711</v>
      </c>
      <c r="F631" s="83"/>
      <c r="G631" s="86">
        <f t="shared" ref="G631:H631" si="151">G632</f>
        <v>0</v>
      </c>
      <c r="H631" s="86">
        <f t="shared" si="151"/>
        <v>0</v>
      </c>
      <c r="I631" s="171"/>
    </row>
    <row r="632" spans="1:17" ht="39.75" hidden="1" customHeight="1">
      <c r="A632" s="81" t="s">
        <v>96</v>
      </c>
      <c r="B632" s="83" t="s">
        <v>94</v>
      </c>
      <c r="C632" s="83" t="s">
        <v>26</v>
      </c>
      <c r="D632" s="83" t="s">
        <v>28</v>
      </c>
      <c r="E632" s="83" t="s">
        <v>711</v>
      </c>
      <c r="F632" s="83" t="s">
        <v>31</v>
      </c>
      <c r="G632" s="86">
        <f>G633</f>
        <v>0</v>
      </c>
      <c r="H632" s="86">
        <f>H633</f>
        <v>0</v>
      </c>
      <c r="I632" s="171"/>
    </row>
    <row r="633" spans="1:17" ht="46.5" hidden="1" customHeight="1">
      <c r="A633" s="81" t="s">
        <v>419</v>
      </c>
      <c r="B633" s="83" t="s">
        <v>94</v>
      </c>
      <c r="C633" s="83" t="s">
        <v>26</v>
      </c>
      <c r="D633" s="83" t="s">
        <v>28</v>
      </c>
      <c r="E633" s="83" t="s">
        <v>711</v>
      </c>
      <c r="F633" s="83" t="s">
        <v>33</v>
      </c>
      <c r="G633" s="86"/>
      <c r="H633" s="86">
        <v>0</v>
      </c>
      <c r="I633" s="171"/>
    </row>
    <row r="634" spans="1:17" ht="54" hidden="1" customHeight="1">
      <c r="A634" s="81" t="s">
        <v>688</v>
      </c>
      <c r="B634" s="83" t="s">
        <v>94</v>
      </c>
      <c r="C634" s="83" t="s">
        <v>26</v>
      </c>
      <c r="D634" s="83" t="s">
        <v>28</v>
      </c>
      <c r="E634" s="83" t="s">
        <v>687</v>
      </c>
      <c r="F634" s="83"/>
      <c r="G634" s="86">
        <f t="shared" ref="G634:H634" si="152">G635</f>
        <v>0</v>
      </c>
      <c r="H634" s="86">
        <f t="shared" si="152"/>
        <v>0</v>
      </c>
      <c r="I634" s="171"/>
    </row>
    <row r="635" spans="1:17" ht="46.5" hidden="1" customHeight="1">
      <c r="A635" s="81" t="s">
        <v>96</v>
      </c>
      <c r="B635" s="83" t="s">
        <v>94</v>
      </c>
      <c r="C635" s="83" t="s">
        <v>26</v>
      </c>
      <c r="D635" s="83" t="s">
        <v>28</v>
      </c>
      <c r="E635" s="83" t="s">
        <v>687</v>
      </c>
      <c r="F635" s="83" t="s">
        <v>348</v>
      </c>
      <c r="G635" s="86">
        <f>G636</f>
        <v>0</v>
      </c>
      <c r="H635" s="86">
        <f>H636</f>
        <v>0</v>
      </c>
      <c r="I635" s="171"/>
    </row>
    <row r="636" spans="1:17" ht="52.5" hidden="1" customHeight="1">
      <c r="A636" s="81" t="s">
        <v>419</v>
      </c>
      <c r="B636" s="83" t="s">
        <v>94</v>
      </c>
      <c r="C636" s="83" t="s">
        <v>26</v>
      </c>
      <c r="D636" s="83" t="s">
        <v>28</v>
      </c>
      <c r="E636" s="83" t="s">
        <v>687</v>
      </c>
      <c r="F636" s="83" t="s">
        <v>418</v>
      </c>
      <c r="G636" s="86"/>
      <c r="H636" s="86">
        <v>0</v>
      </c>
      <c r="I636" s="171"/>
    </row>
    <row r="637" spans="1:17" ht="25.5">
      <c r="A637" s="81" t="s">
        <v>0</v>
      </c>
      <c r="B637" s="145">
        <v>774</v>
      </c>
      <c r="C637" s="83" t="s">
        <v>26</v>
      </c>
      <c r="D637" s="83" t="s">
        <v>28</v>
      </c>
      <c r="E637" s="83" t="s">
        <v>218</v>
      </c>
      <c r="F637" s="83"/>
      <c r="G637" s="84">
        <f>G721+G661+G718+G676+G679+G667+G682+G724+G638+G647+G656+G668+G671+G686+G683+G650+G655+G662+G641+G713+G689+G692+G644+G695+G698+G701+G704+G707+G710</f>
        <v>171778140.44999999</v>
      </c>
      <c r="H637" s="84">
        <f>H721+H661+H718+H676+H679+H667+H682+H724+H638+H647+H656+H668+H671+H686+H683+H650+H655+H662+H641+H713+H689+H692+H644+H695+H698+H701+H704+H707+H710</f>
        <v>171253140.44999999</v>
      </c>
      <c r="I637" s="172"/>
    </row>
    <row r="638" spans="1:17" ht="29.25" customHeight="1">
      <c r="A638" s="81" t="s">
        <v>942</v>
      </c>
      <c r="B638" s="83" t="s">
        <v>94</v>
      </c>
      <c r="C638" s="83" t="s">
        <v>26</v>
      </c>
      <c r="D638" s="83" t="s">
        <v>28</v>
      </c>
      <c r="E638" s="83" t="s">
        <v>941</v>
      </c>
      <c r="F638" s="83"/>
      <c r="G638" s="86">
        <f t="shared" ref="G638:H645" si="153">G639</f>
        <v>7405372.8799999999</v>
      </c>
      <c r="H638" s="86">
        <f t="shared" si="153"/>
        <v>7405372.8799999999</v>
      </c>
      <c r="I638" s="171"/>
    </row>
    <row r="639" spans="1:17" ht="25.5">
      <c r="A639" s="81" t="s">
        <v>30</v>
      </c>
      <c r="B639" s="83" t="s">
        <v>94</v>
      </c>
      <c r="C639" s="83" t="s">
        <v>26</v>
      </c>
      <c r="D639" s="83" t="s">
        <v>28</v>
      </c>
      <c r="E639" s="83" t="s">
        <v>941</v>
      </c>
      <c r="F639" s="83" t="s">
        <v>31</v>
      </c>
      <c r="G639" s="86">
        <f t="shared" si="153"/>
        <v>7405372.8799999999</v>
      </c>
      <c r="H639" s="86">
        <f t="shared" si="153"/>
        <v>7405372.8799999999</v>
      </c>
      <c r="I639" s="171"/>
    </row>
    <row r="640" spans="1:17">
      <c r="A640" s="81" t="s">
        <v>32</v>
      </c>
      <c r="B640" s="83" t="s">
        <v>94</v>
      </c>
      <c r="C640" s="83" t="s">
        <v>26</v>
      </c>
      <c r="D640" s="83" t="s">
        <v>28</v>
      </c>
      <c r="E640" s="83" t="s">
        <v>941</v>
      </c>
      <c r="F640" s="83" t="s">
        <v>33</v>
      </c>
      <c r="G640" s="86">
        <v>7405372.8799999999</v>
      </c>
      <c r="H640" s="86">
        <v>7405372.8799999999</v>
      </c>
      <c r="I640" s="171"/>
    </row>
    <row r="641" spans="1:17" ht="59.25" customHeight="1">
      <c r="A641" s="81" t="s">
        <v>1033</v>
      </c>
      <c r="B641" s="83" t="s">
        <v>94</v>
      </c>
      <c r="C641" s="83" t="s">
        <v>26</v>
      </c>
      <c r="D641" s="83" t="s">
        <v>28</v>
      </c>
      <c r="E641" s="83" t="s">
        <v>1032</v>
      </c>
      <c r="F641" s="83"/>
      <c r="G641" s="86">
        <f t="shared" si="153"/>
        <v>250000</v>
      </c>
      <c r="H641" s="86">
        <f t="shared" si="153"/>
        <v>250000</v>
      </c>
      <c r="I641" s="171"/>
    </row>
    <row r="642" spans="1:17" ht="25.5">
      <c r="A642" s="81" t="s">
        <v>30</v>
      </c>
      <c r="B642" s="83" t="s">
        <v>94</v>
      </c>
      <c r="C642" s="83" t="s">
        <v>26</v>
      </c>
      <c r="D642" s="83" t="s">
        <v>28</v>
      </c>
      <c r="E642" s="83" t="s">
        <v>1032</v>
      </c>
      <c r="F642" s="83" t="s">
        <v>31</v>
      </c>
      <c r="G642" s="86">
        <f t="shared" si="153"/>
        <v>250000</v>
      </c>
      <c r="H642" s="86">
        <f t="shared" si="153"/>
        <v>250000</v>
      </c>
      <c r="I642" s="171"/>
    </row>
    <row r="643" spans="1:17">
      <c r="A643" s="81" t="s">
        <v>32</v>
      </c>
      <c r="B643" s="83" t="s">
        <v>94</v>
      </c>
      <c r="C643" s="83" t="s">
        <v>26</v>
      </c>
      <c r="D643" s="83" t="s">
        <v>28</v>
      </c>
      <c r="E643" s="83" t="s">
        <v>1032</v>
      </c>
      <c r="F643" s="83" t="s">
        <v>33</v>
      </c>
      <c r="G643" s="86">
        <v>250000</v>
      </c>
      <c r="H643" s="86">
        <v>250000</v>
      </c>
      <c r="I643" s="171"/>
    </row>
    <row r="644" spans="1:17" ht="59.25" customHeight="1">
      <c r="A644" s="81" t="s">
        <v>1054</v>
      </c>
      <c r="B644" s="83" t="s">
        <v>94</v>
      </c>
      <c r="C644" s="83" t="s">
        <v>26</v>
      </c>
      <c r="D644" s="83" t="s">
        <v>28</v>
      </c>
      <c r="E644" s="83" t="s">
        <v>1053</v>
      </c>
      <c r="F644" s="83"/>
      <c r="G644" s="86">
        <f t="shared" si="153"/>
        <v>1737958.8</v>
      </c>
      <c r="H644" s="86">
        <f t="shared" si="153"/>
        <v>1737958.8</v>
      </c>
      <c r="I644" s="171"/>
    </row>
    <row r="645" spans="1:17" ht="25.5">
      <c r="A645" s="81" t="s">
        <v>30</v>
      </c>
      <c r="B645" s="83" t="s">
        <v>94</v>
      </c>
      <c r="C645" s="83" t="s">
        <v>26</v>
      </c>
      <c r="D645" s="83" t="s">
        <v>28</v>
      </c>
      <c r="E645" s="83" t="s">
        <v>1053</v>
      </c>
      <c r="F645" s="83" t="s">
        <v>31</v>
      </c>
      <c r="G645" s="86">
        <f t="shared" si="153"/>
        <v>1737958.8</v>
      </c>
      <c r="H645" s="86">
        <f t="shared" si="153"/>
        <v>1737958.8</v>
      </c>
      <c r="I645" s="171"/>
    </row>
    <row r="646" spans="1:17">
      <c r="A646" s="81" t="s">
        <v>32</v>
      </c>
      <c r="B646" s="83" t="s">
        <v>94</v>
      </c>
      <c r="C646" s="83" t="s">
        <v>26</v>
      </c>
      <c r="D646" s="83" t="s">
        <v>28</v>
      </c>
      <c r="E646" s="83" t="s">
        <v>1053</v>
      </c>
      <c r="F646" s="83" t="s">
        <v>33</v>
      </c>
      <c r="G646" s="86">
        <v>1737958.8</v>
      </c>
      <c r="H646" s="86">
        <v>1737958.8</v>
      </c>
      <c r="I646" s="171"/>
    </row>
    <row r="647" spans="1:17" s="3" customFormat="1" ht="39" customHeight="1">
      <c r="A647" s="81" t="s">
        <v>814</v>
      </c>
      <c r="B647" s="145">
        <v>774</v>
      </c>
      <c r="C647" s="83" t="s">
        <v>26</v>
      </c>
      <c r="D647" s="83" t="s">
        <v>28</v>
      </c>
      <c r="E647" s="83" t="s">
        <v>442</v>
      </c>
      <c r="F647" s="83"/>
      <c r="G647" s="86">
        <f>G648</f>
        <v>360000</v>
      </c>
      <c r="H647" s="86">
        <f t="shared" ref="H647" si="154">H648</f>
        <v>360000</v>
      </c>
      <c r="I647" s="171"/>
      <c r="J647" s="190"/>
      <c r="K647" s="190"/>
      <c r="L647" s="190"/>
      <c r="M647" s="190"/>
      <c r="N647" s="190"/>
      <c r="O647" s="190"/>
      <c r="P647" s="190"/>
      <c r="Q647" s="190"/>
    </row>
    <row r="648" spans="1:17" s="3" customFormat="1" ht="39" customHeight="1">
      <c r="A648" s="81" t="s">
        <v>30</v>
      </c>
      <c r="B648" s="145">
        <v>774</v>
      </c>
      <c r="C648" s="83" t="s">
        <v>26</v>
      </c>
      <c r="D648" s="83" t="s">
        <v>28</v>
      </c>
      <c r="E648" s="83" t="s">
        <v>442</v>
      </c>
      <c r="F648" s="83" t="s">
        <v>31</v>
      </c>
      <c r="G648" s="86">
        <f>G649</f>
        <v>360000</v>
      </c>
      <c r="H648" s="86">
        <f t="shared" ref="H648" si="155">H649</f>
        <v>360000</v>
      </c>
      <c r="I648" s="171"/>
      <c r="J648" s="190"/>
      <c r="K648" s="190"/>
      <c r="L648" s="190"/>
      <c r="M648" s="190"/>
      <c r="N648" s="190"/>
      <c r="O648" s="190"/>
      <c r="P648" s="190"/>
      <c r="Q648" s="190"/>
    </row>
    <row r="649" spans="1:17" s="3" customFormat="1" ht="13.5" customHeight="1">
      <c r="A649" s="81" t="s">
        <v>32</v>
      </c>
      <c r="B649" s="145">
        <v>774</v>
      </c>
      <c r="C649" s="83" t="s">
        <v>26</v>
      </c>
      <c r="D649" s="83" t="s">
        <v>28</v>
      </c>
      <c r="E649" s="83" t="s">
        <v>442</v>
      </c>
      <c r="F649" s="83" t="s">
        <v>33</v>
      </c>
      <c r="G649" s="86">
        <f>500000-140000</f>
        <v>360000</v>
      </c>
      <c r="H649" s="86">
        <v>360000</v>
      </c>
      <c r="I649" s="171"/>
      <c r="J649" s="190"/>
      <c r="K649" s="190"/>
      <c r="L649" s="190"/>
      <c r="M649" s="190"/>
      <c r="N649" s="190"/>
      <c r="O649" s="190"/>
      <c r="P649" s="190"/>
      <c r="Q649" s="190"/>
    </row>
    <row r="650" spans="1:17" s="3" customFormat="1" ht="38.25">
      <c r="A650" s="81" t="s">
        <v>894</v>
      </c>
      <c r="B650" s="145">
        <v>774</v>
      </c>
      <c r="C650" s="83" t="s">
        <v>26</v>
      </c>
      <c r="D650" s="83" t="s">
        <v>28</v>
      </c>
      <c r="E650" s="83" t="s">
        <v>893</v>
      </c>
      <c r="F650" s="83"/>
      <c r="G650" s="86">
        <f>G651</f>
        <v>0</v>
      </c>
      <c r="H650" s="86">
        <f t="shared" ref="H650:H654" si="156">H651</f>
        <v>0</v>
      </c>
      <c r="I650" s="171"/>
      <c r="J650" s="190"/>
      <c r="K650" s="190"/>
      <c r="L650" s="190"/>
      <c r="M650" s="190"/>
      <c r="N650" s="190"/>
      <c r="O650" s="190"/>
      <c r="P650" s="190"/>
      <c r="Q650" s="190"/>
    </row>
    <row r="651" spans="1:17" s="3" customFormat="1" ht="33" customHeight="1">
      <c r="A651" s="81" t="s">
        <v>30</v>
      </c>
      <c r="B651" s="145">
        <v>774</v>
      </c>
      <c r="C651" s="83" t="s">
        <v>26</v>
      </c>
      <c r="D651" s="83" t="s">
        <v>28</v>
      </c>
      <c r="E651" s="83" t="s">
        <v>893</v>
      </c>
      <c r="F651" s="83" t="s">
        <v>31</v>
      </c>
      <c r="G651" s="86">
        <f>G652</f>
        <v>0</v>
      </c>
      <c r="H651" s="86">
        <f t="shared" si="156"/>
        <v>0</v>
      </c>
      <c r="I651" s="171"/>
      <c r="J651" s="190"/>
      <c r="K651" s="190"/>
      <c r="L651" s="190"/>
      <c r="M651" s="190"/>
      <c r="N651" s="190"/>
      <c r="O651" s="190"/>
      <c r="P651" s="190"/>
      <c r="Q651" s="190"/>
    </row>
    <row r="652" spans="1:17" s="3" customFormat="1">
      <c r="A652" s="81" t="s">
        <v>32</v>
      </c>
      <c r="B652" s="145">
        <v>774</v>
      </c>
      <c r="C652" s="83" t="s">
        <v>26</v>
      </c>
      <c r="D652" s="83" t="s">
        <v>28</v>
      </c>
      <c r="E652" s="83" t="s">
        <v>893</v>
      </c>
      <c r="F652" s="83" t="s">
        <v>33</v>
      </c>
      <c r="G652" s="86">
        <f>600000-600000</f>
        <v>0</v>
      </c>
      <c r="H652" s="86">
        <v>0</v>
      </c>
      <c r="I652" s="171"/>
      <c r="J652" s="190"/>
      <c r="K652" s="190"/>
      <c r="L652" s="190"/>
      <c r="M652" s="190"/>
      <c r="N652" s="190"/>
      <c r="O652" s="190"/>
      <c r="P652" s="190"/>
      <c r="Q652" s="190"/>
    </row>
    <row r="653" spans="1:17" s="3" customFormat="1" ht="38.25">
      <c r="A653" s="81" t="s">
        <v>896</v>
      </c>
      <c r="B653" s="145">
        <v>774</v>
      </c>
      <c r="C653" s="83" t="s">
        <v>26</v>
      </c>
      <c r="D653" s="83" t="s">
        <v>28</v>
      </c>
      <c r="E653" s="83" t="s">
        <v>895</v>
      </c>
      <c r="F653" s="83"/>
      <c r="G653" s="86">
        <f>G654</f>
        <v>0</v>
      </c>
      <c r="H653" s="86">
        <f t="shared" si="156"/>
        <v>0</v>
      </c>
      <c r="I653" s="171"/>
      <c r="J653" s="190"/>
      <c r="K653" s="190"/>
      <c r="L653" s="190"/>
      <c r="M653" s="190"/>
      <c r="N653" s="190"/>
      <c r="O653" s="190"/>
      <c r="P653" s="190"/>
      <c r="Q653" s="190"/>
    </row>
    <row r="654" spans="1:17" s="3" customFormat="1" ht="33" customHeight="1">
      <c r="A654" s="81" t="s">
        <v>30</v>
      </c>
      <c r="B654" s="145">
        <v>774</v>
      </c>
      <c r="C654" s="83" t="s">
        <v>26</v>
      </c>
      <c r="D654" s="83" t="s">
        <v>28</v>
      </c>
      <c r="E654" s="83" t="s">
        <v>895</v>
      </c>
      <c r="F654" s="83" t="s">
        <v>31</v>
      </c>
      <c r="G654" s="86">
        <f>G655</f>
        <v>0</v>
      </c>
      <c r="H654" s="86">
        <f t="shared" si="156"/>
        <v>0</v>
      </c>
      <c r="I654" s="171"/>
      <c r="J654" s="190"/>
      <c r="K654" s="190"/>
      <c r="L654" s="190"/>
      <c r="M654" s="190"/>
      <c r="N654" s="190"/>
      <c r="O654" s="190"/>
      <c r="P654" s="190"/>
      <c r="Q654" s="190"/>
    </row>
    <row r="655" spans="1:17" s="3" customFormat="1">
      <c r="A655" s="81" t="s">
        <v>32</v>
      </c>
      <c r="B655" s="145">
        <v>774</v>
      </c>
      <c r="C655" s="83" t="s">
        <v>26</v>
      </c>
      <c r="D655" s="83" t="s">
        <v>28</v>
      </c>
      <c r="E655" s="83" t="s">
        <v>895</v>
      </c>
      <c r="F655" s="83" t="s">
        <v>33</v>
      </c>
      <c r="G655" s="86">
        <v>0</v>
      </c>
      <c r="H655" s="86">
        <v>0</v>
      </c>
      <c r="I655" s="171"/>
      <c r="J655" s="190"/>
      <c r="K655" s="190"/>
      <c r="L655" s="190"/>
      <c r="M655" s="190"/>
      <c r="N655" s="190"/>
      <c r="O655" s="190"/>
      <c r="P655" s="190"/>
      <c r="Q655" s="190"/>
    </row>
    <row r="656" spans="1:17" s="3" customFormat="1" ht="38.25" hidden="1">
      <c r="A656" s="81" t="s">
        <v>815</v>
      </c>
      <c r="B656" s="145">
        <v>774</v>
      </c>
      <c r="C656" s="83" t="s">
        <v>26</v>
      </c>
      <c r="D656" s="83" t="s">
        <v>28</v>
      </c>
      <c r="E656" s="83" t="s">
        <v>764</v>
      </c>
      <c r="F656" s="83"/>
      <c r="G656" s="86">
        <f t="shared" ref="G656:H672" si="157">G657</f>
        <v>0</v>
      </c>
      <c r="H656" s="86">
        <f t="shared" si="157"/>
        <v>0</v>
      </c>
      <c r="I656" s="171"/>
      <c r="J656" s="190"/>
      <c r="K656" s="190"/>
      <c r="L656" s="190"/>
      <c r="M656" s="190"/>
      <c r="N656" s="190"/>
      <c r="O656" s="190"/>
      <c r="P656" s="190"/>
      <c r="Q656" s="190"/>
    </row>
    <row r="657" spans="1:17" s="3" customFormat="1" ht="25.5" hidden="1">
      <c r="A657" s="81" t="s">
        <v>30</v>
      </c>
      <c r="B657" s="145">
        <v>774</v>
      </c>
      <c r="C657" s="83" t="s">
        <v>26</v>
      </c>
      <c r="D657" s="83" t="s">
        <v>28</v>
      </c>
      <c r="E657" s="83" t="s">
        <v>764</v>
      </c>
      <c r="F657" s="83" t="s">
        <v>31</v>
      </c>
      <c r="G657" s="86">
        <f t="shared" si="157"/>
        <v>0</v>
      </c>
      <c r="H657" s="86">
        <f t="shared" si="157"/>
        <v>0</v>
      </c>
      <c r="I657" s="171"/>
      <c r="J657" s="190"/>
      <c r="K657" s="190"/>
      <c r="L657" s="190"/>
      <c r="M657" s="190"/>
      <c r="N657" s="190"/>
      <c r="O657" s="190"/>
      <c r="P657" s="190"/>
      <c r="Q657" s="190"/>
    </row>
    <row r="658" spans="1:17" s="3" customFormat="1" hidden="1">
      <c r="A658" s="81" t="s">
        <v>32</v>
      </c>
      <c r="B658" s="145">
        <v>774</v>
      </c>
      <c r="C658" s="83" t="s">
        <v>26</v>
      </c>
      <c r="D658" s="83" t="s">
        <v>28</v>
      </c>
      <c r="E658" s="83" t="s">
        <v>764</v>
      </c>
      <c r="F658" s="83" t="s">
        <v>33</v>
      </c>
      <c r="G658" s="86"/>
      <c r="H658" s="86"/>
      <c r="I658" s="171"/>
      <c r="J658" s="190"/>
      <c r="K658" s="190"/>
      <c r="L658" s="190"/>
      <c r="M658" s="190"/>
      <c r="N658" s="190"/>
      <c r="O658" s="190"/>
      <c r="P658" s="190"/>
      <c r="Q658" s="190"/>
    </row>
    <row r="659" spans="1:17" s="3" customFormat="1" ht="25.5">
      <c r="A659" s="81" t="s">
        <v>996</v>
      </c>
      <c r="B659" s="145">
        <v>774</v>
      </c>
      <c r="C659" s="83" t="s">
        <v>26</v>
      </c>
      <c r="D659" s="83" t="s">
        <v>28</v>
      </c>
      <c r="E659" s="83" t="s">
        <v>219</v>
      </c>
      <c r="F659" s="83"/>
      <c r="G659" s="86">
        <f t="shared" ref="G659:H663" si="158">G660</f>
        <v>861259</v>
      </c>
      <c r="H659" s="86">
        <f t="shared" si="158"/>
        <v>336259</v>
      </c>
      <c r="I659" s="171"/>
      <c r="J659" s="190"/>
      <c r="K659" s="190"/>
      <c r="L659" s="190"/>
      <c r="M659" s="190"/>
      <c r="N659" s="190"/>
      <c r="O659" s="190"/>
      <c r="P659" s="190"/>
      <c r="Q659" s="190"/>
    </row>
    <row r="660" spans="1:17" s="3" customFormat="1" ht="25.5">
      <c r="A660" s="81" t="s">
        <v>30</v>
      </c>
      <c r="B660" s="145">
        <v>774</v>
      </c>
      <c r="C660" s="83" t="s">
        <v>26</v>
      </c>
      <c r="D660" s="83" t="s">
        <v>28</v>
      </c>
      <c r="E660" s="83" t="s">
        <v>219</v>
      </c>
      <c r="F660" s="83" t="s">
        <v>31</v>
      </c>
      <c r="G660" s="86">
        <f t="shared" si="158"/>
        <v>861259</v>
      </c>
      <c r="H660" s="86">
        <f t="shared" si="158"/>
        <v>336259</v>
      </c>
      <c r="I660" s="171"/>
      <c r="J660" s="190"/>
      <c r="K660" s="190"/>
      <c r="L660" s="190"/>
      <c r="M660" s="190"/>
      <c r="N660" s="190"/>
      <c r="O660" s="190"/>
      <c r="P660" s="190"/>
      <c r="Q660" s="190"/>
    </row>
    <row r="661" spans="1:17" s="3" customFormat="1">
      <c r="A661" s="81" t="s">
        <v>32</v>
      </c>
      <c r="B661" s="145">
        <v>774</v>
      </c>
      <c r="C661" s="83" t="s">
        <v>26</v>
      </c>
      <c r="D661" s="83" t="s">
        <v>28</v>
      </c>
      <c r="E661" s="83" t="s">
        <v>219</v>
      </c>
      <c r="F661" s="83" t="s">
        <v>33</v>
      </c>
      <c r="G661" s="86">
        <f>336259+525000</f>
        <v>861259</v>
      </c>
      <c r="H661" s="86">
        <v>336259</v>
      </c>
      <c r="I661" s="171"/>
      <c r="J661" s="190"/>
      <c r="K661" s="190"/>
      <c r="L661" s="190"/>
      <c r="M661" s="190"/>
      <c r="N661" s="190"/>
      <c r="O661" s="190"/>
      <c r="P661" s="190"/>
      <c r="Q661" s="190"/>
    </row>
    <row r="662" spans="1:17" s="3" customFormat="1" ht="25.5">
      <c r="A662" s="81" t="s">
        <v>995</v>
      </c>
      <c r="B662" s="145">
        <v>774</v>
      </c>
      <c r="C662" s="83" t="s">
        <v>26</v>
      </c>
      <c r="D662" s="83" t="s">
        <v>28</v>
      </c>
      <c r="E662" s="83" t="s">
        <v>993</v>
      </c>
      <c r="F662" s="83"/>
      <c r="G662" s="86">
        <f t="shared" si="158"/>
        <v>1684091.15</v>
      </c>
      <c r="H662" s="86">
        <f t="shared" si="158"/>
        <v>1684091.15</v>
      </c>
      <c r="I662" s="171"/>
      <c r="J662" s="190"/>
      <c r="K662" s="190"/>
      <c r="L662" s="190"/>
      <c r="M662" s="190"/>
      <c r="N662" s="190"/>
      <c r="O662" s="190"/>
      <c r="P662" s="190"/>
      <c r="Q662" s="190"/>
    </row>
    <row r="663" spans="1:17" s="3" customFormat="1" ht="25.5">
      <c r="A663" s="81" t="s">
        <v>30</v>
      </c>
      <c r="B663" s="145">
        <v>774</v>
      </c>
      <c r="C663" s="83" t="s">
        <v>26</v>
      </c>
      <c r="D663" s="83" t="s">
        <v>28</v>
      </c>
      <c r="E663" s="83" t="s">
        <v>993</v>
      </c>
      <c r="F663" s="83" t="s">
        <v>31</v>
      </c>
      <c r="G663" s="86">
        <f t="shared" si="158"/>
        <v>1684091.15</v>
      </c>
      <c r="H663" s="86">
        <f t="shared" si="158"/>
        <v>1684091.15</v>
      </c>
      <c r="I663" s="171"/>
      <c r="J663" s="190"/>
      <c r="K663" s="190"/>
      <c r="L663" s="190"/>
      <c r="M663" s="190"/>
      <c r="N663" s="190"/>
      <c r="O663" s="190"/>
      <c r="P663" s="190"/>
      <c r="Q663" s="190"/>
    </row>
    <row r="664" spans="1:17" s="3" customFormat="1">
      <c r="A664" s="81" t="s">
        <v>32</v>
      </c>
      <c r="B664" s="145">
        <v>774</v>
      </c>
      <c r="C664" s="83" t="s">
        <v>26</v>
      </c>
      <c r="D664" s="83" t="s">
        <v>28</v>
      </c>
      <c r="E664" s="83" t="s">
        <v>993</v>
      </c>
      <c r="F664" s="83" t="s">
        <v>33</v>
      </c>
      <c r="G664" s="86">
        <f>1755460+100000+300459.15-525000+53172</f>
        <v>1684091.15</v>
      </c>
      <c r="H664" s="86">
        <v>1684091.15</v>
      </c>
      <c r="I664" s="171"/>
      <c r="J664" s="190"/>
      <c r="K664" s="190"/>
      <c r="L664" s="190"/>
      <c r="M664" s="190"/>
      <c r="N664" s="190"/>
      <c r="O664" s="190"/>
      <c r="P664" s="190"/>
      <c r="Q664" s="190"/>
    </row>
    <row r="665" spans="1:17" s="3" customFormat="1" ht="65.25" customHeight="1">
      <c r="A665" s="81" t="s">
        <v>952</v>
      </c>
      <c r="B665" s="145">
        <v>774</v>
      </c>
      <c r="C665" s="83" t="s">
        <v>26</v>
      </c>
      <c r="D665" s="83" t="s">
        <v>28</v>
      </c>
      <c r="E665" s="83" t="s">
        <v>731</v>
      </c>
      <c r="F665" s="83"/>
      <c r="G665" s="86">
        <f t="shared" ref="G665:H666" si="159">G666</f>
        <v>3461741</v>
      </c>
      <c r="H665" s="86">
        <f t="shared" si="159"/>
        <v>3461741</v>
      </c>
      <c r="I665" s="171"/>
      <c r="J665" s="190"/>
      <c r="K665" s="190"/>
      <c r="L665" s="190"/>
      <c r="M665" s="190"/>
      <c r="N665" s="190"/>
      <c r="O665" s="190"/>
      <c r="P665" s="190"/>
      <c r="Q665" s="190"/>
    </row>
    <row r="666" spans="1:17" s="3" customFormat="1" ht="25.5">
      <c r="A666" s="81" t="s">
        <v>30</v>
      </c>
      <c r="B666" s="145">
        <v>774</v>
      </c>
      <c r="C666" s="83" t="s">
        <v>26</v>
      </c>
      <c r="D666" s="83" t="s">
        <v>28</v>
      </c>
      <c r="E666" s="83" t="s">
        <v>731</v>
      </c>
      <c r="F666" s="83" t="s">
        <v>31</v>
      </c>
      <c r="G666" s="86">
        <f t="shared" si="159"/>
        <v>3461741</v>
      </c>
      <c r="H666" s="86">
        <f t="shared" si="159"/>
        <v>3461741</v>
      </c>
      <c r="I666" s="171"/>
      <c r="J666" s="190"/>
      <c r="K666" s="190"/>
      <c r="L666" s="190"/>
      <c r="M666" s="190"/>
      <c r="N666" s="190"/>
      <c r="O666" s="190"/>
      <c r="P666" s="190"/>
      <c r="Q666" s="190"/>
    </row>
    <row r="667" spans="1:17" s="3" customFormat="1">
      <c r="A667" s="81" t="s">
        <v>32</v>
      </c>
      <c r="B667" s="145">
        <v>774</v>
      </c>
      <c r="C667" s="83" t="s">
        <v>26</v>
      </c>
      <c r="D667" s="83" t="s">
        <v>28</v>
      </c>
      <c r="E667" s="83" t="s">
        <v>731</v>
      </c>
      <c r="F667" s="83" t="s">
        <v>33</v>
      </c>
      <c r="G667" s="86">
        <f>1500000+163741+600000+1510000+40000+39000+40000-431000</f>
        <v>3461741</v>
      </c>
      <c r="H667" s="86">
        <v>3461741</v>
      </c>
      <c r="I667" s="171"/>
      <c r="J667" s="190"/>
      <c r="K667" s="190"/>
      <c r="L667" s="190"/>
      <c r="M667" s="190"/>
      <c r="N667" s="190"/>
      <c r="O667" s="190"/>
      <c r="P667" s="190"/>
      <c r="Q667" s="190"/>
    </row>
    <row r="668" spans="1:17" s="3" customFormat="1">
      <c r="A668" s="81" t="s">
        <v>878</v>
      </c>
      <c r="B668" s="145">
        <v>774</v>
      </c>
      <c r="C668" s="83" t="s">
        <v>26</v>
      </c>
      <c r="D668" s="83" t="s">
        <v>28</v>
      </c>
      <c r="E668" s="83" t="s">
        <v>877</v>
      </c>
      <c r="F668" s="83"/>
      <c r="G668" s="86">
        <f t="shared" si="157"/>
        <v>2030562.73</v>
      </c>
      <c r="H668" s="86">
        <f t="shared" si="157"/>
        <v>2030562.73</v>
      </c>
      <c r="I668" s="171"/>
      <c r="J668" s="190"/>
      <c r="K668" s="190"/>
      <c r="L668" s="190"/>
      <c r="M668" s="190"/>
      <c r="N668" s="190"/>
      <c r="O668" s="190"/>
      <c r="P668" s="190"/>
      <c r="Q668" s="190"/>
    </row>
    <row r="669" spans="1:17" s="3" customFormat="1" ht="25.5">
      <c r="A669" s="81" t="s">
        <v>30</v>
      </c>
      <c r="B669" s="145">
        <v>774</v>
      </c>
      <c r="C669" s="83" t="s">
        <v>26</v>
      </c>
      <c r="D669" s="83" t="s">
        <v>28</v>
      </c>
      <c r="E669" s="83" t="s">
        <v>877</v>
      </c>
      <c r="F669" s="83" t="s">
        <v>31</v>
      </c>
      <c r="G669" s="86">
        <f t="shared" si="157"/>
        <v>2030562.73</v>
      </c>
      <c r="H669" s="86">
        <f t="shared" si="157"/>
        <v>2030562.73</v>
      </c>
      <c r="I669" s="171"/>
      <c r="J669" s="190"/>
      <c r="K669" s="190"/>
      <c r="L669" s="190"/>
      <c r="M669" s="190"/>
      <c r="N669" s="190"/>
      <c r="O669" s="190"/>
      <c r="P669" s="190"/>
      <c r="Q669" s="190"/>
    </row>
    <row r="670" spans="1:17" s="3" customFormat="1">
      <c r="A670" s="81" t="s">
        <v>32</v>
      </c>
      <c r="B670" s="145">
        <v>774</v>
      </c>
      <c r="C670" s="83" t="s">
        <v>26</v>
      </c>
      <c r="D670" s="83" t="s">
        <v>28</v>
      </c>
      <c r="E670" s="83" t="s">
        <v>877</v>
      </c>
      <c r="F670" s="83" t="s">
        <v>33</v>
      </c>
      <c r="G670" s="86">
        <f>3764124-1733561.27</f>
        <v>2030562.73</v>
      </c>
      <c r="H670" s="86">
        <v>2030562.73</v>
      </c>
      <c r="I670" s="171"/>
      <c r="J670" s="190"/>
      <c r="K670" s="190"/>
      <c r="L670" s="190"/>
      <c r="M670" s="190"/>
      <c r="N670" s="190"/>
      <c r="O670" s="190"/>
      <c r="P670" s="190"/>
      <c r="Q670" s="190"/>
    </row>
    <row r="671" spans="1:17" s="3" customFormat="1" ht="25.5" customHeight="1">
      <c r="A671" s="81" t="s">
        <v>880</v>
      </c>
      <c r="B671" s="145">
        <v>774</v>
      </c>
      <c r="C671" s="83" t="s">
        <v>26</v>
      </c>
      <c r="D671" s="83" t="s">
        <v>28</v>
      </c>
      <c r="E671" s="83" t="s">
        <v>879</v>
      </c>
      <c r="F671" s="83"/>
      <c r="G671" s="86">
        <f t="shared" si="157"/>
        <v>500000</v>
      </c>
      <c r="H671" s="86">
        <f t="shared" si="157"/>
        <v>500000</v>
      </c>
      <c r="I671" s="171"/>
      <c r="J671" s="190"/>
      <c r="K671" s="190"/>
      <c r="L671" s="190"/>
      <c r="M671" s="190"/>
      <c r="N671" s="190"/>
      <c r="O671" s="190"/>
      <c r="P671" s="190"/>
      <c r="Q671" s="190"/>
    </row>
    <row r="672" spans="1:17" s="3" customFormat="1" ht="25.5">
      <c r="A672" s="81" t="s">
        <v>30</v>
      </c>
      <c r="B672" s="145">
        <v>774</v>
      </c>
      <c r="C672" s="83" t="s">
        <v>26</v>
      </c>
      <c r="D672" s="83" t="s">
        <v>28</v>
      </c>
      <c r="E672" s="83" t="s">
        <v>879</v>
      </c>
      <c r="F672" s="83" t="s">
        <v>31</v>
      </c>
      <c r="G672" s="86">
        <f t="shared" si="157"/>
        <v>500000</v>
      </c>
      <c r="H672" s="86">
        <f t="shared" si="157"/>
        <v>500000</v>
      </c>
      <c r="I672" s="171"/>
      <c r="J672" s="190"/>
      <c r="K672" s="190"/>
      <c r="L672" s="190"/>
      <c r="M672" s="190"/>
      <c r="N672" s="190"/>
      <c r="O672" s="190"/>
      <c r="P672" s="190"/>
      <c r="Q672" s="190"/>
    </row>
    <row r="673" spans="1:17" s="3" customFormat="1">
      <c r="A673" s="81" t="s">
        <v>32</v>
      </c>
      <c r="B673" s="145">
        <v>774</v>
      </c>
      <c r="C673" s="83" t="s">
        <v>26</v>
      </c>
      <c r="D673" s="83" t="s">
        <v>28</v>
      </c>
      <c r="E673" s="83" t="s">
        <v>879</v>
      </c>
      <c r="F673" s="83" t="s">
        <v>33</v>
      </c>
      <c r="G673" s="86">
        <v>500000</v>
      </c>
      <c r="H673" s="86">
        <v>500000</v>
      </c>
      <c r="I673" s="171"/>
      <c r="J673" s="190"/>
      <c r="K673" s="190"/>
      <c r="L673" s="190"/>
      <c r="M673" s="190"/>
      <c r="N673" s="190"/>
      <c r="O673" s="190"/>
      <c r="P673" s="190"/>
      <c r="Q673" s="190"/>
    </row>
    <row r="674" spans="1:17" s="3" customFormat="1" ht="33" hidden="1" customHeight="1">
      <c r="A674" s="81" t="s">
        <v>723</v>
      </c>
      <c r="B674" s="145">
        <v>774</v>
      </c>
      <c r="C674" s="83" t="s">
        <v>26</v>
      </c>
      <c r="D674" s="83" t="s">
        <v>28</v>
      </c>
      <c r="E674" s="83" t="s">
        <v>722</v>
      </c>
      <c r="F674" s="83"/>
      <c r="G674" s="86">
        <f t="shared" ref="G674:H678" si="160">G675</f>
        <v>0</v>
      </c>
      <c r="H674" s="86">
        <f t="shared" si="160"/>
        <v>0</v>
      </c>
      <c r="I674" s="171"/>
      <c r="J674" s="190"/>
      <c r="K674" s="190"/>
      <c r="L674" s="190"/>
      <c r="M674" s="190"/>
      <c r="N674" s="190"/>
      <c r="O674" s="190"/>
      <c r="P674" s="190"/>
      <c r="Q674" s="190"/>
    </row>
    <row r="675" spans="1:17" s="3" customFormat="1" ht="25.5" hidden="1">
      <c r="A675" s="81" t="s">
        <v>30</v>
      </c>
      <c r="B675" s="145">
        <v>774</v>
      </c>
      <c r="C675" s="83" t="s">
        <v>26</v>
      </c>
      <c r="D675" s="83" t="s">
        <v>28</v>
      </c>
      <c r="E675" s="83" t="s">
        <v>722</v>
      </c>
      <c r="F675" s="83" t="s">
        <v>31</v>
      </c>
      <c r="G675" s="86">
        <f t="shared" si="160"/>
        <v>0</v>
      </c>
      <c r="H675" s="86">
        <f t="shared" si="160"/>
        <v>0</v>
      </c>
      <c r="I675" s="171"/>
      <c r="J675" s="190"/>
      <c r="K675" s="190"/>
      <c r="L675" s="190"/>
      <c r="M675" s="190"/>
      <c r="N675" s="190"/>
      <c r="O675" s="190"/>
      <c r="P675" s="190"/>
      <c r="Q675" s="190"/>
    </row>
    <row r="676" spans="1:17" s="3" customFormat="1" hidden="1">
      <c r="A676" s="81" t="s">
        <v>32</v>
      </c>
      <c r="B676" s="145">
        <v>774</v>
      </c>
      <c r="C676" s="83" t="s">
        <v>26</v>
      </c>
      <c r="D676" s="83" t="s">
        <v>28</v>
      </c>
      <c r="E676" s="83" t="s">
        <v>722</v>
      </c>
      <c r="F676" s="83" t="s">
        <v>33</v>
      </c>
      <c r="G676" s="86"/>
      <c r="H676" s="86"/>
      <c r="I676" s="171"/>
      <c r="J676" s="190"/>
      <c r="K676" s="190"/>
      <c r="L676" s="190"/>
      <c r="M676" s="190"/>
      <c r="N676" s="190"/>
      <c r="O676" s="190"/>
      <c r="P676" s="190"/>
      <c r="Q676" s="190"/>
    </row>
    <row r="677" spans="1:17" s="3" customFormat="1" ht="54.75" hidden="1" customHeight="1">
      <c r="A677" s="81" t="s">
        <v>741</v>
      </c>
      <c r="B677" s="145">
        <v>774</v>
      </c>
      <c r="C677" s="83" t="s">
        <v>26</v>
      </c>
      <c r="D677" s="83" t="s">
        <v>28</v>
      </c>
      <c r="E677" s="83" t="s">
        <v>729</v>
      </c>
      <c r="F677" s="83"/>
      <c r="G677" s="86">
        <f t="shared" si="160"/>
        <v>0</v>
      </c>
      <c r="H677" s="86">
        <f t="shared" si="160"/>
        <v>0</v>
      </c>
      <c r="I677" s="171"/>
      <c r="J677" s="190"/>
      <c r="K677" s="190"/>
      <c r="L677" s="190"/>
      <c r="M677" s="190"/>
      <c r="N677" s="190"/>
      <c r="O677" s="190"/>
      <c r="P677" s="190"/>
      <c r="Q677" s="190"/>
    </row>
    <row r="678" spans="1:17" s="3" customFormat="1" ht="25.5" hidden="1">
      <c r="A678" s="81" t="s">
        <v>30</v>
      </c>
      <c r="B678" s="145">
        <v>774</v>
      </c>
      <c r="C678" s="83" t="s">
        <v>26</v>
      </c>
      <c r="D678" s="83" t="s">
        <v>28</v>
      </c>
      <c r="E678" s="83" t="s">
        <v>729</v>
      </c>
      <c r="F678" s="83" t="s">
        <v>31</v>
      </c>
      <c r="G678" s="86">
        <f t="shared" si="160"/>
        <v>0</v>
      </c>
      <c r="H678" s="86">
        <f t="shared" si="160"/>
        <v>0</v>
      </c>
      <c r="I678" s="171"/>
      <c r="J678" s="190"/>
      <c r="K678" s="190"/>
      <c r="L678" s="190"/>
      <c r="M678" s="190"/>
      <c r="N678" s="190"/>
      <c r="O678" s="190"/>
      <c r="P678" s="190"/>
      <c r="Q678" s="190"/>
    </row>
    <row r="679" spans="1:17" s="3" customFormat="1" hidden="1">
      <c r="A679" s="81" t="s">
        <v>32</v>
      </c>
      <c r="B679" s="145">
        <v>774</v>
      </c>
      <c r="C679" s="83" t="s">
        <v>26</v>
      </c>
      <c r="D679" s="83" t="s">
        <v>28</v>
      </c>
      <c r="E679" s="83" t="s">
        <v>729</v>
      </c>
      <c r="F679" s="83" t="s">
        <v>33</v>
      </c>
      <c r="G679" s="86"/>
      <c r="H679" s="86">
        <v>0</v>
      </c>
      <c r="I679" s="171"/>
      <c r="J679" s="190"/>
      <c r="K679" s="190"/>
      <c r="L679" s="190"/>
      <c r="M679" s="190"/>
      <c r="N679" s="190"/>
      <c r="O679" s="190"/>
      <c r="P679" s="190"/>
      <c r="Q679" s="190"/>
    </row>
    <row r="680" spans="1:17" s="3" customFormat="1" ht="38.25" hidden="1" customHeight="1">
      <c r="A680" s="81" t="s">
        <v>634</v>
      </c>
      <c r="B680" s="145">
        <v>774</v>
      </c>
      <c r="C680" s="83" t="s">
        <v>26</v>
      </c>
      <c r="D680" s="83" t="s">
        <v>28</v>
      </c>
      <c r="E680" s="83" t="s">
        <v>633</v>
      </c>
      <c r="F680" s="83"/>
      <c r="G680" s="86">
        <f t="shared" ref="G680:H681" si="161">G681</f>
        <v>0</v>
      </c>
      <c r="H680" s="86">
        <f t="shared" si="161"/>
        <v>0</v>
      </c>
      <c r="I680" s="171"/>
      <c r="J680" s="190"/>
      <c r="K680" s="190"/>
      <c r="L680" s="190"/>
      <c r="M680" s="190"/>
      <c r="N680" s="190"/>
      <c r="O680" s="190"/>
      <c r="P680" s="190"/>
      <c r="Q680" s="190"/>
    </row>
    <row r="681" spans="1:17" s="3" customFormat="1" ht="25.5" hidden="1" customHeight="1">
      <c r="A681" s="81" t="s">
        <v>30</v>
      </c>
      <c r="B681" s="145">
        <v>774</v>
      </c>
      <c r="C681" s="83" t="s">
        <v>26</v>
      </c>
      <c r="D681" s="83" t="s">
        <v>28</v>
      </c>
      <c r="E681" s="83" t="s">
        <v>633</v>
      </c>
      <c r="F681" s="83" t="s">
        <v>31</v>
      </c>
      <c r="G681" s="86">
        <f t="shared" si="161"/>
        <v>0</v>
      </c>
      <c r="H681" s="86">
        <f t="shared" si="161"/>
        <v>0</v>
      </c>
      <c r="I681" s="171"/>
      <c r="J681" s="190"/>
      <c r="K681" s="190"/>
      <c r="L681" s="190"/>
      <c r="M681" s="190"/>
      <c r="N681" s="190"/>
      <c r="O681" s="190"/>
      <c r="P681" s="190"/>
      <c r="Q681" s="190"/>
    </row>
    <row r="682" spans="1:17" s="3" customFormat="1" ht="12.75" hidden="1" customHeight="1">
      <c r="A682" s="81" t="s">
        <v>32</v>
      </c>
      <c r="B682" s="145">
        <v>774</v>
      </c>
      <c r="C682" s="83" t="s">
        <v>26</v>
      </c>
      <c r="D682" s="83" t="s">
        <v>28</v>
      </c>
      <c r="E682" s="83" t="s">
        <v>633</v>
      </c>
      <c r="F682" s="83" t="s">
        <v>33</v>
      </c>
      <c r="G682" s="86"/>
      <c r="H682" s="86"/>
      <c r="I682" s="171"/>
      <c r="J682" s="190"/>
      <c r="K682" s="190"/>
      <c r="L682" s="190"/>
      <c r="M682" s="190"/>
      <c r="N682" s="190"/>
      <c r="O682" s="190"/>
      <c r="P682" s="190"/>
      <c r="Q682" s="190"/>
    </row>
    <row r="683" spans="1:17" s="3" customFormat="1" ht="49.5" customHeight="1">
      <c r="A683" s="81" t="s">
        <v>907</v>
      </c>
      <c r="B683" s="145">
        <v>774</v>
      </c>
      <c r="C683" s="83" t="s">
        <v>26</v>
      </c>
      <c r="D683" s="83" t="s">
        <v>28</v>
      </c>
      <c r="E683" s="83" t="s">
        <v>892</v>
      </c>
      <c r="F683" s="83"/>
      <c r="G683" s="86">
        <f t="shared" ref="G683:H684" si="162">G684</f>
        <v>0</v>
      </c>
      <c r="H683" s="86">
        <f t="shared" si="162"/>
        <v>0</v>
      </c>
      <c r="I683" s="171"/>
      <c r="J683" s="190"/>
      <c r="K683" s="190"/>
      <c r="L683" s="190"/>
      <c r="M683" s="190"/>
      <c r="N683" s="190"/>
      <c r="O683" s="190"/>
      <c r="P683" s="190"/>
      <c r="Q683" s="190"/>
    </row>
    <row r="684" spans="1:17" s="3" customFormat="1" ht="25.5">
      <c r="A684" s="81" t="s">
        <v>30</v>
      </c>
      <c r="B684" s="145">
        <v>774</v>
      </c>
      <c r="C684" s="83" t="s">
        <v>26</v>
      </c>
      <c r="D684" s="83" t="s">
        <v>28</v>
      </c>
      <c r="E684" s="83" t="s">
        <v>892</v>
      </c>
      <c r="F684" s="83" t="s">
        <v>31</v>
      </c>
      <c r="G684" s="86">
        <f t="shared" si="162"/>
        <v>0</v>
      </c>
      <c r="H684" s="86">
        <f t="shared" si="162"/>
        <v>0</v>
      </c>
      <c r="I684" s="171"/>
      <c r="J684" s="190"/>
      <c r="K684" s="190"/>
      <c r="L684" s="190"/>
      <c r="M684" s="190"/>
      <c r="N684" s="190"/>
      <c r="O684" s="190"/>
      <c r="P684" s="190"/>
      <c r="Q684" s="190"/>
    </row>
    <row r="685" spans="1:17" s="3" customFormat="1">
      <c r="A685" s="81" t="s">
        <v>32</v>
      </c>
      <c r="B685" s="145">
        <v>774</v>
      </c>
      <c r="C685" s="83" t="s">
        <v>26</v>
      </c>
      <c r="D685" s="83" t="s">
        <v>28</v>
      </c>
      <c r="E685" s="83" t="s">
        <v>892</v>
      </c>
      <c r="F685" s="83" t="s">
        <v>33</v>
      </c>
      <c r="G685" s="86">
        <f>624075.24-624075.24</f>
        <v>0</v>
      </c>
      <c r="H685" s="86">
        <v>0</v>
      </c>
      <c r="I685" s="171"/>
      <c r="J685" s="190"/>
      <c r="K685" s="190"/>
      <c r="L685" s="190"/>
      <c r="M685" s="190"/>
      <c r="N685" s="190"/>
      <c r="O685" s="190"/>
      <c r="P685" s="190"/>
      <c r="Q685" s="190"/>
    </row>
    <row r="686" spans="1:17" s="3" customFormat="1" ht="49.5" customHeight="1">
      <c r="A686" s="81" t="s">
        <v>906</v>
      </c>
      <c r="B686" s="145">
        <v>774</v>
      </c>
      <c r="C686" s="83" t="s">
        <v>26</v>
      </c>
      <c r="D686" s="83" t="s">
        <v>28</v>
      </c>
      <c r="E686" s="83" t="s">
        <v>891</v>
      </c>
      <c r="F686" s="83"/>
      <c r="G686" s="86">
        <f t="shared" ref="G686:H714" si="163">G687</f>
        <v>978810.2</v>
      </c>
      <c r="H686" s="86">
        <f t="shared" si="163"/>
        <v>978810.2</v>
      </c>
      <c r="I686" s="171"/>
      <c r="J686" s="190"/>
      <c r="K686" s="190"/>
      <c r="L686" s="190"/>
      <c r="M686" s="190"/>
      <c r="N686" s="190"/>
      <c r="O686" s="190"/>
      <c r="P686" s="190"/>
      <c r="Q686" s="190"/>
    </row>
    <row r="687" spans="1:17" s="3" customFormat="1" ht="25.5">
      <c r="A687" s="81" t="s">
        <v>30</v>
      </c>
      <c r="B687" s="145">
        <v>774</v>
      </c>
      <c r="C687" s="83" t="s">
        <v>26</v>
      </c>
      <c r="D687" s="83" t="s">
        <v>28</v>
      </c>
      <c r="E687" s="83" t="s">
        <v>891</v>
      </c>
      <c r="F687" s="83" t="s">
        <v>31</v>
      </c>
      <c r="G687" s="86">
        <f t="shared" si="163"/>
        <v>978810.2</v>
      </c>
      <c r="H687" s="86">
        <f t="shared" si="163"/>
        <v>978810.2</v>
      </c>
      <c r="I687" s="171"/>
      <c r="J687" s="190"/>
      <c r="K687" s="190"/>
      <c r="L687" s="190"/>
      <c r="M687" s="190"/>
      <c r="N687" s="190"/>
      <c r="O687" s="190"/>
      <c r="P687" s="190"/>
      <c r="Q687" s="190"/>
    </row>
    <row r="688" spans="1:17" s="3" customFormat="1">
      <c r="A688" s="81" t="s">
        <v>32</v>
      </c>
      <c r="B688" s="145">
        <v>774</v>
      </c>
      <c r="C688" s="83" t="s">
        <v>26</v>
      </c>
      <c r="D688" s="83" t="s">
        <v>28</v>
      </c>
      <c r="E688" s="83" t="s">
        <v>891</v>
      </c>
      <c r="F688" s="83" t="s">
        <v>33</v>
      </c>
      <c r="G688" s="86">
        <f>718810.2-40000-300000+600000</f>
        <v>978810.2</v>
      </c>
      <c r="H688" s="86">
        <v>978810.2</v>
      </c>
      <c r="I688" s="171"/>
      <c r="J688" s="190"/>
      <c r="K688" s="190"/>
      <c r="L688" s="190"/>
      <c r="M688" s="190"/>
      <c r="N688" s="190"/>
      <c r="O688" s="190"/>
      <c r="P688" s="190"/>
      <c r="Q688" s="190"/>
    </row>
    <row r="689" spans="1:17" s="3" customFormat="1" ht="49.5" customHeight="1">
      <c r="A689" s="81" t="s">
        <v>1041</v>
      </c>
      <c r="B689" s="145">
        <v>774</v>
      </c>
      <c r="C689" s="83" t="s">
        <v>26</v>
      </c>
      <c r="D689" s="83" t="s">
        <v>28</v>
      </c>
      <c r="E689" s="83" t="s">
        <v>1040</v>
      </c>
      <c r="F689" s="83"/>
      <c r="G689" s="86">
        <f t="shared" ref="G689:H690" si="164">G690</f>
        <v>750000</v>
      </c>
      <c r="H689" s="86">
        <f t="shared" si="164"/>
        <v>750000</v>
      </c>
      <c r="I689" s="171"/>
      <c r="J689" s="190"/>
      <c r="K689" s="190"/>
      <c r="L689" s="190"/>
      <c r="M689" s="190"/>
      <c r="N689" s="190"/>
      <c r="O689" s="190"/>
      <c r="P689" s="190"/>
      <c r="Q689" s="190"/>
    </row>
    <row r="690" spans="1:17" s="3" customFormat="1" ht="25.5">
      <c r="A690" s="81" t="s">
        <v>30</v>
      </c>
      <c r="B690" s="145">
        <v>774</v>
      </c>
      <c r="C690" s="83" t="s">
        <v>26</v>
      </c>
      <c r="D690" s="83" t="s">
        <v>28</v>
      </c>
      <c r="E690" s="83" t="s">
        <v>1040</v>
      </c>
      <c r="F690" s="83" t="s">
        <v>31</v>
      </c>
      <c r="G690" s="86">
        <f t="shared" si="164"/>
        <v>750000</v>
      </c>
      <c r="H690" s="86">
        <f t="shared" si="164"/>
        <v>750000</v>
      </c>
      <c r="I690" s="171"/>
      <c r="J690" s="190"/>
      <c r="K690" s="190"/>
      <c r="L690" s="190"/>
      <c r="M690" s="190"/>
      <c r="N690" s="190"/>
      <c r="O690" s="190"/>
      <c r="P690" s="190"/>
      <c r="Q690" s="190"/>
    </row>
    <row r="691" spans="1:17" s="3" customFormat="1">
      <c r="A691" s="81" t="s">
        <v>32</v>
      </c>
      <c r="B691" s="145">
        <v>774</v>
      </c>
      <c r="C691" s="83" t="s">
        <v>26</v>
      </c>
      <c r="D691" s="83" t="s">
        <v>28</v>
      </c>
      <c r="E691" s="83" t="s">
        <v>1040</v>
      </c>
      <c r="F691" s="83" t="s">
        <v>33</v>
      </c>
      <c r="G691" s="86">
        <f>155924.76+594075.24</f>
        <v>750000</v>
      </c>
      <c r="H691" s="86">
        <v>750000</v>
      </c>
      <c r="I691" s="171"/>
      <c r="J691" s="190"/>
      <c r="K691" s="190"/>
      <c r="L691" s="190"/>
      <c r="M691" s="190"/>
      <c r="N691" s="190"/>
      <c r="O691" s="190"/>
      <c r="P691" s="190"/>
      <c r="Q691" s="190"/>
    </row>
    <row r="692" spans="1:17" s="3" customFormat="1" ht="49.5" customHeight="1">
      <c r="A692" s="81" t="s">
        <v>1045</v>
      </c>
      <c r="B692" s="145">
        <v>774</v>
      </c>
      <c r="C692" s="83" t="s">
        <v>26</v>
      </c>
      <c r="D692" s="83" t="s">
        <v>28</v>
      </c>
      <c r="E692" s="83" t="s">
        <v>1044</v>
      </c>
      <c r="F692" s="83"/>
      <c r="G692" s="86">
        <f t="shared" ref="G692:H693" si="165">G693</f>
        <v>30000</v>
      </c>
      <c r="H692" s="86">
        <f t="shared" si="165"/>
        <v>30000</v>
      </c>
      <c r="I692" s="171"/>
      <c r="J692" s="190"/>
      <c r="K692" s="190"/>
      <c r="L692" s="190"/>
      <c r="M692" s="190"/>
      <c r="N692" s="190"/>
      <c r="O692" s="190"/>
      <c r="P692" s="190"/>
      <c r="Q692" s="190"/>
    </row>
    <row r="693" spans="1:17" s="3" customFormat="1" ht="25.5">
      <c r="A693" s="81" t="s">
        <v>30</v>
      </c>
      <c r="B693" s="145">
        <v>774</v>
      </c>
      <c r="C693" s="83" t="s">
        <v>26</v>
      </c>
      <c r="D693" s="83" t="s">
        <v>28</v>
      </c>
      <c r="E693" s="83" t="s">
        <v>1044</v>
      </c>
      <c r="F693" s="83" t="s">
        <v>31</v>
      </c>
      <c r="G693" s="86">
        <f t="shared" si="165"/>
        <v>30000</v>
      </c>
      <c r="H693" s="86">
        <f t="shared" si="165"/>
        <v>30000</v>
      </c>
      <c r="I693" s="171"/>
      <c r="J693" s="190"/>
      <c r="K693" s="190"/>
      <c r="L693" s="190"/>
      <c r="M693" s="190"/>
      <c r="N693" s="190"/>
      <c r="O693" s="190"/>
      <c r="P693" s="190"/>
      <c r="Q693" s="190"/>
    </row>
    <row r="694" spans="1:17" s="3" customFormat="1">
      <c r="A694" s="81" t="s">
        <v>32</v>
      </c>
      <c r="B694" s="145">
        <v>774</v>
      </c>
      <c r="C694" s="83" t="s">
        <v>26</v>
      </c>
      <c r="D694" s="83" t="s">
        <v>28</v>
      </c>
      <c r="E694" s="83" t="s">
        <v>1044</v>
      </c>
      <c r="F694" s="83" t="s">
        <v>33</v>
      </c>
      <c r="G694" s="86">
        <v>30000</v>
      </c>
      <c r="H694" s="86">
        <v>30000</v>
      </c>
      <c r="I694" s="171"/>
      <c r="J694" s="190"/>
      <c r="K694" s="190"/>
      <c r="L694" s="190"/>
      <c r="M694" s="190"/>
      <c r="N694" s="190"/>
      <c r="O694" s="190"/>
      <c r="P694" s="190"/>
      <c r="Q694" s="190"/>
    </row>
    <row r="695" spans="1:17" s="147" customFormat="1" ht="61.5" customHeight="1">
      <c r="A695" s="81" t="s">
        <v>1064</v>
      </c>
      <c r="B695" s="145">
        <v>774</v>
      </c>
      <c r="C695" s="83" t="s">
        <v>26</v>
      </c>
      <c r="D695" s="83" t="s">
        <v>28</v>
      </c>
      <c r="E695" s="83" t="s">
        <v>1059</v>
      </c>
      <c r="F695" s="83"/>
      <c r="G695" s="86">
        <f t="shared" si="163"/>
        <v>55000</v>
      </c>
      <c r="H695" s="86">
        <f t="shared" si="163"/>
        <v>55000</v>
      </c>
      <c r="I695" s="171"/>
      <c r="J695" s="190"/>
      <c r="K695" s="190"/>
      <c r="L695" s="190"/>
      <c r="M695" s="190"/>
      <c r="N695" s="190"/>
      <c r="O695" s="190"/>
      <c r="P695" s="190"/>
      <c r="Q695" s="190"/>
    </row>
    <row r="696" spans="1:17" s="3" customFormat="1" ht="25.5">
      <c r="A696" s="81" t="s">
        <v>30</v>
      </c>
      <c r="B696" s="145">
        <v>774</v>
      </c>
      <c r="C696" s="83" t="s">
        <v>26</v>
      </c>
      <c r="D696" s="83" t="s">
        <v>28</v>
      </c>
      <c r="E696" s="83" t="s">
        <v>1059</v>
      </c>
      <c r="F696" s="83" t="s">
        <v>31</v>
      </c>
      <c r="G696" s="86">
        <f t="shared" si="163"/>
        <v>55000</v>
      </c>
      <c r="H696" s="86">
        <f t="shared" si="163"/>
        <v>55000</v>
      </c>
      <c r="I696" s="171"/>
      <c r="J696" s="190"/>
      <c r="K696" s="190"/>
      <c r="L696" s="190"/>
      <c r="M696" s="190"/>
      <c r="N696" s="190"/>
      <c r="O696" s="190"/>
      <c r="P696" s="190"/>
      <c r="Q696" s="190"/>
    </row>
    <row r="697" spans="1:17" s="3" customFormat="1">
      <c r="A697" s="81" t="s">
        <v>32</v>
      </c>
      <c r="B697" s="145">
        <v>774</v>
      </c>
      <c r="C697" s="83" t="s">
        <v>26</v>
      </c>
      <c r="D697" s="83" t="s">
        <v>28</v>
      </c>
      <c r="E697" s="83" t="s">
        <v>1059</v>
      </c>
      <c r="F697" s="83" t="s">
        <v>33</v>
      </c>
      <c r="G697" s="86">
        <v>55000</v>
      </c>
      <c r="H697" s="86">
        <v>55000</v>
      </c>
      <c r="I697" s="171"/>
      <c r="J697" s="190"/>
      <c r="K697" s="190"/>
      <c r="L697" s="190"/>
      <c r="M697" s="190"/>
      <c r="N697" s="190"/>
      <c r="O697" s="190"/>
      <c r="P697" s="190"/>
      <c r="Q697" s="190"/>
    </row>
    <row r="698" spans="1:17" s="3" customFormat="1" ht="38.25" customHeight="1">
      <c r="A698" s="81" t="s">
        <v>1082</v>
      </c>
      <c r="B698" s="145">
        <v>774</v>
      </c>
      <c r="C698" s="83" t="s">
        <v>26</v>
      </c>
      <c r="D698" s="83" t="s">
        <v>28</v>
      </c>
      <c r="E698" s="83" t="s">
        <v>1060</v>
      </c>
      <c r="F698" s="83"/>
      <c r="G698" s="86">
        <f t="shared" si="163"/>
        <v>157081.29</v>
      </c>
      <c r="H698" s="86">
        <f t="shared" si="163"/>
        <v>157081.29</v>
      </c>
      <c r="I698" s="171"/>
      <c r="J698" s="190"/>
      <c r="K698" s="190"/>
      <c r="L698" s="190"/>
      <c r="M698" s="190"/>
      <c r="N698" s="190"/>
      <c r="O698" s="190"/>
      <c r="P698" s="190"/>
      <c r="Q698" s="190"/>
    </row>
    <row r="699" spans="1:17" s="3" customFormat="1" ht="25.5">
      <c r="A699" s="81" t="s">
        <v>30</v>
      </c>
      <c r="B699" s="145">
        <v>774</v>
      </c>
      <c r="C699" s="83" t="s">
        <v>26</v>
      </c>
      <c r="D699" s="83" t="s">
        <v>28</v>
      </c>
      <c r="E699" s="83" t="s">
        <v>1060</v>
      </c>
      <c r="F699" s="83" t="s">
        <v>31</v>
      </c>
      <c r="G699" s="86">
        <f t="shared" si="163"/>
        <v>157081.29</v>
      </c>
      <c r="H699" s="86">
        <f t="shared" si="163"/>
        <v>157081.29</v>
      </c>
      <c r="I699" s="171"/>
      <c r="J699" s="190"/>
      <c r="K699" s="190"/>
      <c r="L699" s="190"/>
      <c r="M699" s="190"/>
      <c r="N699" s="190"/>
      <c r="O699" s="190"/>
      <c r="P699" s="190"/>
      <c r="Q699" s="190"/>
    </row>
    <row r="700" spans="1:17" s="3" customFormat="1">
      <c r="A700" s="81" t="s">
        <v>32</v>
      </c>
      <c r="B700" s="145">
        <v>774</v>
      </c>
      <c r="C700" s="83" t="s">
        <v>26</v>
      </c>
      <c r="D700" s="83" t="s">
        <v>28</v>
      </c>
      <c r="E700" s="83" t="s">
        <v>1060</v>
      </c>
      <c r="F700" s="83" t="s">
        <v>33</v>
      </c>
      <c r="G700" s="86">
        <f>157511-429.71</f>
        <v>157081.29</v>
      </c>
      <c r="H700" s="86">
        <v>157081.29</v>
      </c>
      <c r="I700" s="171"/>
      <c r="J700" s="190"/>
      <c r="K700" s="190"/>
      <c r="L700" s="190"/>
      <c r="M700" s="190"/>
      <c r="N700" s="190"/>
      <c r="O700" s="190"/>
      <c r="P700" s="190"/>
      <c r="Q700" s="190"/>
    </row>
    <row r="701" spans="1:17" s="3" customFormat="1" ht="36" customHeight="1">
      <c r="A701" s="81" t="s">
        <v>1065</v>
      </c>
      <c r="B701" s="145">
        <v>774</v>
      </c>
      <c r="C701" s="83" t="s">
        <v>26</v>
      </c>
      <c r="D701" s="83" t="s">
        <v>28</v>
      </c>
      <c r="E701" s="83" t="s">
        <v>1061</v>
      </c>
      <c r="F701" s="83"/>
      <c r="G701" s="86">
        <f t="shared" si="163"/>
        <v>102969.74</v>
      </c>
      <c r="H701" s="86">
        <f t="shared" si="163"/>
        <v>102969.74</v>
      </c>
      <c r="I701" s="171"/>
      <c r="J701" s="190"/>
      <c r="K701" s="190"/>
      <c r="L701" s="190"/>
      <c r="M701" s="190"/>
      <c r="N701" s="190"/>
      <c r="O701" s="190"/>
      <c r="P701" s="190"/>
      <c r="Q701" s="190"/>
    </row>
    <row r="702" spans="1:17" s="3" customFormat="1" ht="25.5">
      <c r="A702" s="81" t="s">
        <v>30</v>
      </c>
      <c r="B702" s="145">
        <v>774</v>
      </c>
      <c r="C702" s="83" t="s">
        <v>26</v>
      </c>
      <c r="D702" s="83" t="s">
        <v>28</v>
      </c>
      <c r="E702" s="83" t="s">
        <v>1061</v>
      </c>
      <c r="F702" s="83" t="s">
        <v>31</v>
      </c>
      <c r="G702" s="86">
        <f t="shared" si="163"/>
        <v>102969.74</v>
      </c>
      <c r="H702" s="86">
        <f t="shared" si="163"/>
        <v>102969.74</v>
      </c>
      <c r="I702" s="171"/>
      <c r="J702" s="190"/>
      <c r="K702" s="190"/>
      <c r="L702" s="190"/>
      <c r="M702" s="190"/>
      <c r="N702" s="190"/>
      <c r="O702" s="190"/>
      <c r="P702" s="190"/>
      <c r="Q702" s="190"/>
    </row>
    <row r="703" spans="1:17" s="3" customFormat="1">
      <c r="A703" s="81" t="s">
        <v>32</v>
      </c>
      <c r="B703" s="145">
        <v>774</v>
      </c>
      <c r="C703" s="83" t="s">
        <v>26</v>
      </c>
      <c r="D703" s="83" t="s">
        <v>28</v>
      </c>
      <c r="E703" s="83" t="s">
        <v>1061</v>
      </c>
      <c r="F703" s="83" t="s">
        <v>33</v>
      </c>
      <c r="G703" s="86">
        <v>102969.74</v>
      </c>
      <c r="H703" s="86">
        <v>102969.74</v>
      </c>
      <c r="I703" s="171"/>
      <c r="J703" s="190"/>
      <c r="K703" s="190"/>
      <c r="L703" s="190"/>
      <c r="M703" s="190"/>
      <c r="N703" s="190"/>
      <c r="O703" s="190"/>
      <c r="P703" s="190"/>
      <c r="Q703" s="190"/>
    </row>
    <row r="704" spans="1:17" s="3" customFormat="1" ht="49.5" customHeight="1">
      <c r="A704" s="81" t="s">
        <v>1067</v>
      </c>
      <c r="B704" s="145">
        <v>774</v>
      </c>
      <c r="C704" s="83" t="s">
        <v>26</v>
      </c>
      <c r="D704" s="83" t="s">
        <v>28</v>
      </c>
      <c r="E704" s="83" t="s">
        <v>1062</v>
      </c>
      <c r="F704" s="83"/>
      <c r="G704" s="86">
        <f t="shared" si="163"/>
        <v>181777.27</v>
      </c>
      <c r="H704" s="86">
        <f t="shared" si="163"/>
        <v>181777.27</v>
      </c>
      <c r="I704" s="171"/>
      <c r="J704" s="190"/>
      <c r="K704" s="190"/>
      <c r="L704" s="190"/>
      <c r="M704" s="190"/>
      <c r="N704" s="190"/>
      <c r="O704" s="190"/>
      <c r="P704" s="190"/>
      <c r="Q704" s="190"/>
    </row>
    <row r="705" spans="1:17" s="3" customFormat="1" ht="25.5">
      <c r="A705" s="81" t="s">
        <v>30</v>
      </c>
      <c r="B705" s="145">
        <v>774</v>
      </c>
      <c r="C705" s="83" t="s">
        <v>26</v>
      </c>
      <c r="D705" s="83" t="s">
        <v>28</v>
      </c>
      <c r="E705" s="83" t="s">
        <v>1062</v>
      </c>
      <c r="F705" s="83" t="s">
        <v>31</v>
      </c>
      <c r="G705" s="86">
        <f t="shared" si="163"/>
        <v>181777.27</v>
      </c>
      <c r="H705" s="86">
        <f t="shared" si="163"/>
        <v>181777.27</v>
      </c>
      <c r="I705" s="171"/>
      <c r="J705" s="190"/>
      <c r="K705" s="190"/>
      <c r="L705" s="190"/>
      <c r="M705" s="190"/>
      <c r="N705" s="190"/>
      <c r="O705" s="190"/>
      <c r="P705" s="190"/>
      <c r="Q705" s="190"/>
    </row>
    <row r="706" spans="1:17" s="3" customFormat="1">
      <c r="A706" s="81" t="s">
        <v>32</v>
      </c>
      <c r="B706" s="145">
        <v>774</v>
      </c>
      <c r="C706" s="83" t="s">
        <v>26</v>
      </c>
      <c r="D706" s="83" t="s">
        <v>28</v>
      </c>
      <c r="E706" s="83" t="s">
        <v>1062</v>
      </c>
      <c r="F706" s="83" t="s">
        <v>33</v>
      </c>
      <c r="G706" s="86">
        <v>181777.27</v>
      </c>
      <c r="H706" s="86">
        <v>181777.27</v>
      </c>
      <c r="I706" s="171"/>
      <c r="J706" s="190"/>
      <c r="K706" s="190"/>
      <c r="L706" s="190"/>
      <c r="M706" s="190"/>
      <c r="N706" s="190"/>
      <c r="O706" s="190"/>
      <c r="P706" s="190"/>
      <c r="Q706" s="190"/>
    </row>
    <row r="707" spans="1:17" s="3" customFormat="1" ht="49.5" customHeight="1">
      <c r="A707" s="81" t="s">
        <v>1066</v>
      </c>
      <c r="B707" s="145">
        <v>774</v>
      </c>
      <c r="C707" s="83" t="s">
        <v>26</v>
      </c>
      <c r="D707" s="83" t="s">
        <v>28</v>
      </c>
      <c r="E707" s="83" t="s">
        <v>1063</v>
      </c>
      <c r="F707" s="83"/>
      <c r="G707" s="86">
        <f t="shared" si="163"/>
        <v>0</v>
      </c>
      <c r="H707" s="86">
        <f t="shared" si="163"/>
        <v>0</v>
      </c>
      <c r="I707" s="171"/>
      <c r="J707" s="190"/>
      <c r="K707" s="190"/>
      <c r="L707" s="190"/>
      <c r="M707" s="190"/>
      <c r="N707" s="190"/>
      <c r="O707" s="190"/>
      <c r="P707" s="190"/>
      <c r="Q707" s="190"/>
    </row>
    <row r="708" spans="1:17" s="3" customFormat="1" ht="25.5">
      <c r="A708" s="81" t="s">
        <v>30</v>
      </c>
      <c r="B708" s="145">
        <v>774</v>
      </c>
      <c r="C708" s="83" t="s">
        <v>26</v>
      </c>
      <c r="D708" s="83" t="s">
        <v>28</v>
      </c>
      <c r="E708" s="83" t="s">
        <v>1063</v>
      </c>
      <c r="F708" s="83" t="s">
        <v>31</v>
      </c>
      <c r="G708" s="86">
        <f t="shared" si="163"/>
        <v>0</v>
      </c>
      <c r="H708" s="86">
        <f t="shared" si="163"/>
        <v>0</v>
      </c>
      <c r="I708" s="171"/>
      <c r="J708" s="190"/>
      <c r="K708" s="190"/>
      <c r="L708" s="190"/>
      <c r="M708" s="190"/>
      <c r="N708" s="190"/>
      <c r="O708" s="190"/>
      <c r="P708" s="190"/>
      <c r="Q708" s="190"/>
    </row>
    <row r="709" spans="1:17" s="3" customFormat="1" ht="23.25" customHeight="1">
      <c r="A709" s="81" t="s">
        <v>32</v>
      </c>
      <c r="B709" s="145">
        <v>774</v>
      </c>
      <c r="C709" s="83" t="s">
        <v>26</v>
      </c>
      <c r="D709" s="83" t="s">
        <v>28</v>
      </c>
      <c r="E709" s="83" t="s">
        <v>1063</v>
      </c>
      <c r="F709" s="83" t="s">
        <v>33</v>
      </c>
      <c r="G709" s="86">
        <f>478000-478000</f>
        <v>0</v>
      </c>
      <c r="H709" s="86">
        <v>0</v>
      </c>
      <c r="I709" s="171"/>
      <c r="J709" s="190"/>
      <c r="K709" s="190"/>
      <c r="L709" s="190"/>
      <c r="M709" s="190"/>
      <c r="N709" s="190"/>
      <c r="O709" s="190"/>
      <c r="P709" s="190"/>
      <c r="Q709" s="190"/>
    </row>
    <row r="710" spans="1:17" s="3" customFormat="1" ht="35.25" customHeight="1">
      <c r="A710" s="81" t="s">
        <v>1077</v>
      </c>
      <c r="B710" s="145">
        <v>774</v>
      </c>
      <c r="C710" s="83" t="s">
        <v>26</v>
      </c>
      <c r="D710" s="83" t="s">
        <v>28</v>
      </c>
      <c r="E710" s="83" t="s">
        <v>1073</v>
      </c>
      <c r="F710" s="83"/>
      <c r="G710" s="86">
        <f t="shared" si="163"/>
        <v>550308.69999999995</v>
      </c>
      <c r="H710" s="86">
        <f t="shared" si="163"/>
        <v>550308.69999999995</v>
      </c>
      <c r="I710" s="171"/>
      <c r="J710" s="190"/>
      <c r="K710" s="190"/>
      <c r="L710" s="190"/>
      <c r="M710" s="190"/>
      <c r="N710" s="190"/>
      <c r="O710" s="190"/>
      <c r="P710" s="190"/>
      <c r="Q710" s="190"/>
    </row>
    <row r="711" spans="1:17" s="3" customFormat="1" ht="25.5">
      <c r="A711" s="81" t="s">
        <v>30</v>
      </c>
      <c r="B711" s="145">
        <v>774</v>
      </c>
      <c r="C711" s="83" t="s">
        <v>26</v>
      </c>
      <c r="D711" s="83" t="s">
        <v>28</v>
      </c>
      <c r="E711" s="83" t="s">
        <v>1073</v>
      </c>
      <c r="F711" s="83" t="s">
        <v>31</v>
      </c>
      <c r="G711" s="86">
        <f t="shared" si="163"/>
        <v>550308.69999999995</v>
      </c>
      <c r="H711" s="86">
        <f t="shared" si="163"/>
        <v>550308.69999999995</v>
      </c>
      <c r="I711" s="171"/>
      <c r="J711" s="190"/>
      <c r="K711" s="190"/>
      <c r="L711" s="190"/>
      <c r="M711" s="190"/>
      <c r="N711" s="190"/>
      <c r="O711" s="190"/>
      <c r="P711" s="190"/>
      <c r="Q711" s="190"/>
    </row>
    <row r="712" spans="1:17" s="3" customFormat="1">
      <c r="A712" s="81" t="s">
        <v>32</v>
      </c>
      <c r="B712" s="145">
        <v>774</v>
      </c>
      <c r="C712" s="83" t="s">
        <v>26</v>
      </c>
      <c r="D712" s="83" t="s">
        <v>28</v>
      </c>
      <c r="E712" s="83" t="s">
        <v>1073</v>
      </c>
      <c r="F712" s="83" t="s">
        <v>33</v>
      </c>
      <c r="G712" s="86">
        <v>550308.69999999995</v>
      </c>
      <c r="H712" s="86">
        <v>550308.69999999995</v>
      </c>
      <c r="I712" s="171"/>
      <c r="J712" s="190"/>
      <c r="K712" s="190"/>
      <c r="L712" s="190"/>
      <c r="M712" s="190"/>
      <c r="N712" s="190"/>
      <c r="O712" s="190"/>
      <c r="P712" s="190"/>
      <c r="Q712" s="190"/>
    </row>
    <row r="713" spans="1:17" s="3" customFormat="1" ht="49.5" customHeight="1">
      <c r="A713" s="81" t="s">
        <v>1035</v>
      </c>
      <c r="B713" s="145">
        <v>774</v>
      </c>
      <c r="C713" s="83" t="s">
        <v>26</v>
      </c>
      <c r="D713" s="83" t="s">
        <v>28</v>
      </c>
      <c r="E713" s="83" t="s">
        <v>1034</v>
      </c>
      <c r="F713" s="83"/>
      <c r="G713" s="86">
        <f t="shared" si="163"/>
        <v>40000</v>
      </c>
      <c r="H713" s="86">
        <f t="shared" si="163"/>
        <v>40000</v>
      </c>
      <c r="I713" s="171"/>
      <c r="J713" s="190"/>
      <c r="K713" s="190"/>
      <c r="L713" s="190"/>
      <c r="M713" s="190"/>
      <c r="N713" s="190"/>
      <c r="O713" s="190"/>
      <c r="P713" s="190"/>
      <c r="Q713" s="190"/>
    </row>
    <row r="714" spans="1:17" s="3" customFormat="1" ht="25.5">
      <c r="A714" s="81" t="s">
        <v>30</v>
      </c>
      <c r="B714" s="145">
        <v>774</v>
      </c>
      <c r="C714" s="83" t="s">
        <v>26</v>
      </c>
      <c r="D714" s="83" t="s">
        <v>28</v>
      </c>
      <c r="E714" s="83" t="s">
        <v>1034</v>
      </c>
      <c r="F714" s="83" t="s">
        <v>31</v>
      </c>
      <c r="G714" s="86">
        <f t="shared" si="163"/>
        <v>40000</v>
      </c>
      <c r="H714" s="86">
        <f t="shared" si="163"/>
        <v>40000</v>
      </c>
      <c r="I714" s="171"/>
      <c r="J714" s="190"/>
      <c r="K714" s="190"/>
      <c r="L714" s="190"/>
      <c r="M714" s="190"/>
      <c r="N714" s="190"/>
      <c r="O714" s="190"/>
      <c r="P714" s="190"/>
      <c r="Q714" s="190"/>
    </row>
    <row r="715" spans="1:17" s="3" customFormat="1">
      <c r="A715" s="81" t="s">
        <v>32</v>
      </c>
      <c r="B715" s="145">
        <v>774</v>
      </c>
      <c r="C715" s="83" t="s">
        <v>26</v>
      </c>
      <c r="D715" s="83" t="s">
        <v>28</v>
      </c>
      <c r="E715" s="83" t="s">
        <v>1034</v>
      </c>
      <c r="F715" s="83" t="s">
        <v>33</v>
      </c>
      <c r="G715" s="86">
        <v>40000</v>
      </c>
      <c r="H715" s="86">
        <v>40000</v>
      </c>
      <c r="I715" s="171"/>
      <c r="J715" s="190"/>
      <c r="K715" s="190"/>
      <c r="L715" s="190"/>
      <c r="M715" s="190"/>
      <c r="N715" s="190"/>
      <c r="O715" s="190"/>
      <c r="P715" s="190"/>
      <c r="Q715" s="190"/>
    </row>
    <row r="716" spans="1:17" s="3" customFormat="1" ht="25.5">
      <c r="A716" s="81" t="s">
        <v>294</v>
      </c>
      <c r="B716" s="145">
        <v>774</v>
      </c>
      <c r="C716" s="83" t="s">
        <v>26</v>
      </c>
      <c r="D716" s="83" t="s">
        <v>28</v>
      </c>
      <c r="E716" s="83" t="s">
        <v>293</v>
      </c>
      <c r="F716" s="83"/>
      <c r="G716" s="86">
        <f t="shared" ref="G716:H717" si="166">G717</f>
        <v>1041561.01</v>
      </c>
      <c r="H716" s="86">
        <f t="shared" si="166"/>
        <v>1041561.01</v>
      </c>
      <c r="I716" s="171"/>
      <c r="J716" s="190"/>
      <c r="K716" s="190"/>
      <c r="L716" s="190"/>
      <c r="M716" s="190"/>
      <c r="N716" s="190"/>
      <c r="O716" s="190"/>
      <c r="P716" s="190"/>
      <c r="Q716" s="190"/>
    </row>
    <row r="717" spans="1:17" s="3" customFormat="1" ht="25.5">
      <c r="A717" s="81" t="s">
        <v>30</v>
      </c>
      <c r="B717" s="145">
        <v>774</v>
      </c>
      <c r="C717" s="83" t="s">
        <v>26</v>
      </c>
      <c r="D717" s="83" t="s">
        <v>28</v>
      </c>
      <c r="E717" s="83" t="s">
        <v>293</v>
      </c>
      <c r="F717" s="83" t="s">
        <v>31</v>
      </c>
      <c r="G717" s="86">
        <f t="shared" si="166"/>
        <v>1041561.01</v>
      </c>
      <c r="H717" s="86">
        <f t="shared" si="166"/>
        <v>1041561.01</v>
      </c>
      <c r="I717" s="171"/>
      <c r="J717" s="190"/>
      <c r="K717" s="190"/>
      <c r="L717" s="190"/>
      <c r="M717" s="190"/>
      <c r="N717" s="190"/>
      <c r="O717" s="190"/>
      <c r="P717" s="190"/>
      <c r="Q717" s="190"/>
    </row>
    <row r="718" spans="1:17" s="3" customFormat="1">
      <c r="A718" s="81" t="s">
        <v>32</v>
      </c>
      <c r="B718" s="145">
        <v>774</v>
      </c>
      <c r="C718" s="83" t="s">
        <v>26</v>
      </c>
      <c r="D718" s="83" t="s">
        <v>28</v>
      </c>
      <c r="E718" s="83" t="s">
        <v>293</v>
      </c>
      <c r="F718" s="83" t="s">
        <v>33</v>
      </c>
      <c r="G718" s="86">
        <f>961637+225000-145075.99</f>
        <v>1041561.01</v>
      </c>
      <c r="H718" s="86">
        <v>1041561.01</v>
      </c>
      <c r="I718" s="171"/>
      <c r="J718" s="190"/>
      <c r="K718" s="190"/>
      <c r="L718" s="190"/>
      <c r="M718" s="190"/>
      <c r="N718" s="190"/>
      <c r="O718" s="190"/>
      <c r="P718" s="190"/>
      <c r="Q718" s="190"/>
    </row>
    <row r="719" spans="1:17" ht="38.25">
      <c r="A719" s="81" t="s">
        <v>412</v>
      </c>
      <c r="B719" s="145">
        <v>774</v>
      </c>
      <c r="C719" s="83" t="s">
        <v>26</v>
      </c>
      <c r="D719" s="83" t="s">
        <v>28</v>
      </c>
      <c r="E719" s="83" t="s">
        <v>821</v>
      </c>
      <c r="F719" s="83"/>
      <c r="G719" s="84">
        <f>G720</f>
        <v>0</v>
      </c>
      <c r="H719" s="84">
        <f t="shared" ref="G719:H723" si="167">H720</f>
        <v>0</v>
      </c>
      <c r="I719" s="172"/>
    </row>
    <row r="720" spans="1:17" ht="25.5">
      <c r="A720" s="81" t="s">
        <v>30</v>
      </c>
      <c r="B720" s="145">
        <v>774</v>
      </c>
      <c r="C720" s="83" t="s">
        <v>26</v>
      </c>
      <c r="D720" s="83" t="s">
        <v>28</v>
      </c>
      <c r="E720" s="83" t="s">
        <v>821</v>
      </c>
      <c r="F720" s="83" t="s">
        <v>31</v>
      </c>
      <c r="G720" s="84">
        <f t="shared" si="167"/>
        <v>0</v>
      </c>
      <c r="H720" s="84">
        <f t="shared" si="167"/>
        <v>0</v>
      </c>
      <c r="I720" s="172"/>
    </row>
    <row r="721" spans="1:17">
      <c r="A721" s="81" t="s">
        <v>32</v>
      </c>
      <c r="B721" s="145">
        <v>774</v>
      </c>
      <c r="C721" s="83" t="s">
        <v>26</v>
      </c>
      <c r="D721" s="83" t="s">
        <v>28</v>
      </c>
      <c r="E721" s="83" t="s">
        <v>821</v>
      </c>
      <c r="F721" s="83" t="s">
        <v>33</v>
      </c>
      <c r="G721" s="84">
        <v>0</v>
      </c>
      <c r="H721" s="84">
        <v>0</v>
      </c>
      <c r="I721" s="172"/>
    </row>
    <row r="722" spans="1:17" ht="25.5">
      <c r="A722" s="81" t="s">
        <v>930</v>
      </c>
      <c r="B722" s="145">
        <v>774</v>
      </c>
      <c r="C722" s="83" t="s">
        <v>26</v>
      </c>
      <c r="D722" s="83" t="s">
        <v>28</v>
      </c>
      <c r="E722" s="83" t="s">
        <v>929</v>
      </c>
      <c r="F722" s="83"/>
      <c r="G722" s="84">
        <f>G723</f>
        <v>149599646.68000001</v>
      </c>
      <c r="H722" s="84">
        <f t="shared" si="167"/>
        <v>149599646.68000001</v>
      </c>
      <c r="I722" s="172"/>
    </row>
    <row r="723" spans="1:17" ht="25.5">
      <c r="A723" s="81" t="s">
        <v>30</v>
      </c>
      <c r="B723" s="145">
        <v>774</v>
      </c>
      <c r="C723" s="83" t="s">
        <v>26</v>
      </c>
      <c r="D723" s="83" t="s">
        <v>28</v>
      </c>
      <c r="E723" s="83" t="s">
        <v>929</v>
      </c>
      <c r="F723" s="83" t="s">
        <v>31</v>
      </c>
      <c r="G723" s="84">
        <f t="shared" si="167"/>
        <v>149599646.68000001</v>
      </c>
      <c r="H723" s="84">
        <f t="shared" si="167"/>
        <v>149599646.68000001</v>
      </c>
      <c r="I723" s="172"/>
    </row>
    <row r="724" spans="1:17">
      <c r="A724" s="81" t="s">
        <v>32</v>
      </c>
      <c r="B724" s="145">
        <v>774</v>
      </c>
      <c r="C724" s="83" t="s">
        <v>26</v>
      </c>
      <c r="D724" s="83" t="s">
        <v>28</v>
      </c>
      <c r="E724" s="83" t="s">
        <v>929</v>
      </c>
      <c r="F724" s="83" t="s">
        <v>33</v>
      </c>
      <c r="G724" s="84">
        <v>149599646.68000001</v>
      </c>
      <c r="H724" s="84">
        <v>149599646.68000001</v>
      </c>
      <c r="I724" s="172"/>
    </row>
    <row r="725" spans="1:17" s="3" customFormat="1" ht="30" customHeight="1">
      <c r="A725" s="81" t="s">
        <v>24</v>
      </c>
      <c r="B725" s="145">
        <v>774</v>
      </c>
      <c r="C725" s="83" t="s">
        <v>26</v>
      </c>
      <c r="D725" s="83" t="s">
        <v>28</v>
      </c>
      <c r="E725" s="83" t="s">
        <v>224</v>
      </c>
      <c r="F725" s="83"/>
      <c r="G725" s="86">
        <f t="shared" ref="G725:H726" si="168">G726</f>
        <v>104578.61</v>
      </c>
      <c r="H725" s="86">
        <f t="shared" si="168"/>
        <v>104578.61</v>
      </c>
      <c r="I725" s="171"/>
      <c r="J725" s="190"/>
      <c r="K725" s="190"/>
      <c r="L725" s="190"/>
      <c r="M725" s="190"/>
      <c r="N725" s="190"/>
      <c r="O725" s="190"/>
      <c r="P725" s="190"/>
      <c r="Q725" s="190"/>
    </row>
    <row r="726" spans="1:17" s="3" customFormat="1" ht="24.75" customHeight="1">
      <c r="A726" s="81" t="s">
        <v>142</v>
      </c>
      <c r="B726" s="145">
        <v>774</v>
      </c>
      <c r="C726" s="83" t="s">
        <v>26</v>
      </c>
      <c r="D726" s="83" t="s">
        <v>28</v>
      </c>
      <c r="E726" s="83" t="s">
        <v>225</v>
      </c>
      <c r="F726" s="83"/>
      <c r="G726" s="86">
        <f t="shared" si="168"/>
        <v>104578.61</v>
      </c>
      <c r="H726" s="86">
        <f t="shared" si="168"/>
        <v>104578.61</v>
      </c>
      <c r="I726" s="171"/>
      <c r="J726" s="190"/>
      <c r="K726" s="190"/>
      <c r="L726" s="190"/>
      <c r="M726" s="190"/>
      <c r="N726" s="190"/>
      <c r="O726" s="190"/>
      <c r="P726" s="190"/>
      <c r="Q726" s="190"/>
    </row>
    <row r="727" spans="1:17" s="18" customFormat="1" ht="25.5">
      <c r="A727" s="81" t="s">
        <v>30</v>
      </c>
      <c r="B727" s="83" t="s">
        <v>94</v>
      </c>
      <c r="C727" s="83" t="s">
        <v>26</v>
      </c>
      <c r="D727" s="83" t="s">
        <v>28</v>
      </c>
      <c r="E727" s="83" t="s">
        <v>225</v>
      </c>
      <c r="F727" s="83" t="s">
        <v>31</v>
      </c>
      <c r="G727" s="86">
        <f>G728</f>
        <v>104578.61</v>
      </c>
      <c r="H727" s="86">
        <f>H728</f>
        <v>104578.61</v>
      </c>
      <c r="I727" s="171"/>
      <c r="J727" s="191"/>
      <c r="K727" s="191"/>
      <c r="L727" s="191"/>
      <c r="M727" s="191"/>
      <c r="N727" s="191"/>
      <c r="O727" s="191"/>
      <c r="P727" s="191"/>
      <c r="Q727" s="191"/>
    </row>
    <row r="728" spans="1:17" s="18" customFormat="1">
      <c r="A728" s="81" t="s">
        <v>32</v>
      </c>
      <c r="B728" s="83" t="s">
        <v>94</v>
      </c>
      <c r="C728" s="83" t="s">
        <v>26</v>
      </c>
      <c r="D728" s="83" t="s">
        <v>28</v>
      </c>
      <c r="E728" s="83" t="s">
        <v>225</v>
      </c>
      <c r="F728" s="83" t="s">
        <v>33</v>
      </c>
      <c r="G728" s="86">
        <v>104578.61</v>
      </c>
      <c r="H728" s="86">
        <v>104578.61</v>
      </c>
      <c r="I728" s="171"/>
      <c r="J728" s="191"/>
      <c r="K728" s="191"/>
      <c r="L728" s="191"/>
      <c r="M728" s="191"/>
      <c r="N728" s="191"/>
      <c r="O728" s="191"/>
      <c r="P728" s="191"/>
      <c r="Q728" s="191"/>
    </row>
    <row r="729" spans="1:17" s="18" customFormat="1" ht="25.5" hidden="1" customHeight="1">
      <c r="A729" s="131" t="s">
        <v>477</v>
      </c>
      <c r="B729" s="145">
        <v>774</v>
      </c>
      <c r="C729" s="83" t="s">
        <v>26</v>
      </c>
      <c r="D729" s="83" t="s">
        <v>28</v>
      </c>
      <c r="E729" s="83" t="s">
        <v>220</v>
      </c>
      <c r="F729" s="83"/>
      <c r="G729" s="86">
        <f t="shared" ref="G729:H731" si="169">G730</f>
        <v>0</v>
      </c>
      <c r="H729" s="86">
        <f t="shared" si="169"/>
        <v>0</v>
      </c>
      <c r="I729" s="171"/>
      <c r="J729" s="191"/>
      <c r="K729" s="191"/>
      <c r="L729" s="191"/>
      <c r="M729" s="191"/>
      <c r="N729" s="191"/>
      <c r="O729" s="191"/>
      <c r="P729" s="191"/>
      <c r="Q729" s="191"/>
    </row>
    <row r="730" spans="1:17" s="18" customFormat="1" ht="25.5" hidden="1">
      <c r="A730" s="81" t="s">
        <v>99</v>
      </c>
      <c r="B730" s="83" t="s">
        <v>94</v>
      </c>
      <c r="C730" s="83" t="s">
        <v>26</v>
      </c>
      <c r="D730" s="83" t="s">
        <v>28</v>
      </c>
      <c r="E730" s="83" t="s">
        <v>221</v>
      </c>
      <c r="F730" s="83"/>
      <c r="G730" s="86">
        <f t="shared" si="169"/>
        <v>0</v>
      </c>
      <c r="H730" s="86">
        <f t="shared" si="169"/>
        <v>0</v>
      </c>
      <c r="I730" s="171"/>
      <c r="J730" s="191"/>
      <c r="K730" s="191"/>
      <c r="L730" s="191"/>
      <c r="M730" s="191"/>
      <c r="N730" s="191"/>
      <c r="O730" s="191"/>
      <c r="P730" s="191"/>
      <c r="Q730" s="191"/>
    </row>
    <row r="731" spans="1:17" s="18" customFormat="1" ht="30.75" hidden="1" customHeight="1">
      <c r="A731" s="81" t="s">
        <v>30</v>
      </c>
      <c r="B731" s="83" t="s">
        <v>94</v>
      </c>
      <c r="C731" s="83" t="s">
        <v>26</v>
      </c>
      <c r="D731" s="83" t="s">
        <v>28</v>
      </c>
      <c r="E731" s="83" t="s">
        <v>221</v>
      </c>
      <c r="F731" s="83" t="s">
        <v>31</v>
      </c>
      <c r="G731" s="86">
        <f t="shared" si="169"/>
        <v>0</v>
      </c>
      <c r="H731" s="86">
        <f t="shared" si="169"/>
        <v>0</v>
      </c>
      <c r="I731" s="171"/>
      <c r="J731" s="191"/>
      <c r="K731" s="191"/>
      <c r="L731" s="191"/>
      <c r="M731" s="191"/>
      <c r="N731" s="191"/>
      <c r="O731" s="191"/>
      <c r="P731" s="191"/>
      <c r="Q731" s="191"/>
    </row>
    <row r="732" spans="1:17" s="18" customFormat="1" hidden="1">
      <c r="A732" s="81" t="s">
        <v>32</v>
      </c>
      <c r="B732" s="83" t="s">
        <v>94</v>
      </c>
      <c r="C732" s="83" t="s">
        <v>26</v>
      </c>
      <c r="D732" s="83" t="s">
        <v>28</v>
      </c>
      <c r="E732" s="83" t="s">
        <v>221</v>
      </c>
      <c r="F732" s="83" t="s">
        <v>33</v>
      </c>
      <c r="G732" s="86"/>
      <c r="H732" s="86"/>
      <c r="I732" s="171"/>
      <c r="J732" s="191"/>
      <c r="K732" s="191"/>
      <c r="L732" s="191"/>
      <c r="M732" s="191"/>
      <c r="N732" s="191"/>
      <c r="O732" s="191"/>
      <c r="P732" s="191"/>
      <c r="Q732" s="191"/>
    </row>
    <row r="733" spans="1:17" s="18" customFormat="1" ht="38.25" hidden="1">
      <c r="A733" s="81" t="s">
        <v>455</v>
      </c>
      <c r="B733" s="83" t="s">
        <v>94</v>
      </c>
      <c r="C733" s="83" t="s">
        <v>26</v>
      </c>
      <c r="D733" s="83" t="s">
        <v>28</v>
      </c>
      <c r="E733" s="83" t="s">
        <v>454</v>
      </c>
      <c r="F733" s="83"/>
      <c r="G733" s="86">
        <f>G734</f>
        <v>0</v>
      </c>
      <c r="H733" s="86">
        <f t="shared" ref="H733:H734" si="170">H734</f>
        <v>0</v>
      </c>
      <c r="I733" s="171"/>
      <c r="J733" s="191"/>
      <c r="K733" s="191"/>
      <c r="L733" s="191"/>
      <c r="M733" s="191"/>
      <c r="N733" s="191"/>
      <c r="O733" s="191"/>
      <c r="P733" s="191"/>
      <c r="Q733" s="191"/>
    </row>
    <row r="734" spans="1:17" s="18" customFormat="1" ht="52.5" hidden="1" customHeight="1">
      <c r="A734" s="81" t="s">
        <v>737</v>
      </c>
      <c r="B734" s="83" t="s">
        <v>94</v>
      </c>
      <c r="C734" s="83" t="s">
        <v>26</v>
      </c>
      <c r="D734" s="83" t="s">
        <v>28</v>
      </c>
      <c r="E734" s="83" t="s">
        <v>738</v>
      </c>
      <c r="F734" s="83"/>
      <c r="G734" s="86">
        <f>G735</f>
        <v>0</v>
      </c>
      <c r="H734" s="86">
        <f t="shared" si="170"/>
        <v>0</v>
      </c>
      <c r="I734" s="171"/>
      <c r="J734" s="191"/>
      <c r="K734" s="191"/>
      <c r="L734" s="191"/>
      <c r="M734" s="191"/>
      <c r="N734" s="191"/>
      <c r="O734" s="191"/>
      <c r="P734" s="191"/>
      <c r="Q734" s="191"/>
    </row>
    <row r="735" spans="1:17" s="18" customFormat="1" ht="25.5" hidden="1">
      <c r="A735" s="81" t="s">
        <v>96</v>
      </c>
      <c r="B735" s="83" t="s">
        <v>94</v>
      </c>
      <c r="C735" s="83" t="s">
        <v>26</v>
      </c>
      <c r="D735" s="83" t="s">
        <v>28</v>
      </c>
      <c r="E735" s="83" t="s">
        <v>738</v>
      </c>
      <c r="F735" s="83" t="s">
        <v>348</v>
      </c>
      <c r="G735" s="86"/>
      <c r="H735" s="86"/>
      <c r="I735" s="171"/>
      <c r="J735" s="191"/>
      <c r="K735" s="191"/>
      <c r="L735" s="191"/>
      <c r="M735" s="191"/>
      <c r="N735" s="191"/>
      <c r="O735" s="191"/>
      <c r="P735" s="191"/>
      <c r="Q735" s="191"/>
    </row>
    <row r="736" spans="1:17" s="18" customFormat="1" ht="89.25" hidden="1">
      <c r="A736" s="129" t="s">
        <v>419</v>
      </c>
      <c r="B736" s="83" t="s">
        <v>94</v>
      </c>
      <c r="C736" s="83" t="s">
        <v>26</v>
      </c>
      <c r="D736" s="83" t="s">
        <v>28</v>
      </c>
      <c r="E736" s="83" t="s">
        <v>738</v>
      </c>
      <c r="F736" s="83" t="s">
        <v>418</v>
      </c>
      <c r="G736" s="86"/>
      <c r="H736" s="86"/>
      <c r="I736" s="171"/>
      <c r="J736" s="191"/>
      <c r="K736" s="191"/>
      <c r="L736" s="191"/>
      <c r="M736" s="191"/>
      <c r="N736" s="191"/>
      <c r="O736" s="191"/>
      <c r="P736" s="191"/>
      <c r="Q736" s="191"/>
    </row>
    <row r="737" spans="1:17" s="18" customFormat="1" ht="38.25" hidden="1">
      <c r="A737" s="81" t="s">
        <v>455</v>
      </c>
      <c r="B737" s="83" t="s">
        <v>94</v>
      </c>
      <c r="C737" s="83" t="s">
        <v>26</v>
      </c>
      <c r="D737" s="83" t="s">
        <v>28</v>
      </c>
      <c r="E737" s="83" t="s">
        <v>454</v>
      </c>
      <c r="F737" s="83"/>
      <c r="G737" s="86">
        <f>G738</f>
        <v>0</v>
      </c>
      <c r="H737" s="86">
        <f t="shared" ref="H737" si="171">H738</f>
        <v>0</v>
      </c>
      <c r="I737" s="171"/>
      <c r="J737" s="191"/>
      <c r="K737" s="191"/>
      <c r="L737" s="191"/>
      <c r="M737" s="191"/>
      <c r="N737" s="191"/>
      <c r="O737" s="191"/>
      <c r="P737" s="191"/>
      <c r="Q737" s="191"/>
    </row>
    <row r="738" spans="1:17" s="18" customFormat="1" ht="52.5" hidden="1" customHeight="1">
      <c r="A738" s="81" t="s">
        <v>737</v>
      </c>
      <c r="B738" s="83" t="s">
        <v>94</v>
      </c>
      <c r="C738" s="83" t="s">
        <v>26</v>
      </c>
      <c r="D738" s="83" t="s">
        <v>28</v>
      </c>
      <c r="E738" s="83" t="s">
        <v>738</v>
      </c>
      <c r="F738" s="83"/>
      <c r="G738" s="86">
        <f>G739</f>
        <v>0</v>
      </c>
      <c r="H738" s="86">
        <f t="shared" ref="H738" si="172">H739</f>
        <v>0</v>
      </c>
      <c r="I738" s="171"/>
      <c r="J738" s="191"/>
      <c r="K738" s="191"/>
      <c r="L738" s="191"/>
      <c r="M738" s="191"/>
      <c r="N738" s="191"/>
      <c r="O738" s="191"/>
      <c r="P738" s="191"/>
      <c r="Q738" s="191"/>
    </row>
    <row r="739" spans="1:17" s="18" customFormat="1" ht="25.5" hidden="1">
      <c r="A739" s="81" t="s">
        <v>96</v>
      </c>
      <c r="B739" s="83" t="s">
        <v>94</v>
      </c>
      <c r="C739" s="83" t="s">
        <v>26</v>
      </c>
      <c r="D739" s="83" t="s">
        <v>28</v>
      </c>
      <c r="E739" s="83" t="s">
        <v>738</v>
      </c>
      <c r="F739" s="83" t="s">
        <v>348</v>
      </c>
      <c r="G739" s="86">
        <f>G740</f>
        <v>0</v>
      </c>
      <c r="H739" s="86">
        <f t="shared" ref="H739" si="173">H740</f>
        <v>0</v>
      </c>
      <c r="I739" s="171"/>
      <c r="J739" s="191"/>
      <c r="K739" s="191"/>
      <c r="L739" s="191"/>
      <c r="M739" s="191"/>
      <c r="N739" s="191"/>
      <c r="O739" s="191"/>
      <c r="P739" s="191"/>
      <c r="Q739" s="191"/>
    </row>
    <row r="740" spans="1:17" s="18" customFormat="1" ht="89.25" hidden="1">
      <c r="A740" s="129" t="s">
        <v>419</v>
      </c>
      <c r="B740" s="83" t="s">
        <v>94</v>
      </c>
      <c r="C740" s="83" t="s">
        <v>26</v>
      </c>
      <c r="D740" s="83" t="s">
        <v>28</v>
      </c>
      <c r="E740" s="83" t="s">
        <v>738</v>
      </c>
      <c r="F740" s="83" t="s">
        <v>418</v>
      </c>
      <c r="G740" s="86"/>
      <c r="H740" s="86"/>
      <c r="I740" s="171"/>
      <c r="J740" s="191"/>
      <c r="K740" s="191"/>
      <c r="L740" s="191"/>
      <c r="M740" s="191"/>
      <c r="N740" s="191"/>
      <c r="O740" s="191"/>
      <c r="P740" s="191"/>
      <c r="Q740" s="191"/>
    </row>
    <row r="741" spans="1:17" s="18" customFormat="1" ht="51" hidden="1">
      <c r="A741" s="81" t="s">
        <v>508</v>
      </c>
      <c r="B741" s="83" t="s">
        <v>94</v>
      </c>
      <c r="C741" s="83" t="s">
        <v>26</v>
      </c>
      <c r="D741" s="83" t="s">
        <v>28</v>
      </c>
      <c r="E741" s="83" t="s">
        <v>214</v>
      </c>
      <c r="F741" s="83"/>
      <c r="G741" s="86">
        <f>G742</f>
        <v>0</v>
      </c>
      <c r="H741" s="86">
        <f>H742+H745</f>
        <v>0</v>
      </c>
      <c r="I741" s="171"/>
      <c r="J741" s="191"/>
      <c r="K741" s="191"/>
      <c r="L741" s="191"/>
      <c r="M741" s="191"/>
      <c r="N741" s="191"/>
      <c r="O741" s="191"/>
      <c r="P741" s="191"/>
      <c r="Q741" s="191"/>
    </row>
    <row r="742" spans="1:17" s="18" customFormat="1" ht="25.5" hidden="1">
      <c r="A742" s="81" t="s">
        <v>500</v>
      </c>
      <c r="B742" s="83" t="s">
        <v>94</v>
      </c>
      <c r="C742" s="83" t="s">
        <v>26</v>
      </c>
      <c r="D742" s="83" t="s">
        <v>28</v>
      </c>
      <c r="E742" s="83" t="s">
        <v>499</v>
      </c>
      <c r="F742" s="83"/>
      <c r="G742" s="86">
        <f>G743</f>
        <v>0</v>
      </c>
      <c r="H742" s="86">
        <f t="shared" ref="H742:H743" si="174">H743</f>
        <v>0</v>
      </c>
      <c r="I742" s="171"/>
      <c r="J742" s="191"/>
      <c r="K742" s="191"/>
      <c r="L742" s="191"/>
      <c r="M742" s="191"/>
      <c r="N742" s="191"/>
      <c r="O742" s="191"/>
      <c r="P742" s="191"/>
      <c r="Q742" s="191"/>
    </row>
    <row r="743" spans="1:17" s="18" customFormat="1" ht="36" hidden="1" customHeight="1">
      <c r="A743" s="81" t="s">
        <v>96</v>
      </c>
      <c r="B743" s="83" t="s">
        <v>94</v>
      </c>
      <c r="C743" s="83" t="s">
        <v>26</v>
      </c>
      <c r="D743" s="83" t="s">
        <v>28</v>
      </c>
      <c r="E743" s="83" t="s">
        <v>499</v>
      </c>
      <c r="F743" s="83" t="s">
        <v>348</v>
      </c>
      <c r="G743" s="86">
        <f>G744</f>
        <v>0</v>
      </c>
      <c r="H743" s="86">
        <f t="shared" si="174"/>
        <v>0</v>
      </c>
      <c r="I743" s="171"/>
      <c r="J743" s="191"/>
      <c r="K743" s="191"/>
      <c r="L743" s="191"/>
      <c r="M743" s="191"/>
      <c r="N743" s="191"/>
      <c r="O743" s="191"/>
      <c r="P743" s="191"/>
      <c r="Q743" s="191"/>
    </row>
    <row r="744" spans="1:17" s="18" customFormat="1" ht="99" hidden="1" customHeight="1">
      <c r="A744" s="129" t="s">
        <v>419</v>
      </c>
      <c r="B744" s="83" t="s">
        <v>94</v>
      </c>
      <c r="C744" s="83" t="s">
        <v>26</v>
      </c>
      <c r="D744" s="83" t="s">
        <v>28</v>
      </c>
      <c r="E744" s="83" t="s">
        <v>499</v>
      </c>
      <c r="F744" s="83" t="s">
        <v>418</v>
      </c>
      <c r="G744" s="86">
        <v>0</v>
      </c>
      <c r="H744" s="86"/>
      <c r="I744" s="171"/>
      <c r="J744" s="191"/>
      <c r="K744" s="191"/>
      <c r="L744" s="191"/>
      <c r="M744" s="191"/>
      <c r="N744" s="191"/>
      <c r="O744" s="191"/>
      <c r="P744" s="191"/>
      <c r="Q744" s="191"/>
    </row>
    <row r="745" spans="1:17" s="18" customFormat="1" ht="25.5" hidden="1">
      <c r="A745" s="81" t="s">
        <v>502</v>
      </c>
      <c r="B745" s="83" t="s">
        <v>94</v>
      </c>
      <c r="C745" s="83" t="s">
        <v>26</v>
      </c>
      <c r="D745" s="83" t="s">
        <v>28</v>
      </c>
      <c r="E745" s="83" t="s">
        <v>501</v>
      </c>
      <c r="F745" s="83"/>
      <c r="G745" s="86">
        <f>G746</f>
        <v>0</v>
      </c>
      <c r="H745" s="86">
        <f t="shared" ref="H745:H746" si="175">H746</f>
        <v>0</v>
      </c>
      <c r="I745" s="171"/>
      <c r="J745" s="191"/>
      <c r="K745" s="191"/>
      <c r="L745" s="191"/>
      <c r="M745" s="191"/>
      <c r="N745" s="191"/>
      <c r="O745" s="191"/>
      <c r="P745" s="191"/>
      <c r="Q745" s="191"/>
    </row>
    <row r="746" spans="1:17" s="18" customFormat="1" ht="36" hidden="1" customHeight="1">
      <c r="A746" s="81" t="s">
        <v>96</v>
      </c>
      <c r="B746" s="83" t="s">
        <v>94</v>
      </c>
      <c r="C746" s="83" t="s">
        <v>26</v>
      </c>
      <c r="D746" s="83" t="s">
        <v>28</v>
      </c>
      <c r="E746" s="83" t="s">
        <v>501</v>
      </c>
      <c r="F746" s="83" t="s">
        <v>348</v>
      </c>
      <c r="G746" s="86">
        <f>G747</f>
        <v>0</v>
      </c>
      <c r="H746" s="86">
        <f t="shared" si="175"/>
        <v>0</v>
      </c>
      <c r="I746" s="171"/>
      <c r="J746" s="191"/>
      <c r="K746" s="191"/>
      <c r="L746" s="191"/>
      <c r="M746" s="191"/>
      <c r="N746" s="191"/>
      <c r="O746" s="191"/>
      <c r="P746" s="191"/>
      <c r="Q746" s="191"/>
    </row>
    <row r="747" spans="1:17" s="18" customFormat="1" ht="99" hidden="1" customHeight="1">
      <c r="A747" s="129" t="s">
        <v>419</v>
      </c>
      <c r="B747" s="83" t="s">
        <v>94</v>
      </c>
      <c r="C747" s="83" t="s">
        <v>26</v>
      </c>
      <c r="D747" s="83" t="s">
        <v>28</v>
      </c>
      <c r="E747" s="83" t="s">
        <v>501</v>
      </c>
      <c r="F747" s="83" t="s">
        <v>418</v>
      </c>
      <c r="G747" s="86">
        <v>0</v>
      </c>
      <c r="H747" s="86"/>
      <c r="I747" s="171"/>
      <c r="J747" s="191"/>
      <c r="K747" s="191"/>
      <c r="L747" s="191"/>
      <c r="M747" s="191"/>
      <c r="N747" s="191"/>
      <c r="O747" s="191"/>
      <c r="P747" s="191"/>
      <c r="Q747" s="191"/>
    </row>
    <row r="748" spans="1:17" s="75" customFormat="1" ht="24.75" hidden="1" customHeight="1">
      <c r="A748" s="135" t="s">
        <v>169</v>
      </c>
      <c r="B748" s="83" t="s">
        <v>94</v>
      </c>
      <c r="C748" s="83" t="s">
        <v>26</v>
      </c>
      <c r="D748" s="83" t="s">
        <v>28</v>
      </c>
      <c r="E748" s="83" t="s">
        <v>233</v>
      </c>
      <c r="F748" s="155"/>
      <c r="G748" s="86">
        <f>G749</f>
        <v>0</v>
      </c>
      <c r="H748" s="86">
        <v>0</v>
      </c>
      <c r="I748" s="171"/>
      <c r="J748" s="207"/>
      <c r="K748" s="208"/>
      <c r="L748" s="208"/>
      <c r="M748" s="208"/>
      <c r="N748" s="208"/>
      <c r="O748" s="208"/>
      <c r="P748" s="208"/>
      <c r="Q748" s="208"/>
    </row>
    <row r="749" spans="1:17" ht="25.5" hidden="1">
      <c r="A749" s="135" t="s">
        <v>169</v>
      </c>
      <c r="B749" s="83" t="s">
        <v>94</v>
      </c>
      <c r="C749" s="83" t="s">
        <v>26</v>
      </c>
      <c r="D749" s="83" t="s">
        <v>28</v>
      </c>
      <c r="E749" s="83" t="s">
        <v>275</v>
      </c>
      <c r="F749" s="145"/>
      <c r="G749" s="86">
        <f>G750</f>
        <v>0</v>
      </c>
      <c r="H749" s="86">
        <v>0</v>
      </c>
      <c r="I749" s="171"/>
      <c r="J749" s="200"/>
    </row>
    <row r="750" spans="1:17" hidden="1">
      <c r="A750" s="81" t="s">
        <v>63</v>
      </c>
      <c r="B750" s="83" t="s">
        <v>94</v>
      </c>
      <c r="C750" s="83" t="s">
        <v>26</v>
      </c>
      <c r="D750" s="83" t="s">
        <v>28</v>
      </c>
      <c r="E750" s="83" t="s">
        <v>275</v>
      </c>
      <c r="F750" s="83" t="s">
        <v>31</v>
      </c>
      <c r="G750" s="86">
        <f>G751</f>
        <v>0</v>
      </c>
      <c r="H750" s="86">
        <f>H751</f>
        <v>0</v>
      </c>
      <c r="I750" s="171"/>
      <c r="J750" s="200"/>
    </row>
    <row r="751" spans="1:17" ht="19.5" hidden="1" customHeight="1">
      <c r="A751" s="81" t="s">
        <v>180</v>
      </c>
      <c r="B751" s="83" t="s">
        <v>94</v>
      </c>
      <c r="C751" s="83" t="s">
        <v>26</v>
      </c>
      <c r="D751" s="83" t="s">
        <v>28</v>
      </c>
      <c r="E751" s="83" t="s">
        <v>275</v>
      </c>
      <c r="F751" s="83" t="s">
        <v>33</v>
      </c>
      <c r="G751" s="86"/>
      <c r="H751" s="86">
        <f>'прил 5,'!H226</f>
        <v>0</v>
      </c>
      <c r="I751" s="171"/>
      <c r="J751" s="200"/>
    </row>
    <row r="752" spans="1:17" ht="30" hidden="1" customHeight="1">
      <c r="A752" s="81" t="s">
        <v>333</v>
      </c>
      <c r="B752" s="83" t="s">
        <v>94</v>
      </c>
      <c r="C752" s="83" t="s">
        <v>26</v>
      </c>
      <c r="D752" s="83" t="s">
        <v>28</v>
      </c>
      <c r="E752" s="83" t="s">
        <v>211</v>
      </c>
      <c r="F752" s="83"/>
      <c r="G752" s="86">
        <f>G753</f>
        <v>0</v>
      </c>
      <c r="H752" s="86"/>
      <c r="I752" s="171"/>
      <c r="J752" s="200"/>
    </row>
    <row r="753" spans="1:17" ht="29.25" hidden="1" customHeight="1">
      <c r="A753" s="81" t="s">
        <v>30</v>
      </c>
      <c r="B753" s="83" t="s">
        <v>94</v>
      </c>
      <c r="C753" s="83" t="s">
        <v>26</v>
      </c>
      <c r="D753" s="83" t="s">
        <v>28</v>
      </c>
      <c r="E753" s="83" t="s">
        <v>211</v>
      </c>
      <c r="F753" s="83" t="s">
        <v>31</v>
      </c>
      <c r="G753" s="86">
        <f>G754</f>
        <v>0</v>
      </c>
      <c r="H753" s="86"/>
      <c r="I753" s="171"/>
      <c r="J753" s="200"/>
    </row>
    <row r="754" spans="1:17" ht="19.5" hidden="1" customHeight="1">
      <c r="A754" s="81" t="s">
        <v>32</v>
      </c>
      <c r="B754" s="83" t="s">
        <v>94</v>
      </c>
      <c r="C754" s="83" t="s">
        <v>26</v>
      </c>
      <c r="D754" s="83" t="s">
        <v>28</v>
      </c>
      <c r="E754" s="83" t="s">
        <v>211</v>
      </c>
      <c r="F754" s="83" t="s">
        <v>33</v>
      </c>
      <c r="G754" s="86"/>
      <c r="H754" s="86"/>
      <c r="I754" s="171"/>
      <c r="J754" s="200"/>
    </row>
    <row r="755" spans="1:17" s="161" customFormat="1" ht="30.75" hidden="1" customHeight="1">
      <c r="A755" s="135" t="s">
        <v>272</v>
      </c>
      <c r="B755" s="83" t="s">
        <v>94</v>
      </c>
      <c r="C755" s="83" t="s">
        <v>26</v>
      </c>
      <c r="D755" s="83" t="s">
        <v>28</v>
      </c>
      <c r="E755" s="83" t="s">
        <v>565</v>
      </c>
      <c r="F755" s="83"/>
      <c r="G755" s="86">
        <f>G756</f>
        <v>0</v>
      </c>
      <c r="H755" s="256">
        <v>0</v>
      </c>
      <c r="I755" s="184"/>
      <c r="J755" s="197"/>
      <c r="K755" s="197"/>
      <c r="L755" s="197"/>
      <c r="M755" s="197"/>
      <c r="N755" s="197"/>
      <c r="O755" s="197"/>
      <c r="P755" s="197"/>
      <c r="Q755" s="197"/>
    </row>
    <row r="756" spans="1:17" ht="30.75" hidden="1" customHeight="1">
      <c r="A756" s="81" t="s">
        <v>272</v>
      </c>
      <c r="B756" s="83" t="s">
        <v>94</v>
      </c>
      <c r="C756" s="83" t="s">
        <v>26</v>
      </c>
      <c r="D756" s="83" t="s">
        <v>28</v>
      </c>
      <c r="E756" s="83" t="s">
        <v>566</v>
      </c>
      <c r="F756" s="83"/>
      <c r="G756" s="86">
        <f>G763</f>
        <v>0</v>
      </c>
      <c r="H756" s="86">
        <v>0</v>
      </c>
      <c r="I756" s="171"/>
    </row>
    <row r="757" spans="1:17" ht="30.75" hidden="1" customHeight="1">
      <c r="A757" s="81" t="s">
        <v>36</v>
      </c>
      <c r="B757" s="83" t="s">
        <v>94</v>
      </c>
      <c r="C757" s="83" t="s">
        <v>26</v>
      </c>
      <c r="D757" s="83" t="s">
        <v>28</v>
      </c>
      <c r="E757" s="83" t="s">
        <v>566</v>
      </c>
      <c r="F757" s="83" t="s">
        <v>37</v>
      </c>
      <c r="G757" s="86">
        <f>G758</f>
        <v>44000</v>
      </c>
      <c r="H757" s="86">
        <v>0</v>
      </c>
      <c r="I757" s="171"/>
    </row>
    <row r="758" spans="1:17" ht="30.75" hidden="1" customHeight="1">
      <c r="A758" s="81" t="s">
        <v>38</v>
      </c>
      <c r="B758" s="83" t="s">
        <v>94</v>
      </c>
      <c r="C758" s="83" t="s">
        <v>26</v>
      </c>
      <c r="D758" s="83" t="s">
        <v>28</v>
      </c>
      <c r="E758" s="83" t="s">
        <v>566</v>
      </c>
      <c r="F758" s="83" t="s">
        <v>39</v>
      </c>
      <c r="G758" s="86">
        <f>'прил 5,'!G1226</f>
        <v>44000</v>
      </c>
      <c r="H758" s="86">
        <v>0</v>
      </c>
      <c r="I758" s="171"/>
    </row>
    <row r="759" spans="1:17" ht="23.25" hidden="1" customHeight="1">
      <c r="A759" s="81" t="s">
        <v>148</v>
      </c>
      <c r="B759" s="83" t="s">
        <v>94</v>
      </c>
      <c r="C759" s="83" t="s">
        <v>26</v>
      </c>
      <c r="D759" s="83" t="s">
        <v>28</v>
      </c>
      <c r="E759" s="83" t="s">
        <v>566</v>
      </c>
      <c r="F759" s="83" t="s">
        <v>149</v>
      </c>
      <c r="G759" s="86">
        <f>G760</f>
        <v>1041561.01</v>
      </c>
      <c r="H759" s="86">
        <v>0</v>
      </c>
      <c r="I759" s="171"/>
    </row>
    <row r="760" spans="1:17" ht="30.75" hidden="1" customHeight="1">
      <c r="A760" s="81" t="s">
        <v>150</v>
      </c>
      <c r="B760" s="83" t="s">
        <v>94</v>
      </c>
      <c r="C760" s="83" t="s">
        <v>26</v>
      </c>
      <c r="D760" s="83" t="s">
        <v>28</v>
      </c>
      <c r="E760" s="83" t="s">
        <v>566</v>
      </c>
      <c r="F760" s="83" t="s">
        <v>151</v>
      </c>
      <c r="G760" s="86">
        <f>'прил 5,'!G717</f>
        <v>1041561.01</v>
      </c>
      <c r="H760" s="86">
        <v>0</v>
      </c>
      <c r="I760" s="171"/>
    </row>
    <row r="761" spans="1:17" ht="21.75" hidden="1" customHeight="1">
      <c r="A761" s="81" t="s">
        <v>156</v>
      </c>
      <c r="B761" s="83" t="s">
        <v>94</v>
      </c>
      <c r="C761" s="83" t="s">
        <v>26</v>
      </c>
      <c r="D761" s="83" t="s">
        <v>28</v>
      </c>
      <c r="E761" s="83" t="s">
        <v>566</v>
      </c>
      <c r="F761" s="83" t="s">
        <v>157</v>
      </c>
      <c r="G761" s="86">
        <f>G762</f>
        <v>0</v>
      </c>
      <c r="H761" s="86">
        <v>0</v>
      </c>
      <c r="I761" s="171"/>
    </row>
    <row r="762" spans="1:17" ht="22.5" hidden="1" customHeight="1">
      <c r="A762" s="81" t="s">
        <v>178</v>
      </c>
      <c r="B762" s="83" t="s">
        <v>94</v>
      </c>
      <c r="C762" s="83" t="s">
        <v>26</v>
      </c>
      <c r="D762" s="83" t="s">
        <v>28</v>
      </c>
      <c r="E762" s="83" t="s">
        <v>566</v>
      </c>
      <c r="F762" s="83" t="s">
        <v>179</v>
      </c>
      <c r="G762" s="86"/>
      <c r="H762" s="86">
        <v>0</v>
      </c>
      <c r="I762" s="171"/>
    </row>
    <row r="763" spans="1:17" ht="25.5" hidden="1">
      <c r="A763" s="81" t="s">
        <v>30</v>
      </c>
      <c r="B763" s="83" t="s">
        <v>94</v>
      </c>
      <c r="C763" s="83" t="s">
        <v>26</v>
      </c>
      <c r="D763" s="83" t="s">
        <v>28</v>
      </c>
      <c r="E763" s="83" t="s">
        <v>566</v>
      </c>
      <c r="F763" s="83" t="s">
        <v>31</v>
      </c>
      <c r="G763" s="84">
        <f t="shared" ref="G763:H763" si="176">G764</f>
        <v>0</v>
      </c>
      <c r="H763" s="84">
        <f t="shared" si="176"/>
        <v>0</v>
      </c>
      <c r="I763" s="172"/>
    </row>
    <row r="764" spans="1:17" hidden="1">
      <c r="A764" s="81" t="s">
        <v>32</v>
      </c>
      <c r="B764" s="83" t="s">
        <v>94</v>
      </c>
      <c r="C764" s="83" t="s">
        <v>26</v>
      </c>
      <c r="D764" s="83" t="s">
        <v>28</v>
      </c>
      <c r="E764" s="83" t="s">
        <v>566</v>
      </c>
      <c r="F764" s="83" t="s">
        <v>33</v>
      </c>
      <c r="G764" s="84"/>
      <c r="H764" s="84"/>
      <c r="I764" s="172"/>
    </row>
    <row r="765" spans="1:17" s="161" customFormat="1" ht="30.75" hidden="1" customHeight="1">
      <c r="A765" s="135" t="s">
        <v>169</v>
      </c>
      <c r="B765" s="83" t="s">
        <v>94</v>
      </c>
      <c r="C765" s="83" t="s">
        <v>26</v>
      </c>
      <c r="D765" s="83" t="s">
        <v>28</v>
      </c>
      <c r="E765" s="83" t="s">
        <v>233</v>
      </c>
      <c r="F765" s="83"/>
      <c r="G765" s="86">
        <f>G766</f>
        <v>0</v>
      </c>
      <c r="H765" s="256">
        <v>0</v>
      </c>
      <c r="I765" s="184"/>
      <c r="J765" s="197"/>
      <c r="K765" s="197"/>
      <c r="L765" s="197"/>
      <c r="M765" s="197"/>
      <c r="N765" s="197"/>
      <c r="O765" s="197"/>
      <c r="P765" s="197"/>
      <c r="Q765" s="197"/>
    </row>
    <row r="766" spans="1:17" ht="30.75" hidden="1" customHeight="1">
      <c r="A766" s="81" t="s">
        <v>169</v>
      </c>
      <c r="B766" s="83" t="s">
        <v>94</v>
      </c>
      <c r="C766" s="83" t="s">
        <v>26</v>
      </c>
      <c r="D766" s="83" t="s">
        <v>28</v>
      </c>
      <c r="E766" s="83" t="s">
        <v>822</v>
      </c>
      <c r="F766" s="83"/>
      <c r="G766" s="86">
        <f>G773</f>
        <v>0</v>
      </c>
      <c r="H766" s="86">
        <v>0</v>
      </c>
      <c r="I766" s="171"/>
    </row>
    <row r="767" spans="1:17" ht="30.75" hidden="1" customHeight="1">
      <c r="A767" s="81" t="s">
        <v>36</v>
      </c>
      <c r="B767" s="83" t="s">
        <v>94</v>
      </c>
      <c r="C767" s="83" t="s">
        <v>26</v>
      </c>
      <c r="D767" s="83" t="s">
        <v>28</v>
      </c>
      <c r="E767" s="83" t="s">
        <v>566</v>
      </c>
      <c r="F767" s="83" t="s">
        <v>37</v>
      </c>
      <c r="G767" s="86">
        <f>G768</f>
        <v>6781238</v>
      </c>
      <c r="H767" s="86">
        <v>0</v>
      </c>
      <c r="I767" s="171"/>
    </row>
    <row r="768" spans="1:17" ht="30.75" hidden="1" customHeight="1">
      <c r="A768" s="81" t="s">
        <v>38</v>
      </c>
      <c r="B768" s="83" t="s">
        <v>94</v>
      </c>
      <c r="C768" s="83" t="s">
        <v>26</v>
      </c>
      <c r="D768" s="83" t="s">
        <v>28</v>
      </c>
      <c r="E768" s="83" t="s">
        <v>566</v>
      </c>
      <c r="F768" s="83" t="s">
        <v>39</v>
      </c>
      <c r="G768" s="86">
        <f>'прил 5,'!G1239</f>
        <v>6781238</v>
      </c>
      <c r="H768" s="86">
        <v>0</v>
      </c>
      <c r="I768" s="171"/>
    </row>
    <row r="769" spans="1:17" ht="23.25" hidden="1" customHeight="1">
      <c r="A769" s="81" t="s">
        <v>148</v>
      </c>
      <c r="B769" s="83" t="s">
        <v>94</v>
      </c>
      <c r="C769" s="83" t="s">
        <v>26</v>
      </c>
      <c r="D769" s="83" t="s">
        <v>28</v>
      </c>
      <c r="E769" s="83" t="s">
        <v>566</v>
      </c>
      <c r="F769" s="83" t="s">
        <v>149</v>
      </c>
      <c r="G769" s="86">
        <f>G770</f>
        <v>3461741</v>
      </c>
      <c r="H769" s="86">
        <v>0</v>
      </c>
      <c r="I769" s="171"/>
    </row>
    <row r="770" spans="1:17" ht="30.75" hidden="1" customHeight="1">
      <c r="A770" s="81" t="s">
        <v>150</v>
      </c>
      <c r="B770" s="83" t="s">
        <v>94</v>
      </c>
      <c r="C770" s="83" t="s">
        <v>26</v>
      </c>
      <c r="D770" s="83" t="s">
        <v>28</v>
      </c>
      <c r="E770" s="83" t="s">
        <v>566</v>
      </c>
      <c r="F770" s="83" t="s">
        <v>151</v>
      </c>
      <c r="G770" s="86">
        <f>'прил 5,'!G667</f>
        <v>3461741</v>
      </c>
      <c r="H770" s="86">
        <v>0</v>
      </c>
      <c r="I770" s="171"/>
    </row>
    <row r="771" spans="1:17" ht="21.75" hidden="1" customHeight="1">
      <c r="A771" s="81" t="s">
        <v>156</v>
      </c>
      <c r="B771" s="83" t="s">
        <v>94</v>
      </c>
      <c r="C771" s="83" t="s">
        <v>26</v>
      </c>
      <c r="D771" s="83" t="s">
        <v>28</v>
      </c>
      <c r="E771" s="83" t="s">
        <v>566</v>
      </c>
      <c r="F771" s="83" t="s">
        <v>157</v>
      </c>
      <c r="G771" s="86">
        <f>G772</f>
        <v>0</v>
      </c>
      <c r="H771" s="86">
        <v>0</v>
      </c>
      <c r="I771" s="171"/>
    </row>
    <row r="772" spans="1:17" ht="22.5" hidden="1" customHeight="1">
      <c r="A772" s="81" t="s">
        <v>178</v>
      </c>
      <c r="B772" s="83" t="s">
        <v>94</v>
      </c>
      <c r="C772" s="83" t="s">
        <v>26</v>
      </c>
      <c r="D772" s="83" t="s">
        <v>28</v>
      </c>
      <c r="E772" s="83" t="s">
        <v>566</v>
      </c>
      <c r="F772" s="83" t="s">
        <v>179</v>
      </c>
      <c r="G772" s="86"/>
      <c r="H772" s="86">
        <v>0</v>
      </c>
      <c r="I772" s="171"/>
    </row>
    <row r="773" spans="1:17" ht="25.5" hidden="1">
      <c r="A773" s="81" t="s">
        <v>30</v>
      </c>
      <c r="B773" s="83" t="s">
        <v>94</v>
      </c>
      <c r="C773" s="83" t="s">
        <v>26</v>
      </c>
      <c r="D773" s="83" t="s">
        <v>28</v>
      </c>
      <c r="E773" s="83" t="s">
        <v>822</v>
      </c>
      <c r="F773" s="83" t="s">
        <v>31</v>
      </c>
      <c r="G773" s="84">
        <f t="shared" ref="G773:H773" si="177">G774</f>
        <v>0</v>
      </c>
      <c r="H773" s="84">
        <f t="shared" si="177"/>
        <v>0</v>
      </c>
      <c r="I773" s="172"/>
    </row>
    <row r="774" spans="1:17" hidden="1">
      <c r="A774" s="81" t="s">
        <v>32</v>
      </c>
      <c r="B774" s="83" t="s">
        <v>94</v>
      </c>
      <c r="C774" s="83" t="s">
        <v>26</v>
      </c>
      <c r="D774" s="83" t="s">
        <v>28</v>
      </c>
      <c r="E774" s="83" t="s">
        <v>822</v>
      </c>
      <c r="F774" s="83" t="s">
        <v>33</v>
      </c>
      <c r="G774" s="84"/>
      <c r="H774" s="84"/>
      <c r="I774" s="172"/>
    </row>
    <row r="775" spans="1:17" s="164" customFormat="1" ht="28.5" hidden="1" customHeight="1">
      <c r="A775" s="135" t="s">
        <v>479</v>
      </c>
      <c r="B775" s="83" t="s">
        <v>94</v>
      </c>
      <c r="C775" s="83" t="s">
        <v>26</v>
      </c>
      <c r="D775" s="83" t="s">
        <v>28</v>
      </c>
      <c r="E775" s="83" t="s">
        <v>195</v>
      </c>
      <c r="F775" s="83"/>
      <c r="G775" s="86">
        <f>G779</f>
        <v>0</v>
      </c>
      <c r="H775" s="86">
        <f t="shared" ref="H775" si="178">H779</f>
        <v>0</v>
      </c>
      <c r="I775" s="171"/>
      <c r="J775" s="195"/>
      <c r="K775" s="195"/>
      <c r="L775" s="195"/>
      <c r="M775" s="195"/>
      <c r="N775" s="195"/>
      <c r="O775" s="195"/>
      <c r="P775" s="195"/>
      <c r="Q775" s="195"/>
    </row>
    <row r="776" spans="1:17" s="164" customFormat="1" ht="27.75" hidden="1" customHeight="1">
      <c r="A776" s="135" t="s">
        <v>73</v>
      </c>
      <c r="B776" s="83" t="s">
        <v>94</v>
      </c>
      <c r="C776" s="83" t="s">
        <v>26</v>
      </c>
      <c r="D776" s="83" t="s">
        <v>70</v>
      </c>
      <c r="E776" s="83" t="s">
        <v>206</v>
      </c>
      <c r="F776" s="83"/>
      <c r="G776" s="86">
        <f>G777</f>
        <v>0</v>
      </c>
      <c r="H776" s="86">
        <f t="shared" ref="H776" si="179">H777</f>
        <v>0</v>
      </c>
      <c r="I776" s="171"/>
      <c r="J776" s="195"/>
      <c r="K776" s="195"/>
      <c r="L776" s="195"/>
      <c r="M776" s="195"/>
      <c r="N776" s="195"/>
      <c r="O776" s="195"/>
      <c r="P776" s="195"/>
      <c r="Q776" s="195"/>
    </row>
    <row r="777" spans="1:17" s="218" customFormat="1" ht="28.5" hidden="1" customHeight="1">
      <c r="A777" s="81" t="s">
        <v>36</v>
      </c>
      <c r="B777" s="83" t="s">
        <v>94</v>
      </c>
      <c r="C777" s="83" t="s">
        <v>26</v>
      </c>
      <c r="D777" s="83" t="s">
        <v>70</v>
      </c>
      <c r="E777" s="83" t="s">
        <v>206</v>
      </c>
      <c r="F777" s="83" t="s">
        <v>37</v>
      </c>
      <c r="G777" s="86">
        <f>G778</f>
        <v>0</v>
      </c>
      <c r="H777" s="86">
        <f>H778</f>
        <v>0</v>
      </c>
      <c r="I777" s="171"/>
      <c r="J777" s="194"/>
      <c r="K777" s="194"/>
      <c r="L777" s="194"/>
      <c r="M777" s="194"/>
      <c r="N777" s="194"/>
      <c r="O777" s="194"/>
      <c r="P777" s="194"/>
      <c r="Q777" s="194"/>
    </row>
    <row r="778" spans="1:17" s="218" customFormat="1" hidden="1">
      <c r="A778" s="81"/>
      <c r="B778" s="83" t="s">
        <v>94</v>
      </c>
      <c r="C778" s="83" t="s">
        <v>26</v>
      </c>
      <c r="D778" s="83" t="s">
        <v>70</v>
      </c>
      <c r="E778" s="83"/>
      <c r="F778" s="83"/>
      <c r="G778" s="86"/>
      <c r="H778" s="86"/>
      <c r="I778" s="171"/>
      <c r="J778" s="196"/>
      <c r="K778" s="194"/>
      <c r="L778" s="194"/>
      <c r="M778" s="194"/>
      <c r="N778" s="194"/>
      <c r="O778" s="194"/>
      <c r="P778" s="194"/>
      <c r="Q778" s="194"/>
    </row>
    <row r="779" spans="1:17" s="164" customFormat="1" ht="65.25" hidden="1" customHeight="1">
      <c r="A779" s="135" t="s">
        <v>969</v>
      </c>
      <c r="B779" s="83" t="s">
        <v>94</v>
      </c>
      <c r="C779" s="83" t="s">
        <v>26</v>
      </c>
      <c r="D779" s="83" t="s">
        <v>28</v>
      </c>
      <c r="E779" s="83" t="s">
        <v>948</v>
      </c>
      <c r="F779" s="83"/>
      <c r="G779" s="86">
        <f>G780</f>
        <v>0</v>
      </c>
      <c r="H779" s="86">
        <f t="shared" ref="H779" si="180">H780</f>
        <v>0</v>
      </c>
      <c r="I779" s="171"/>
      <c r="J779" s="195"/>
      <c r="K779" s="195"/>
      <c r="L779" s="195"/>
      <c r="M779" s="195"/>
      <c r="N779" s="195"/>
      <c r="O779" s="195"/>
      <c r="P779" s="195"/>
      <c r="Q779" s="195"/>
    </row>
    <row r="780" spans="1:17" s="218" customFormat="1" ht="28.5" hidden="1" customHeight="1">
      <c r="A780" s="81" t="s">
        <v>30</v>
      </c>
      <c r="B780" s="83" t="s">
        <v>94</v>
      </c>
      <c r="C780" s="83" t="s">
        <v>26</v>
      </c>
      <c r="D780" s="83" t="s">
        <v>28</v>
      </c>
      <c r="E780" s="83" t="s">
        <v>948</v>
      </c>
      <c r="F780" s="83" t="s">
        <v>31</v>
      </c>
      <c r="G780" s="86">
        <f>G781</f>
        <v>0</v>
      </c>
      <c r="H780" s="86">
        <f>H781</f>
        <v>0</v>
      </c>
      <c r="I780" s="171"/>
      <c r="J780" s="194"/>
      <c r="K780" s="194"/>
      <c r="L780" s="194"/>
      <c r="M780" s="194"/>
      <c r="N780" s="194"/>
      <c r="O780" s="194"/>
      <c r="P780" s="194"/>
      <c r="Q780" s="194"/>
    </row>
    <row r="781" spans="1:17" s="218" customFormat="1" hidden="1">
      <c r="A781" s="81" t="s">
        <v>32</v>
      </c>
      <c r="B781" s="83" t="s">
        <v>94</v>
      </c>
      <c r="C781" s="83" t="s">
        <v>26</v>
      </c>
      <c r="D781" s="83" t="s">
        <v>28</v>
      </c>
      <c r="E781" s="83" t="s">
        <v>948</v>
      </c>
      <c r="F781" s="83" t="s">
        <v>33</v>
      </c>
      <c r="G781" s="86">
        <v>0</v>
      </c>
      <c r="H781" s="86">
        <v>0</v>
      </c>
      <c r="I781" s="171"/>
      <c r="J781" s="196"/>
      <c r="K781" s="194"/>
      <c r="L781" s="194"/>
      <c r="M781" s="194"/>
      <c r="N781" s="194"/>
      <c r="O781" s="194"/>
      <c r="P781" s="194"/>
      <c r="Q781" s="194"/>
    </row>
    <row r="782" spans="1:17" s="33" customFormat="1" ht="27" customHeight="1">
      <c r="A782" s="81" t="s">
        <v>98</v>
      </c>
      <c r="B782" s="145">
        <v>774</v>
      </c>
      <c r="C782" s="83" t="s">
        <v>26</v>
      </c>
      <c r="D782" s="83" t="s">
        <v>28</v>
      </c>
      <c r="E782" s="145" t="s">
        <v>210</v>
      </c>
      <c r="F782" s="83"/>
      <c r="G782" s="86">
        <f>G783+G786</f>
        <v>290000</v>
      </c>
      <c r="H782" s="86">
        <f>H783+H786</f>
        <v>290000</v>
      </c>
      <c r="I782" s="171"/>
      <c r="J782" s="202"/>
      <c r="K782" s="202"/>
      <c r="L782" s="202"/>
      <c r="M782" s="202"/>
      <c r="N782" s="202"/>
      <c r="O782" s="202"/>
      <c r="P782" s="202"/>
      <c r="Q782" s="202"/>
    </row>
    <row r="783" spans="1:17" ht="19.5" customHeight="1">
      <c r="A783" s="81" t="s">
        <v>825</v>
      </c>
      <c r="B783" s="145">
        <v>774</v>
      </c>
      <c r="C783" s="83" t="s">
        <v>26</v>
      </c>
      <c r="D783" s="83" t="s">
        <v>28</v>
      </c>
      <c r="E783" s="83" t="s">
        <v>826</v>
      </c>
      <c r="F783" s="83"/>
      <c r="G783" s="86">
        <f>G784</f>
        <v>90000</v>
      </c>
      <c r="H783" s="86">
        <f t="shared" ref="H783" si="181">H784</f>
        <v>90000</v>
      </c>
      <c r="I783" s="171"/>
    </row>
    <row r="784" spans="1:17" ht="30.75" customHeight="1">
      <c r="A784" s="81" t="s">
        <v>30</v>
      </c>
      <c r="B784" s="145">
        <v>774</v>
      </c>
      <c r="C784" s="83" t="s">
        <v>26</v>
      </c>
      <c r="D784" s="83" t="s">
        <v>28</v>
      </c>
      <c r="E784" s="83" t="s">
        <v>826</v>
      </c>
      <c r="F784" s="83" t="s">
        <v>31</v>
      </c>
      <c r="G784" s="86">
        <f>G785</f>
        <v>90000</v>
      </c>
      <c r="H784" s="86">
        <f>H785</f>
        <v>90000</v>
      </c>
      <c r="I784" s="171"/>
    </row>
    <row r="785" spans="1:17" ht="18.75" customHeight="1">
      <c r="A785" s="81" t="s">
        <v>32</v>
      </c>
      <c r="B785" s="145">
        <v>774</v>
      </c>
      <c r="C785" s="83" t="s">
        <v>26</v>
      </c>
      <c r="D785" s="83" t="s">
        <v>28</v>
      </c>
      <c r="E785" s="83" t="s">
        <v>826</v>
      </c>
      <c r="F785" s="83" t="s">
        <v>33</v>
      </c>
      <c r="G785" s="86">
        <f>30000+60000</f>
        <v>90000</v>
      </c>
      <c r="H785" s="86">
        <v>90000</v>
      </c>
      <c r="I785" s="171"/>
    </row>
    <row r="786" spans="1:17" ht="19.5" customHeight="1">
      <c r="A786" s="81" t="s">
        <v>1025</v>
      </c>
      <c r="B786" s="145">
        <v>774</v>
      </c>
      <c r="C786" s="83" t="s">
        <v>26</v>
      </c>
      <c r="D786" s="83" t="s">
        <v>28</v>
      </c>
      <c r="E786" s="83" t="s">
        <v>1026</v>
      </c>
      <c r="F786" s="83"/>
      <c r="G786" s="86">
        <f>G787</f>
        <v>200000</v>
      </c>
      <c r="H786" s="86">
        <f t="shared" ref="H786" si="182">H787</f>
        <v>200000</v>
      </c>
      <c r="I786" s="171"/>
    </row>
    <row r="787" spans="1:17" ht="30.75" customHeight="1">
      <c r="A787" s="81" t="s">
        <v>30</v>
      </c>
      <c r="B787" s="145">
        <v>774</v>
      </c>
      <c r="C787" s="83" t="s">
        <v>26</v>
      </c>
      <c r="D787" s="83" t="s">
        <v>28</v>
      </c>
      <c r="E787" s="83" t="s">
        <v>1026</v>
      </c>
      <c r="F787" s="83" t="s">
        <v>31</v>
      </c>
      <c r="G787" s="86">
        <f>G788</f>
        <v>200000</v>
      </c>
      <c r="H787" s="86">
        <f>H788</f>
        <v>200000</v>
      </c>
      <c r="I787" s="171"/>
    </row>
    <row r="788" spans="1:17" ht="18.75" customHeight="1">
      <c r="A788" s="81" t="s">
        <v>32</v>
      </c>
      <c r="B788" s="145">
        <v>774</v>
      </c>
      <c r="C788" s="83" t="s">
        <v>26</v>
      </c>
      <c r="D788" s="83" t="s">
        <v>28</v>
      </c>
      <c r="E788" s="83" t="s">
        <v>1026</v>
      </c>
      <c r="F788" s="83" t="s">
        <v>33</v>
      </c>
      <c r="G788" s="86">
        <v>200000</v>
      </c>
      <c r="H788" s="86">
        <v>200000</v>
      </c>
      <c r="I788" s="171"/>
    </row>
    <row r="789" spans="1:17" s="33" customFormat="1" ht="27" customHeight="1">
      <c r="A789" s="81" t="s">
        <v>272</v>
      </c>
      <c r="B789" s="145">
        <v>774</v>
      </c>
      <c r="C789" s="83" t="s">
        <v>26</v>
      </c>
      <c r="D789" s="83" t="s">
        <v>28</v>
      </c>
      <c r="E789" s="145" t="s">
        <v>565</v>
      </c>
      <c r="F789" s="83"/>
      <c r="G789" s="86">
        <f>G790</f>
        <v>1132348</v>
      </c>
      <c r="H789" s="86">
        <f t="shared" ref="H789:H790" si="183">H790</f>
        <v>1132348</v>
      </c>
      <c r="I789" s="171"/>
      <c r="J789" s="202"/>
      <c r="K789" s="202"/>
      <c r="L789" s="202"/>
      <c r="M789" s="202"/>
      <c r="N789" s="202"/>
      <c r="O789" s="202"/>
      <c r="P789" s="202"/>
      <c r="Q789" s="202"/>
    </row>
    <row r="790" spans="1:17" ht="19.5" customHeight="1">
      <c r="A790" s="81" t="s">
        <v>272</v>
      </c>
      <c r="B790" s="145">
        <v>774</v>
      </c>
      <c r="C790" s="83" t="s">
        <v>26</v>
      </c>
      <c r="D790" s="83" t="s">
        <v>28</v>
      </c>
      <c r="E790" s="83" t="s">
        <v>566</v>
      </c>
      <c r="F790" s="83"/>
      <c r="G790" s="86">
        <f>G791</f>
        <v>1132348</v>
      </c>
      <c r="H790" s="86">
        <f t="shared" si="183"/>
        <v>1132348</v>
      </c>
      <c r="I790" s="171"/>
    </row>
    <row r="791" spans="1:17" ht="30.75" customHeight="1">
      <c r="A791" s="81" t="s">
        <v>30</v>
      </c>
      <c r="B791" s="145">
        <v>774</v>
      </c>
      <c r="C791" s="83" t="s">
        <v>26</v>
      </c>
      <c r="D791" s="83" t="s">
        <v>28</v>
      </c>
      <c r="E791" s="83" t="s">
        <v>566</v>
      </c>
      <c r="F791" s="83" t="s">
        <v>31</v>
      </c>
      <c r="G791" s="86">
        <f>G792</f>
        <v>1132348</v>
      </c>
      <c r="H791" s="86">
        <f>H792</f>
        <v>1132348</v>
      </c>
      <c r="I791" s="171"/>
    </row>
    <row r="792" spans="1:17" ht="18.75" customHeight="1">
      <c r="A792" s="81" t="s">
        <v>32</v>
      </c>
      <c r="B792" s="145">
        <v>774</v>
      </c>
      <c r="C792" s="83" t="s">
        <v>26</v>
      </c>
      <c r="D792" s="83" t="s">
        <v>28</v>
      </c>
      <c r="E792" s="83" t="s">
        <v>566</v>
      </c>
      <c r="F792" s="83" t="s">
        <v>33</v>
      </c>
      <c r="G792" s="86">
        <v>1132348</v>
      </c>
      <c r="H792" s="86">
        <v>1132348</v>
      </c>
      <c r="I792" s="171"/>
    </row>
    <row r="793" spans="1:17" ht="18.75" customHeight="1">
      <c r="A793" s="81" t="s">
        <v>95</v>
      </c>
      <c r="B793" s="145">
        <v>774</v>
      </c>
      <c r="C793" s="83" t="s">
        <v>26</v>
      </c>
      <c r="D793" s="83" t="s">
        <v>70</v>
      </c>
      <c r="E793" s="83"/>
      <c r="F793" s="145"/>
      <c r="G793" s="86">
        <f>G794+G857+G853+G865+G872+G892+G902+G906</f>
        <v>103126153.63000003</v>
      </c>
      <c r="H793" s="86">
        <f>H794+H857+H853+H865+H872+H892+H902+H906</f>
        <v>102819497.19000003</v>
      </c>
      <c r="I793" s="171"/>
    </row>
    <row r="794" spans="1:17" s="28" customFormat="1" ht="25.5">
      <c r="A794" s="81" t="s">
        <v>473</v>
      </c>
      <c r="B794" s="83" t="s">
        <v>94</v>
      </c>
      <c r="C794" s="83" t="s">
        <v>26</v>
      </c>
      <c r="D794" s="83" t="s">
        <v>70</v>
      </c>
      <c r="E794" s="83" t="s">
        <v>189</v>
      </c>
      <c r="F794" s="163"/>
      <c r="G794" s="86">
        <f>G795+G849+G830+G814</f>
        <v>98936717.630000025</v>
      </c>
      <c r="H794" s="86">
        <f t="shared" ref="H794" si="184">H795+H849+H830+H814</f>
        <v>98641303.070000023</v>
      </c>
      <c r="I794" s="171"/>
      <c r="J794" s="195"/>
      <c r="K794" s="195"/>
      <c r="L794" s="195"/>
      <c r="M794" s="195"/>
      <c r="N794" s="195"/>
      <c r="O794" s="195"/>
      <c r="P794" s="195"/>
      <c r="Q794" s="195"/>
    </row>
    <row r="795" spans="1:17" ht="30.75" customHeight="1">
      <c r="A795" s="81" t="s">
        <v>90</v>
      </c>
      <c r="B795" s="83" t="s">
        <v>94</v>
      </c>
      <c r="C795" s="83" t="s">
        <v>26</v>
      </c>
      <c r="D795" s="83" t="s">
        <v>70</v>
      </c>
      <c r="E795" s="83" t="s">
        <v>215</v>
      </c>
      <c r="F795" s="83"/>
      <c r="G795" s="86">
        <f>G799+G802+G796+G820+G811+G817+G808+G805+G827</f>
        <v>98386778.690000027</v>
      </c>
      <c r="H795" s="86">
        <f t="shared" ref="H795" si="185">H799+H802+H796+H820+H811+H817+H808+H805+H827</f>
        <v>98091364.130000025</v>
      </c>
      <c r="I795" s="171"/>
    </row>
    <row r="796" spans="1:17" ht="45" customHeight="1">
      <c r="A796" s="81" t="s">
        <v>3</v>
      </c>
      <c r="B796" s="83" t="s">
        <v>94</v>
      </c>
      <c r="C796" s="83" t="s">
        <v>26</v>
      </c>
      <c r="D796" s="83" t="s">
        <v>70</v>
      </c>
      <c r="E796" s="83" t="s">
        <v>904</v>
      </c>
      <c r="F796" s="83"/>
      <c r="G796" s="86">
        <f t="shared" ref="G796:H797" si="186">G797</f>
        <v>2267245.86</v>
      </c>
      <c r="H796" s="86">
        <f t="shared" si="186"/>
        <v>2267245.86</v>
      </c>
      <c r="I796" s="171"/>
    </row>
    <row r="797" spans="1:17" s="18" customFormat="1" ht="25.5">
      <c r="A797" s="81" t="s">
        <v>30</v>
      </c>
      <c r="B797" s="83" t="s">
        <v>94</v>
      </c>
      <c r="C797" s="83" t="s">
        <v>26</v>
      </c>
      <c r="D797" s="83" t="s">
        <v>70</v>
      </c>
      <c r="E797" s="83" t="s">
        <v>904</v>
      </c>
      <c r="F797" s="83" t="s">
        <v>31</v>
      </c>
      <c r="G797" s="86">
        <f t="shared" si="186"/>
        <v>2267245.86</v>
      </c>
      <c r="H797" s="86">
        <f t="shared" si="186"/>
        <v>2267245.86</v>
      </c>
      <c r="I797" s="171"/>
      <c r="J797" s="191"/>
      <c r="K797" s="191"/>
      <c r="L797" s="191"/>
      <c r="M797" s="191"/>
      <c r="N797" s="191"/>
      <c r="O797" s="191"/>
      <c r="P797" s="191"/>
      <c r="Q797" s="191"/>
    </row>
    <row r="798" spans="1:17" s="18" customFormat="1">
      <c r="A798" s="81" t="s">
        <v>32</v>
      </c>
      <c r="B798" s="83" t="s">
        <v>94</v>
      </c>
      <c r="C798" s="83" t="s">
        <v>26</v>
      </c>
      <c r="D798" s="83" t="s">
        <v>70</v>
      </c>
      <c r="E798" s="83" t="s">
        <v>904</v>
      </c>
      <c r="F798" s="83" t="s">
        <v>33</v>
      </c>
      <c r="G798" s="86">
        <v>2267245.86</v>
      </c>
      <c r="H798" s="86">
        <v>2267245.86</v>
      </c>
      <c r="I798" s="171"/>
      <c r="J798" s="191"/>
      <c r="K798" s="191"/>
      <c r="L798" s="191"/>
      <c r="M798" s="191"/>
      <c r="N798" s="191"/>
      <c r="O798" s="191"/>
      <c r="P798" s="191"/>
      <c r="Q798" s="191"/>
    </row>
    <row r="799" spans="1:17" s="18" customFormat="1" ht="15" customHeight="1">
      <c r="A799" s="81" t="s">
        <v>91</v>
      </c>
      <c r="B799" s="83" t="s">
        <v>94</v>
      </c>
      <c r="C799" s="83" t="s">
        <v>26</v>
      </c>
      <c r="D799" s="83" t="s">
        <v>70</v>
      </c>
      <c r="E799" s="83" t="s">
        <v>134</v>
      </c>
      <c r="F799" s="83"/>
      <c r="G799" s="86">
        <f t="shared" ref="G799:H812" si="187">G800</f>
        <v>64378848.93</v>
      </c>
      <c r="H799" s="86">
        <f t="shared" si="187"/>
        <v>64378848.93</v>
      </c>
      <c r="I799" s="171"/>
      <c r="J799" s="191"/>
      <c r="K799" s="191"/>
      <c r="L799" s="191"/>
      <c r="M799" s="191"/>
      <c r="N799" s="191"/>
      <c r="O799" s="191"/>
      <c r="P799" s="191"/>
      <c r="Q799" s="191"/>
    </row>
    <row r="800" spans="1:17" s="18" customFormat="1" ht="25.5">
      <c r="A800" s="81" t="s">
        <v>30</v>
      </c>
      <c r="B800" s="83" t="s">
        <v>94</v>
      </c>
      <c r="C800" s="83" t="s">
        <v>26</v>
      </c>
      <c r="D800" s="83" t="s">
        <v>70</v>
      </c>
      <c r="E800" s="83" t="s">
        <v>134</v>
      </c>
      <c r="F800" s="83" t="s">
        <v>31</v>
      </c>
      <c r="G800" s="86">
        <f>G801</f>
        <v>64378848.93</v>
      </c>
      <c r="H800" s="86">
        <f t="shared" si="187"/>
        <v>64378848.93</v>
      </c>
      <c r="I800" s="171"/>
      <c r="J800" s="191"/>
      <c r="K800" s="191"/>
      <c r="L800" s="191"/>
      <c r="M800" s="191"/>
      <c r="N800" s="191"/>
      <c r="O800" s="191"/>
      <c r="P800" s="191"/>
      <c r="Q800" s="191"/>
    </row>
    <row r="801" spans="1:17" s="18" customFormat="1">
      <c r="A801" s="81" t="s">
        <v>32</v>
      </c>
      <c r="B801" s="83" t="s">
        <v>94</v>
      </c>
      <c r="C801" s="83" t="s">
        <v>26</v>
      </c>
      <c r="D801" s="83" t="s">
        <v>70</v>
      </c>
      <c r="E801" s="83" t="s">
        <v>134</v>
      </c>
      <c r="F801" s="83" t="s">
        <v>33</v>
      </c>
      <c r="G801" s="86">
        <f>64378849-0.07</f>
        <v>64378848.93</v>
      </c>
      <c r="H801" s="86">
        <v>64378848.93</v>
      </c>
      <c r="I801" s="171"/>
      <c r="J801" s="191"/>
      <c r="K801" s="191"/>
      <c r="L801" s="191"/>
      <c r="M801" s="191"/>
      <c r="N801" s="191"/>
      <c r="O801" s="191"/>
      <c r="P801" s="191"/>
      <c r="Q801" s="191"/>
    </row>
    <row r="802" spans="1:17" ht="25.5">
      <c r="A802" s="81" t="s">
        <v>29</v>
      </c>
      <c r="B802" s="83" t="s">
        <v>94</v>
      </c>
      <c r="C802" s="83" t="s">
        <v>26</v>
      </c>
      <c r="D802" s="83" t="s">
        <v>70</v>
      </c>
      <c r="E802" s="83" t="s">
        <v>223</v>
      </c>
      <c r="F802" s="83"/>
      <c r="G802" s="86">
        <f t="shared" ref="G802:H803" si="188">G803</f>
        <v>17494146</v>
      </c>
      <c r="H802" s="86">
        <f t="shared" si="188"/>
        <v>17494146</v>
      </c>
      <c r="I802" s="171"/>
    </row>
    <row r="803" spans="1:17" ht="25.5">
      <c r="A803" s="81" t="s">
        <v>30</v>
      </c>
      <c r="B803" s="83" t="s">
        <v>94</v>
      </c>
      <c r="C803" s="83" t="s">
        <v>26</v>
      </c>
      <c r="D803" s="83" t="s">
        <v>70</v>
      </c>
      <c r="E803" s="83" t="s">
        <v>223</v>
      </c>
      <c r="F803" s="83" t="s">
        <v>31</v>
      </c>
      <c r="G803" s="86">
        <f t="shared" si="188"/>
        <v>17494146</v>
      </c>
      <c r="H803" s="86">
        <f t="shared" si="188"/>
        <v>17494146</v>
      </c>
      <c r="I803" s="171"/>
    </row>
    <row r="804" spans="1:17">
      <c r="A804" s="81" t="s">
        <v>32</v>
      </c>
      <c r="B804" s="83" t="s">
        <v>94</v>
      </c>
      <c r="C804" s="83" t="s">
        <v>26</v>
      </c>
      <c r="D804" s="83" t="s">
        <v>70</v>
      </c>
      <c r="E804" s="83" t="s">
        <v>223</v>
      </c>
      <c r="F804" s="83" t="s">
        <v>33</v>
      </c>
      <c r="G804" s="86">
        <v>17494146</v>
      </c>
      <c r="H804" s="86">
        <v>17494146</v>
      </c>
      <c r="I804" s="171"/>
    </row>
    <row r="805" spans="1:17" s="18" customFormat="1">
      <c r="A805" s="81" t="s">
        <v>851</v>
      </c>
      <c r="B805" s="145">
        <v>774</v>
      </c>
      <c r="C805" s="83" t="s">
        <v>26</v>
      </c>
      <c r="D805" s="83" t="s">
        <v>70</v>
      </c>
      <c r="E805" s="83" t="s">
        <v>869</v>
      </c>
      <c r="F805" s="83"/>
      <c r="G805" s="86">
        <f t="shared" ref="G805:H806" si="189">G806</f>
        <v>81257.899999999994</v>
      </c>
      <c r="H805" s="86">
        <f t="shared" si="189"/>
        <v>81257.899999999994</v>
      </c>
      <c r="I805" s="171"/>
      <c r="J805" s="191"/>
      <c r="K805" s="191"/>
      <c r="L805" s="191"/>
      <c r="M805" s="191"/>
      <c r="N805" s="191"/>
      <c r="O805" s="191"/>
      <c r="P805" s="191"/>
      <c r="Q805" s="191"/>
    </row>
    <row r="806" spans="1:17" s="18" customFormat="1" ht="25.5">
      <c r="A806" s="81" t="s">
        <v>30</v>
      </c>
      <c r="B806" s="145">
        <v>774</v>
      </c>
      <c r="C806" s="83" t="s">
        <v>26</v>
      </c>
      <c r="D806" s="83" t="s">
        <v>70</v>
      </c>
      <c r="E806" s="83" t="s">
        <v>869</v>
      </c>
      <c r="F806" s="83" t="s">
        <v>31</v>
      </c>
      <c r="G806" s="86">
        <f t="shared" si="189"/>
        <v>81257.899999999994</v>
      </c>
      <c r="H806" s="86">
        <f t="shared" si="189"/>
        <v>81257.899999999994</v>
      </c>
      <c r="I806" s="171"/>
      <c r="J806" s="191"/>
      <c r="K806" s="191"/>
      <c r="L806" s="191"/>
      <c r="M806" s="191"/>
      <c r="N806" s="191"/>
      <c r="O806" s="191"/>
      <c r="P806" s="191"/>
      <c r="Q806" s="191"/>
    </row>
    <row r="807" spans="1:17" s="18" customFormat="1">
      <c r="A807" s="81" t="s">
        <v>32</v>
      </c>
      <c r="B807" s="145">
        <v>774</v>
      </c>
      <c r="C807" s="83" t="s">
        <v>26</v>
      </c>
      <c r="D807" s="83" t="s">
        <v>70</v>
      </c>
      <c r="E807" s="83" t="s">
        <v>869</v>
      </c>
      <c r="F807" s="83" t="s">
        <v>33</v>
      </c>
      <c r="G807" s="86">
        <f>109952.41-22367.74-6326.77</f>
        <v>81257.899999999994</v>
      </c>
      <c r="H807" s="86">
        <v>81257.899999999994</v>
      </c>
      <c r="I807" s="171"/>
      <c r="J807" s="191"/>
      <c r="K807" s="191"/>
      <c r="L807" s="191"/>
      <c r="M807" s="191"/>
      <c r="N807" s="191"/>
      <c r="O807" s="191"/>
      <c r="P807" s="191"/>
      <c r="Q807" s="191"/>
    </row>
    <row r="808" spans="1:17" s="3" customFormat="1" ht="25.5" hidden="1">
      <c r="A808" s="81" t="s">
        <v>669</v>
      </c>
      <c r="B808" s="145">
        <v>774</v>
      </c>
      <c r="C808" s="83" t="s">
        <v>26</v>
      </c>
      <c r="D808" s="83" t="s">
        <v>70</v>
      </c>
      <c r="E808" s="83" t="s">
        <v>713</v>
      </c>
      <c r="F808" s="83"/>
      <c r="G808" s="86">
        <f t="shared" ref="G808:H809" si="190">G809</f>
        <v>0</v>
      </c>
      <c r="H808" s="86">
        <f t="shared" si="190"/>
        <v>0</v>
      </c>
      <c r="I808" s="171"/>
      <c r="J808" s="190"/>
      <c r="K808" s="190"/>
      <c r="L808" s="190"/>
      <c r="M808" s="190"/>
      <c r="N808" s="190"/>
      <c r="O808" s="190"/>
      <c r="P808" s="190"/>
      <c r="Q808" s="190"/>
    </row>
    <row r="809" spans="1:17" s="3" customFormat="1" ht="25.5" hidden="1">
      <c r="A809" s="81" t="s">
        <v>30</v>
      </c>
      <c r="B809" s="145">
        <v>774</v>
      </c>
      <c r="C809" s="83" t="s">
        <v>26</v>
      </c>
      <c r="D809" s="83" t="s">
        <v>70</v>
      </c>
      <c r="E809" s="83" t="s">
        <v>713</v>
      </c>
      <c r="F809" s="83" t="s">
        <v>31</v>
      </c>
      <c r="G809" s="86">
        <f t="shared" si="190"/>
        <v>0</v>
      </c>
      <c r="H809" s="86">
        <f t="shared" si="190"/>
        <v>0</v>
      </c>
      <c r="I809" s="171"/>
      <c r="J809" s="190"/>
      <c r="K809" s="190"/>
      <c r="L809" s="190"/>
      <c r="M809" s="190"/>
      <c r="N809" s="190"/>
      <c r="O809" s="190"/>
      <c r="P809" s="190"/>
      <c r="Q809" s="190"/>
    </row>
    <row r="810" spans="1:17" s="3" customFormat="1" hidden="1">
      <c r="A810" s="81" t="s">
        <v>32</v>
      </c>
      <c r="B810" s="145">
        <v>774</v>
      </c>
      <c r="C810" s="83" t="s">
        <v>26</v>
      </c>
      <c r="D810" s="83" t="s">
        <v>70</v>
      </c>
      <c r="E810" s="83" t="s">
        <v>713</v>
      </c>
      <c r="F810" s="83" t="s">
        <v>33</v>
      </c>
      <c r="G810" s="86"/>
      <c r="H810" s="86"/>
      <c r="I810" s="171"/>
      <c r="J810" s="190"/>
      <c r="K810" s="190"/>
      <c r="L810" s="190"/>
      <c r="M810" s="190"/>
      <c r="N810" s="190"/>
      <c r="O810" s="190"/>
      <c r="P810" s="190"/>
      <c r="Q810" s="190"/>
    </row>
    <row r="811" spans="1:17" s="18" customFormat="1" ht="53.25" customHeight="1">
      <c r="A811" s="81" t="s">
        <v>632</v>
      </c>
      <c r="B811" s="83" t="s">
        <v>94</v>
      </c>
      <c r="C811" s="83" t="s">
        <v>26</v>
      </c>
      <c r="D811" s="83" t="s">
        <v>70</v>
      </c>
      <c r="E811" s="83" t="s">
        <v>631</v>
      </c>
      <c r="F811" s="83"/>
      <c r="G811" s="86">
        <f t="shared" si="187"/>
        <v>10919566.07</v>
      </c>
      <c r="H811" s="86">
        <f t="shared" si="187"/>
        <v>10919566.07</v>
      </c>
      <c r="I811" s="171"/>
      <c r="J811" s="191"/>
      <c r="K811" s="191"/>
      <c r="L811" s="191"/>
      <c r="M811" s="191"/>
      <c r="N811" s="191"/>
      <c r="O811" s="191"/>
      <c r="P811" s="206"/>
      <c r="Q811" s="191"/>
    </row>
    <row r="812" spans="1:17" s="18" customFormat="1" ht="25.5">
      <c r="A812" s="81" t="s">
        <v>30</v>
      </c>
      <c r="B812" s="83" t="s">
        <v>94</v>
      </c>
      <c r="C812" s="83" t="s">
        <v>26</v>
      </c>
      <c r="D812" s="83" t="s">
        <v>70</v>
      </c>
      <c r="E812" s="83" t="s">
        <v>631</v>
      </c>
      <c r="F812" s="83" t="s">
        <v>31</v>
      </c>
      <c r="G812" s="86">
        <f t="shared" si="187"/>
        <v>10919566.07</v>
      </c>
      <c r="H812" s="86">
        <f t="shared" si="187"/>
        <v>10919566.07</v>
      </c>
      <c r="I812" s="171"/>
      <c r="J812" s="191"/>
      <c r="K812" s="191"/>
      <c r="L812" s="191"/>
      <c r="M812" s="191"/>
      <c r="N812" s="191"/>
      <c r="O812" s="191"/>
      <c r="P812" s="191"/>
      <c r="Q812" s="191"/>
    </row>
    <row r="813" spans="1:17" s="18" customFormat="1">
      <c r="A813" s="81" t="s">
        <v>32</v>
      </c>
      <c r="B813" s="83" t="s">
        <v>94</v>
      </c>
      <c r="C813" s="83" t="s">
        <v>26</v>
      </c>
      <c r="D813" s="83" t="s">
        <v>70</v>
      </c>
      <c r="E813" s="83" t="s">
        <v>631</v>
      </c>
      <c r="F813" s="83" t="s">
        <v>33</v>
      </c>
      <c r="G813" s="86">
        <f>10919566+0.07</f>
        <v>10919566.07</v>
      </c>
      <c r="H813" s="86">
        <v>10919566.07</v>
      </c>
      <c r="I813" s="171"/>
      <c r="J813" s="191"/>
      <c r="K813" s="191"/>
      <c r="L813" s="191"/>
      <c r="M813" s="191"/>
      <c r="N813" s="191"/>
      <c r="O813" s="191"/>
      <c r="P813" s="191"/>
      <c r="Q813" s="191"/>
    </row>
    <row r="814" spans="1:17" ht="16.5" hidden="1" customHeight="1">
      <c r="A814" s="81" t="s">
        <v>1</v>
      </c>
      <c r="B814" s="145">
        <v>774</v>
      </c>
      <c r="C814" s="83" t="s">
        <v>26</v>
      </c>
      <c r="D814" s="83" t="s">
        <v>70</v>
      </c>
      <c r="E814" s="83" t="s">
        <v>219</v>
      </c>
      <c r="F814" s="83"/>
      <c r="G814" s="86">
        <f t="shared" ref="G814:H815" si="191">G815</f>
        <v>0</v>
      </c>
      <c r="H814" s="86">
        <f t="shared" si="191"/>
        <v>0</v>
      </c>
      <c r="I814" s="171"/>
    </row>
    <row r="815" spans="1:17" ht="25.5" hidden="1">
      <c r="A815" s="81" t="s">
        <v>30</v>
      </c>
      <c r="B815" s="145">
        <v>774</v>
      </c>
      <c r="C815" s="83" t="s">
        <v>26</v>
      </c>
      <c r="D815" s="83" t="s">
        <v>70</v>
      </c>
      <c r="E815" s="83" t="s">
        <v>219</v>
      </c>
      <c r="F815" s="83" t="s">
        <v>31</v>
      </c>
      <c r="G815" s="86">
        <f t="shared" si="191"/>
        <v>0</v>
      </c>
      <c r="H815" s="86">
        <f t="shared" si="191"/>
        <v>0</v>
      </c>
      <c r="I815" s="171"/>
    </row>
    <row r="816" spans="1:17" ht="15" hidden="1" customHeight="1">
      <c r="A816" s="81" t="s">
        <v>32</v>
      </c>
      <c r="B816" s="145">
        <v>774</v>
      </c>
      <c r="C816" s="83" t="s">
        <v>26</v>
      </c>
      <c r="D816" s="83" t="s">
        <v>70</v>
      </c>
      <c r="E816" s="83" t="s">
        <v>219</v>
      </c>
      <c r="F816" s="83" t="s">
        <v>33</v>
      </c>
      <c r="G816" s="86">
        <f>310000+29000-339000</f>
        <v>0</v>
      </c>
      <c r="H816" s="86">
        <f>310000+29000-339000</f>
        <v>0</v>
      </c>
      <c r="I816" s="171"/>
    </row>
    <row r="817" spans="1:17" s="18" customFormat="1" ht="53.25" hidden="1" customHeight="1">
      <c r="A817" s="81" t="s">
        <v>646</v>
      </c>
      <c r="B817" s="83" t="s">
        <v>94</v>
      </c>
      <c r="C817" s="83" t="s">
        <v>26</v>
      </c>
      <c r="D817" s="83" t="s">
        <v>70</v>
      </c>
      <c r="E817" s="83" t="s">
        <v>645</v>
      </c>
      <c r="F817" s="83"/>
      <c r="G817" s="86">
        <f t="shared" ref="G817:H818" si="192">G818</f>
        <v>0</v>
      </c>
      <c r="H817" s="86">
        <f t="shared" si="192"/>
        <v>0</v>
      </c>
      <c r="I817" s="171"/>
      <c r="J817" s="191"/>
      <c r="K817" s="191"/>
      <c r="L817" s="191"/>
      <c r="M817" s="191"/>
      <c r="N817" s="191"/>
      <c r="O817" s="191"/>
      <c r="P817" s="191"/>
      <c r="Q817" s="191"/>
    </row>
    <row r="818" spans="1:17" s="18" customFormat="1" ht="25.5" hidden="1">
      <c r="A818" s="81" t="s">
        <v>30</v>
      </c>
      <c r="B818" s="83" t="s">
        <v>94</v>
      </c>
      <c r="C818" s="83" t="s">
        <v>26</v>
      </c>
      <c r="D818" s="83" t="s">
        <v>70</v>
      </c>
      <c r="E818" s="83" t="s">
        <v>645</v>
      </c>
      <c r="F818" s="83" t="s">
        <v>31</v>
      </c>
      <c r="G818" s="86">
        <f t="shared" si="192"/>
        <v>0</v>
      </c>
      <c r="H818" s="86">
        <f t="shared" si="192"/>
        <v>0</v>
      </c>
      <c r="I818" s="171"/>
      <c r="J818" s="191"/>
      <c r="K818" s="191"/>
      <c r="L818" s="191"/>
      <c r="M818" s="191"/>
      <c r="N818" s="191"/>
      <c r="O818" s="191"/>
      <c r="P818" s="191"/>
      <c r="Q818" s="191"/>
    </row>
    <row r="819" spans="1:17" s="18" customFormat="1" hidden="1">
      <c r="A819" s="81" t="s">
        <v>32</v>
      </c>
      <c r="B819" s="83" t="s">
        <v>94</v>
      </c>
      <c r="C819" s="83" t="s">
        <v>26</v>
      </c>
      <c r="D819" s="83" t="s">
        <v>70</v>
      </c>
      <c r="E819" s="83" t="s">
        <v>645</v>
      </c>
      <c r="F819" s="83" t="s">
        <v>33</v>
      </c>
      <c r="G819" s="86"/>
      <c r="H819" s="86"/>
      <c r="I819" s="171"/>
      <c r="J819" s="191"/>
      <c r="K819" s="191"/>
      <c r="L819" s="191"/>
      <c r="M819" s="191"/>
      <c r="N819" s="191"/>
      <c r="O819" s="191"/>
      <c r="P819" s="191"/>
      <c r="Q819" s="191"/>
    </row>
    <row r="820" spans="1:17" ht="39.75" customHeight="1">
      <c r="A820" s="81" t="s">
        <v>630</v>
      </c>
      <c r="B820" s="145">
        <v>774</v>
      </c>
      <c r="C820" s="83" t="s">
        <v>26</v>
      </c>
      <c r="D820" s="83" t="s">
        <v>70</v>
      </c>
      <c r="E820" s="83" t="s">
        <v>644</v>
      </c>
      <c r="F820" s="83"/>
      <c r="G820" s="86">
        <f>G821+G825</f>
        <v>3245713.93</v>
      </c>
      <c r="H820" s="86">
        <f t="shared" ref="H820" si="193">H821+H825</f>
        <v>2950299.37</v>
      </c>
      <c r="I820" s="171"/>
    </row>
    <row r="821" spans="1:17" ht="34.5" customHeight="1">
      <c r="A821" s="81" t="s">
        <v>30</v>
      </c>
      <c r="B821" s="145">
        <v>774</v>
      </c>
      <c r="C821" s="83" t="s">
        <v>26</v>
      </c>
      <c r="D821" s="83" t="s">
        <v>70</v>
      </c>
      <c r="E821" s="83" t="s">
        <v>644</v>
      </c>
      <c r="F821" s="83" t="s">
        <v>31</v>
      </c>
      <c r="G821" s="86">
        <f>G822+G823+G824</f>
        <v>3171860.29</v>
      </c>
      <c r="H821" s="86">
        <f t="shared" ref="H821" si="194">H822+H823+H824</f>
        <v>2950299.37</v>
      </c>
      <c r="I821" s="171"/>
    </row>
    <row r="822" spans="1:17" ht="15" customHeight="1">
      <c r="A822" s="81" t="s">
        <v>32</v>
      </c>
      <c r="B822" s="145">
        <v>774</v>
      </c>
      <c r="C822" s="83" t="s">
        <v>26</v>
      </c>
      <c r="D822" s="83" t="s">
        <v>70</v>
      </c>
      <c r="E822" s="83" t="s">
        <v>644</v>
      </c>
      <c r="F822" s="83" t="s">
        <v>33</v>
      </c>
      <c r="G822" s="86">
        <v>3024153.01</v>
      </c>
      <c r="H822" s="86">
        <v>2950299.37</v>
      </c>
      <c r="I822" s="171"/>
    </row>
    <row r="823" spans="1:17" ht="15" customHeight="1">
      <c r="A823" s="81" t="s">
        <v>629</v>
      </c>
      <c r="B823" s="145">
        <v>774</v>
      </c>
      <c r="C823" s="83" t="s">
        <v>26</v>
      </c>
      <c r="D823" s="83" t="s">
        <v>70</v>
      </c>
      <c r="E823" s="83" t="s">
        <v>644</v>
      </c>
      <c r="F823" s="83" t="s">
        <v>628</v>
      </c>
      <c r="G823" s="86">
        <v>73853.64</v>
      </c>
      <c r="H823" s="86">
        <v>0</v>
      </c>
      <c r="I823" s="171"/>
    </row>
    <row r="824" spans="1:17" ht="36" customHeight="1">
      <c r="A824" s="81" t="s">
        <v>9</v>
      </c>
      <c r="B824" s="145">
        <v>774</v>
      </c>
      <c r="C824" s="83" t="s">
        <v>26</v>
      </c>
      <c r="D824" s="83" t="s">
        <v>70</v>
      </c>
      <c r="E824" s="83" t="s">
        <v>644</v>
      </c>
      <c r="F824" s="83" t="s">
        <v>8</v>
      </c>
      <c r="G824" s="86">
        <v>73853.64</v>
      </c>
      <c r="H824" s="86">
        <v>0</v>
      </c>
      <c r="I824" s="171"/>
    </row>
    <row r="825" spans="1:17" ht="15" customHeight="1">
      <c r="A825" s="81" t="s">
        <v>63</v>
      </c>
      <c r="B825" s="145">
        <v>774</v>
      </c>
      <c r="C825" s="83" t="s">
        <v>26</v>
      </c>
      <c r="D825" s="83" t="s">
        <v>70</v>
      </c>
      <c r="E825" s="83" t="s">
        <v>644</v>
      </c>
      <c r="F825" s="83" t="s">
        <v>64</v>
      </c>
      <c r="G825" s="86">
        <f>G826</f>
        <v>73853.64</v>
      </c>
      <c r="H825" s="86">
        <f t="shared" ref="H825" si="195">H826</f>
        <v>0</v>
      </c>
      <c r="I825" s="171"/>
    </row>
    <row r="826" spans="1:17" ht="51.75" customHeight="1">
      <c r="A826" s="81" t="s">
        <v>431</v>
      </c>
      <c r="B826" s="145">
        <v>774</v>
      </c>
      <c r="C826" s="83" t="s">
        <v>26</v>
      </c>
      <c r="D826" s="83" t="s">
        <v>70</v>
      </c>
      <c r="E826" s="83" t="s">
        <v>644</v>
      </c>
      <c r="F826" s="83" t="s">
        <v>341</v>
      </c>
      <c r="G826" s="86">
        <v>73853.64</v>
      </c>
      <c r="H826" s="86">
        <v>0</v>
      </c>
      <c r="I826" s="171"/>
    </row>
    <row r="827" spans="1:17" ht="16.5" hidden="1" customHeight="1">
      <c r="A827" s="81" t="s">
        <v>1</v>
      </c>
      <c r="B827" s="83" t="s">
        <v>94</v>
      </c>
      <c r="C827" s="83" t="s">
        <v>26</v>
      </c>
      <c r="D827" s="83" t="s">
        <v>70</v>
      </c>
      <c r="E827" s="83" t="s">
        <v>545</v>
      </c>
      <c r="F827" s="83"/>
      <c r="G827" s="86">
        <f t="shared" ref="G827:H827" si="196">G828</f>
        <v>0</v>
      </c>
      <c r="H827" s="86">
        <f t="shared" si="196"/>
        <v>0</v>
      </c>
      <c r="I827" s="171"/>
    </row>
    <row r="828" spans="1:17" ht="24.75" hidden="1" customHeight="1">
      <c r="A828" s="81" t="s">
        <v>30</v>
      </c>
      <c r="B828" s="83" t="s">
        <v>94</v>
      </c>
      <c r="C828" s="83" t="s">
        <v>26</v>
      </c>
      <c r="D828" s="83" t="s">
        <v>70</v>
      </c>
      <c r="E828" s="83" t="s">
        <v>545</v>
      </c>
      <c r="F828" s="83" t="s">
        <v>31</v>
      </c>
      <c r="G828" s="86">
        <f>G829</f>
        <v>0</v>
      </c>
      <c r="H828" s="86">
        <f>H829</f>
        <v>0</v>
      </c>
      <c r="I828" s="171"/>
    </row>
    <row r="829" spans="1:17" hidden="1">
      <c r="A829" s="81" t="s">
        <v>32</v>
      </c>
      <c r="B829" s="83" t="s">
        <v>94</v>
      </c>
      <c r="C829" s="83" t="s">
        <v>26</v>
      </c>
      <c r="D829" s="83" t="s">
        <v>70</v>
      </c>
      <c r="E829" s="83" t="s">
        <v>545</v>
      </c>
      <c r="F829" s="83" t="s">
        <v>33</v>
      </c>
      <c r="G829" s="86"/>
      <c r="H829" s="86"/>
      <c r="I829" s="171"/>
    </row>
    <row r="830" spans="1:17" ht="35.25" customHeight="1">
      <c r="A830" s="81" t="s">
        <v>0</v>
      </c>
      <c r="B830" s="145">
        <v>774</v>
      </c>
      <c r="C830" s="83" t="s">
        <v>26</v>
      </c>
      <c r="D830" s="83" t="s">
        <v>70</v>
      </c>
      <c r="E830" s="83" t="s">
        <v>218</v>
      </c>
      <c r="F830" s="83"/>
      <c r="G830" s="86">
        <f>G840+G843+G846+G837+G831+G834</f>
        <v>103926</v>
      </c>
      <c r="H830" s="86">
        <f t="shared" ref="H830" si="197">H840+H843+H846+H837+H831+H834</f>
        <v>103926</v>
      </c>
      <c r="I830" s="171"/>
    </row>
    <row r="831" spans="1:17" ht="36" customHeight="1">
      <c r="A831" s="81" t="s">
        <v>1019</v>
      </c>
      <c r="B831" s="83" t="s">
        <v>94</v>
      </c>
      <c r="C831" s="83" t="s">
        <v>26</v>
      </c>
      <c r="D831" s="83" t="s">
        <v>70</v>
      </c>
      <c r="E831" s="83" t="s">
        <v>219</v>
      </c>
      <c r="F831" s="83"/>
      <c r="G831" s="86">
        <f t="shared" ref="G831:H831" si="198">G832</f>
        <v>0</v>
      </c>
      <c r="H831" s="86">
        <f t="shared" si="198"/>
        <v>0</v>
      </c>
      <c r="I831" s="171"/>
    </row>
    <row r="832" spans="1:17" ht="24.75" customHeight="1">
      <c r="A832" s="81" t="s">
        <v>30</v>
      </c>
      <c r="B832" s="83" t="s">
        <v>94</v>
      </c>
      <c r="C832" s="83" t="s">
        <v>26</v>
      </c>
      <c r="D832" s="83" t="s">
        <v>70</v>
      </c>
      <c r="E832" s="83" t="s">
        <v>219</v>
      </c>
      <c r="F832" s="83" t="s">
        <v>31</v>
      </c>
      <c r="G832" s="86">
        <f>G833</f>
        <v>0</v>
      </c>
      <c r="H832" s="86">
        <f>H833</f>
        <v>0</v>
      </c>
      <c r="I832" s="171"/>
    </row>
    <row r="833" spans="1:17">
      <c r="A833" s="81" t="s">
        <v>32</v>
      </c>
      <c r="B833" s="83" t="s">
        <v>94</v>
      </c>
      <c r="C833" s="83" t="s">
        <v>26</v>
      </c>
      <c r="D833" s="83" t="s">
        <v>70</v>
      </c>
      <c r="E833" s="83" t="s">
        <v>219</v>
      </c>
      <c r="F833" s="83" t="s">
        <v>33</v>
      </c>
      <c r="G833" s="86">
        <f>1363506-1363506</f>
        <v>0</v>
      </c>
      <c r="H833" s="86"/>
      <c r="I833" s="171"/>
    </row>
    <row r="834" spans="1:17" s="3" customFormat="1" ht="25.5">
      <c r="A834" s="81" t="s">
        <v>995</v>
      </c>
      <c r="B834" s="145">
        <v>774</v>
      </c>
      <c r="C834" s="83" t="s">
        <v>26</v>
      </c>
      <c r="D834" s="83" t="s">
        <v>70</v>
      </c>
      <c r="E834" s="83" t="s">
        <v>993</v>
      </c>
      <c r="F834" s="83"/>
      <c r="G834" s="86">
        <f t="shared" ref="G834:H835" si="199">G835</f>
        <v>0</v>
      </c>
      <c r="H834" s="86">
        <f t="shared" si="199"/>
        <v>0</v>
      </c>
      <c r="I834" s="171"/>
      <c r="J834" s="190"/>
      <c r="K834" s="190"/>
      <c r="L834" s="190"/>
      <c r="M834" s="190"/>
      <c r="N834" s="190"/>
      <c r="O834" s="190"/>
      <c r="P834" s="190"/>
      <c r="Q834" s="190"/>
    </row>
    <row r="835" spans="1:17" s="3" customFormat="1" ht="25.5">
      <c r="A835" s="81" t="s">
        <v>30</v>
      </c>
      <c r="B835" s="145">
        <v>774</v>
      </c>
      <c r="C835" s="83" t="s">
        <v>26</v>
      </c>
      <c r="D835" s="83" t="s">
        <v>70</v>
      </c>
      <c r="E835" s="83" t="s">
        <v>993</v>
      </c>
      <c r="F835" s="83" t="s">
        <v>31</v>
      </c>
      <c r="G835" s="86">
        <f t="shared" si="199"/>
        <v>0</v>
      </c>
      <c r="H835" s="86">
        <f t="shared" si="199"/>
        <v>0</v>
      </c>
      <c r="I835" s="171"/>
      <c r="J835" s="190"/>
      <c r="K835" s="190"/>
      <c r="L835" s="190"/>
      <c r="M835" s="190"/>
      <c r="N835" s="190"/>
      <c r="O835" s="190"/>
      <c r="P835" s="190"/>
      <c r="Q835" s="190"/>
    </row>
    <row r="836" spans="1:17" s="3" customFormat="1">
      <c r="A836" s="81" t="s">
        <v>32</v>
      </c>
      <c r="B836" s="145">
        <v>774</v>
      </c>
      <c r="C836" s="83" t="s">
        <v>26</v>
      </c>
      <c r="D836" s="83" t="s">
        <v>70</v>
      </c>
      <c r="E836" s="83" t="s">
        <v>993</v>
      </c>
      <c r="F836" s="83" t="s">
        <v>33</v>
      </c>
      <c r="G836" s="86">
        <v>0</v>
      </c>
      <c r="H836" s="86">
        <v>0</v>
      </c>
      <c r="I836" s="171"/>
      <c r="J836" s="190"/>
      <c r="K836" s="190"/>
      <c r="L836" s="190"/>
      <c r="M836" s="190"/>
      <c r="N836" s="190"/>
      <c r="O836" s="190"/>
      <c r="P836" s="190"/>
      <c r="Q836" s="190"/>
    </row>
    <row r="837" spans="1:17" s="3" customFormat="1" ht="25.5">
      <c r="A837" s="81" t="s">
        <v>294</v>
      </c>
      <c r="B837" s="145">
        <v>774</v>
      </c>
      <c r="C837" s="83" t="s">
        <v>26</v>
      </c>
      <c r="D837" s="83" t="s">
        <v>70</v>
      </c>
      <c r="E837" s="83" t="s">
        <v>293</v>
      </c>
      <c r="F837" s="83"/>
      <c r="G837" s="86">
        <f t="shared" ref="G837:H838" si="200">G838</f>
        <v>103926</v>
      </c>
      <c r="H837" s="86">
        <f t="shared" si="200"/>
        <v>103926</v>
      </c>
      <c r="I837" s="171"/>
      <c r="J837" s="190"/>
      <c r="K837" s="190"/>
      <c r="L837" s="190"/>
      <c r="M837" s="190"/>
      <c r="N837" s="190"/>
      <c r="O837" s="190"/>
      <c r="P837" s="190"/>
      <c r="Q837" s="190"/>
    </row>
    <row r="838" spans="1:17" s="3" customFormat="1" ht="25.5">
      <c r="A838" s="81" t="s">
        <v>30</v>
      </c>
      <c r="B838" s="145">
        <v>774</v>
      </c>
      <c r="C838" s="83" t="s">
        <v>26</v>
      </c>
      <c r="D838" s="83" t="s">
        <v>70</v>
      </c>
      <c r="E838" s="83" t="s">
        <v>293</v>
      </c>
      <c r="F838" s="83" t="s">
        <v>31</v>
      </c>
      <c r="G838" s="86">
        <f t="shared" si="200"/>
        <v>103926</v>
      </c>
      <c r="H838" s="86">
        <f t="shared" si="200"/>
        <v>103926</v>
      </c>
      <c r="I838" s="171"/>
      <c r="J838" s="190"/>
      <c r="K838" s="190"/>
      <c r="L838" s="190"/>
      <c r="M838" s="190"/>
      <c r="N838" s="190"/>
      <c r="O838" s="190"/>
      <c r="P838" s="190"/>
      <c r="Q838" s="190"/>
    </row>
    <row r="839" spans="1:17" s="3" customFormat="1">
      <c r="A839" s="81" t="s">
        <v>32</v>
      </c>
      <c r="B839" s="145">
        <v>774</v>
      </c>
      <c r="C839" s="83" t="s">
        <v>26</v>
      </c>
      <c r="D839" s="83" t="s">
        <v>70</v>
      </c>
      <c r="E839" s="83" t="s">
        <v>293</v>
      </c>
      <c r="F839" s="83" t="s">
        <v>33</v>
      </c>
      <c r="G839" s="86">
        <v>103926</v>
      </c>
      <c r="H839" s="86">
        <v>103926</v>
      </c>
      <c r="I839" s="171"/>
      <c r="J839" s="190"/>
      <c r="K839" s="190"/>
      <c r="L839" s="190"/>
      <c r="M839" s="190"/>
      <c r="N839" s="190"/>
      <c r="O839" s="190"/>
      <c r="P839" s="190"/>
      <c r="Q839" s="190"/>
    </row>
    <row r="840" spans="1:17" s="3" customFormat="1" hidden="1">
      <c r="A840" s="81" t="s">
        <v>1</v>
      </c>
      <c r="B840" s="145">
        <v>774</v>
      </c>
      <c r="C840" s="83" t="s">
        <v>26</v>
      </c>
      <c r="D840" s="83" t="s">
        <v>70</v>
      </c>
      <c r="E840" s="83" t="s">
        <v>219</v>
      </c>
      <c r="F840" s="83"/>
      <c r="G840" s="86">
        <f t="shared" ref="G840:H841" si="201">G841</f>
        <v>0</v>
      </c>
      <c r="H840" s="86">
        <f t="shared" si="201"/>
        <v>0</v>
      </c>
      <c r="I840" s="171"/>
      <c r="J840" s="190"/>
      <c r="K840" s="190"/>
      <c r="L840" s="190"/>
      <c r="M840" s="190"/>
      <c r="N840" s="190"/>
      <c r="O840" s="190"/>
      <c r="P840" s="190"/>
      <c r="Q840" s="190"/>
    </row>
    <row r="841" spans="1:17" s="3" customFormat="1" ht="25.5" hidden="1">
      <c r="A841" s="81" t="s">
        <v>30</v>
      </c>
      <c r="B841" s="145">
        <v>774</v>
      </c>
      <c r="C841" s="83" t="s">
        <v>26</v>
      </c>
      <c r="D841" s="83" t="s">
        <v>70</v>
      </c>
      <c r="E841" s="83" t="s">
        <v>219</v>
      </c>
      <c r="F841" s="83" t="s">
        <v>31</v>
      </c>
      <c r="G841" s="86">
        <f t="shared" si="201"/>
        <v>0</v>
      </c>
      <c r="H841" s="86">
        <f t="shared" si="201"/>
        <v>0</v>
      </c>
      <c r="I841" s="171"/>
      <c r="J841" s="190"/>
      <c r="K841" s="190"/>
      <c r="L841" s="190"/>
      <c r="M841" s="190"/>
      <c r="N841" s="190"/>
      <c r="O841" s="190"/>
      <c r="P841" s="190"/>
      <c r="Q841" s="190"/>
    </row>
    <row r="842" spans="1:17" s="3" customFormat="1" hidden="1">
      <c r="A842" s="81" t="s">
        <v>32</v>
      </c>
      <c r="B842" s="145">
        <v>774</v>
      </c>
      <c r="C842" s="83" t="s">
        <v>26</v>
      </c>
      <c r="D842" s="83" t="s">
        <v>70</v>
      </c>
      <c r="E842" s="83" t="s">
        <v>219</v>
      </c>
      <c r="F842" s="83" t="s">
        <v>33</v>
      </c>
      <c r="G842" s="86"/>
      <c r="H842" s="86"/>
      <c r="I842" s="171"/>
      <c r="J842" s="190"/>
      <c r="K842" s="190"/>
      <c r="L842" s="190"/>
      <c r="M842" s="190"/>
      <c r="N842" s="190"/>
      <c r="O842" s="190"/>
      <c r="P842" s="190"/>
      <c r="Q842" s="190"/>
    </row>
    <row r="843" spans="1:17" s="3" customFormat="1" ht="25.5" hidden="1">
      <c r="A843" s="81" t="s">
        <v>294</v>
      </c>
      <c r="B843" s="145">
        <v>774</v>
      </c>
      <c r="C843" s="83" t="s">
        <v>26</v>
      </c>
      <c r="D843" s="83" t="s">
        <v>70</v>
      </c>
      <c r="E843" s="83" t="s">
        <v>293</v>
      </c>
      <c r="F843" s="83"/>
      <c r="G843" s="86">
        <f t="shared" ref="G843:H844" si="202">G844</f>
        <v>0</v>
      </c>
      <c r="H843" s="86">
        <f t="shared" si="202"/>
        <v>0</v>
      </c>
      <c r="I843" s="171"/>
      <c r="J843" s="190"/>
      <c r="K843" s="190"/>
      <c r="L843" s="190"/>
      <c r="M843" s="190"/>
      <c r="N843" s="190"/>
      <c r="O843" s="190"/>
      <c r="P843" s="190"/>
      <c r="Q843" s="190"/>
    </row>
    <row r="844" spans="1:17" s="3" customFormat="1" ht="25.5" hidden="1">
      <c r="A844" s="81" t="s">
        <v>30</v>
      </c>
      <c r="B844" s="145">
        <v>774</v>
      </c>
      <c r="C844" s="83" t="s">
        <v>26</v>
      </c>
      <c r="D844" s="83" t="s">
        <v>70</v>
      </c>
      <c r="E844" s="83" t="s">
        <v>293</v>
      </c>
      <c r="F844" s="83" t="s">
        <v>31</v>
      </c>
      <c r="G844" s="86">
        <f t="shared" si="202"/>
        <v>0</v>
      </c>
      <c r="H844" s="86">
        <f t="shared" si="202"/>
        <v>0</v>
      </c>
      <c r="I844" s="171"/>
      <c r="J844" s="190"/>
      <c r="K844" s="190"/>
      <c r="L844" s="190"/>
      <c r="M844" s="190"/>
      <c r="N844" s="190"/>
      <c r="O844" s="190"/>
      <c r="P844" s="190"/>
      <c r="Q844" s="190"/>
    </row>
    <row r="845" spans="1:17" s="3" customFormat="1" hidden="1">
      <c r="A845" s="81" t="s">
        <v>32</v>
      </c>
      <c r="B845" s="145">
        <v>774</v>
      </c>
      <c r="C845" s="83" t="s">
        <v>26</v>
      </c>
      <c r="D845" s="83" t="s">
        <v>70</v>
      </c>
      <c r="E845" s="83" t="s">
        <v>293</v>
      </c>
      <c r="F845" s="83" t="s">
        <v>33</v>
      </c>
      <c r="G845" s="86"/>
      <c r="H845" s="86"/>
      <c r="I845" s="171"/>
      <c r="J845" s="190"/>
      <c r="K845" s="190"/>
      <c r="L845" s="190"/>
      <c r="M845" s="190"/>
      <c r="N845" s="190"/>
      <c r="O845" s="190"/>
      <c r="P845" s="190"/>
      <c r="Q845" s="190"/>
    </row>
    <row r="846" spans="1:17" s="3" customFormat="1" ht="51.75" hidden="1" customHeight="1">
      <c r="A846" s="81" t="s">
        <v>719</v>
      </c>
      <c r="B846" s="145">
        <v>774</v>
      </c>
      <c r="C846" s="83" t="s">
        <v>26</v>
      </c>
      <c r="D846" s="83" t="s">
        <v>70</v>
      </c>
      <c r="E846" s="83" t="s">
        <v>720</v>
      </c>
      <c r="F846" s="83"/>
      <c r="G846" s="86">
        <f t="shared" ref="G846:H847" si="203">G847</f>
        <v>0</v>
      </c>
      <c r="H846" s="86">
        <f t="shared" si="203"/>
        <v>0</v>
      </c>
      <c r="I846" s="171"/>
      <c r="J846" s="190"/>
      <c r="K846" s="190"/>
      <c r="L846" s="190"/>
      <c r="M846" s="190"/>
      <c r="N846" s="190"/>
      <c r="O846" s="190"/>
      <c r="P846" s="190"/>
      <c r="Q846" s="190"/>
    </row>
    <row r="847" spans="1:17" s="3" customFormat="1" ht="25.5" hidden="1">
      <c r="A847" s="81" t="s">
        <v>30</v>
      </c>
      <c r="B847" s="145">
        <v>774</v>
      </c>
      <c r="C847" s="83" t="s">
        <v>26</v>
      </c>
      <c r="D847" s="83" t="s">
        <v>70</v>
      </c>
      <c r="E847" s="83" t="s">
        <v>720</v>
      </c>
      <c r="F847" s="83" t="s">
        <v>31</v>
      </c>
      <c r="G847" s="86">
        <f t="shared" si="203"/>
        <v>0</v>
      </c>
      <c r="H847" s="86">
        <f t="shared" si="203"/>
        <v>0</v>
      </c>
      <c r="I847" s="171"/>
      <c r="J847" s="190"/>
      <c r="K847" s="190"/>
      <c r="L847" s="190"/>
      <c r="M847" s="190"/>
      <c r="N847" s="190"/>
      <c r="O847" s="190"/>
      <c r="P847" s="190"/>
      <c r="Q847" s="190"/>
    </row>
    <row r="848" spans="1:17" s="3" customFormat="1" hidden="1">
      <c r="A848" s="81" t="s">
        <v>32</v>
      </c>
      <c r="B848" s="145">
        <v>774</v>
      </c>
      <c r="C848" s="83" t="s">
        <v>26</v>
      </c>
      <c r="D848" s="83" t="s">
        <v>70</v>
      </c>
      <c r="E848" s="83" t="s">
        <v>720</v>
      </c>
      <c r="F848" s="83" t="s">
        <v>33</v>
      </c>
      <c r="G848" s="86"/>
      <c r="H848" s="86"/>
      <c r="I848" s="171"/>
      <c r="J848" s="190"/>
      <c r="K848" s="190"/>
      <c r="L848" s="190"/>
      <c r="M848" s="190"/>
      <c r="N848" s="190"/>
      <c r="O848" s="190"/>
      <c r="P848" s="190"/>
      <c r="Q848" s="190"/>
    </row>
    <row r="849" spans="1:17" ht="25.5">
      <c r="A849" s="81" t="s">
        <v>24</v>
      </c>
      <c r="B849" s="83" t="s">
        <v>94</v>
      </c>
      <c r="C849" s="83" t="s">
        <v>26</v>
      </c>
      <c r="D849" s="83" t="s">
        <v>70</v>
      </c>
      <c r="E849" s="83" t="s">
        <v>224</v>
      </c>
      <c r="F849" s="83"/>
      <c r="G849" s="86">
        <f t="shared" ref="G849:H851" si="204">G850</f>
        <v>446012.94</v>
      </c>
      <c r="H849" s="86">
        <f t="shared" si="204"/>
        <v>446012.94</v>
      </c>
      <c r="I849" s="171"/>
    </row>
    <row r="850" spans="1:17" ht="27" customHeight="1">
      <c r="A850" s="81" t="s">
        <v>142</v>
      </c>
      <c r="B850" s="83" t="s">
        <v>94</v>
      </c>
      <c r="C850" s="83" t="s">
        <v>26</v>
      </c>
      <c r="D850" s="83" t="s">
        <v>70</v>
      </c>
      <c r="E850" s="83" t="s">
        <v>225</v>
      </c>
      <c r="F850" s="83"/>
      <c r="G850" s="86">
        <f t="shared" si="204"/>
        <v>446012.94</v>
      </c>
      <c r="H850" s="86">
        <f t="shared" si="204"/>
        <v>446012.94</v>
      </c>
      <c r="I850" s="171"/>
    </row>
    <row r="851" spans="1:17" ht="25.5">
      <c r="A851" s="81" t="s">
        <v>30</v>
      </c>
      <c r="B851" s="83" t="s">
        <v>94</v>
      </c>
      <c r="C851" s="83" t="s">
        <v>26</v>
      </c>
      <c r="D851" s="83" t="s">
        <v>70</v>
      </c>
      <c r="E851" s="83" t="s">
        <v>225</v>
      </c>
      <c r="F851" s="83" t="s">
        <v>31</v>
      </c>
      <c r="G851" s="86">
        <f t="shared" si="204"/>
        <v>446012.94</v>
      </c>
      <c r="H851" s="86">
        <f t="shared" si="204"/>
        <v>446012.94</v>
      </c>
      <c r="I851" s="171"/>
    </row>
    <row r="852" spans="1:17">
      <c r="A852" s="81" t="s">
        <v>32</v>
      </c>
      <c r="B852" s="83" t="s">
        <v>94</v>
      </c>
      <c r="C852" s="83" t="s">
        <v>26</v>
      </c>
      <c r="D852" s="83" t="s">
        <v>70</v>
      </c>
      <c r="E852" s="83" t="s">
        <v>225</v>
      </c>
      <c r="F852" s="83" t="s">
        <v>33</v>
      </c>
      <c r="G852" s="86">
        <f>452000-5987.06</f>
        <v>446012.94</v>
      </c>
      <c r="H852" s="86">
        <v>446012.94</v>
      </c>
      <c r="I852" s="171"/>
    </row>
    <row r="853" spans="1:17" ht="35.25" hidden="1" customHeight="1">
      <c r="A853" s="135" t="s">
        <v>479</v>
      </c>
      <c r="B853" s="83" t="s">
        <v>94</v>
      </c>
      <c r="C853" s="83" t="s">
        <v>26</v>
      </c>
      <c r="D853" s="83" t="s">
        <v>70</v>
      </c>
      <c r="E853" s="83" t="s">
        <v>195</v>
      </c>
      <c r="F853" s="83"/>
      <c r="G853" s="86">
        <f>G854</f>
        <v>0</v>
      </c>
      <c r="H853" s="86">
        <f t="shared" ref="H853" si="205">H854</f>
        <v>0</v>
      </c>
      <c r="I853" s="171"/>
    </row>
    <row r="854" spans="1:17" ht="36" hidden="1" customHeight="1">
      <c r="A854" s="81" t="s">
        <v>613</v>
      </c>
      <c r="B854" s="83" t="s">
        <v>94</v>
      </c>
      <c r="C854" s="83" t="s">
        <v>26</v>
      </c>
      <c r="D854" s="83" t="s">
        <v>70</v>
      </c>
      <c r="E854" s="83" t="s">
        <v>541</v>
      </c>
      <c r="F854" s="83"/>
      <c r="G854" s="86">
        <f>G855</f>
        <v>0</v>
      </c>
      <c r="H854" s="86">
        <f>H855+H857</f>
        <v>0</v>
      </c>
      <c r="I854" s="171"/>
    </row>
    <row r="855" spans="1:17" ht="25.5" hidden="1">
      <c r="A855" s="81" t="s">
        <v>30</v>
      </c>
      <c r="B855" s="83" t="s">
        <v>94</v>
      </c>
      <c r="C855" s="83" t="s">
        <v>26</v>
      </c>
      <c r="D855" s="83" t="s">
        <v>70</v>
      </c>
      <c r="E855" s="83" t="s">
        <v>541</v>
      </c>
      <c r="F855" s="83" t="s">
        <v>31</v>
      </c>
      <c r="G855" s="86">
        <f>G856</f>
        <v>0</v>
      </c>
      <c r="H855" s="86">
        <f>H856</f>
        <v>0</v>
      </c>
      <c r="I855" s="171"/>
    </row>
    <row r="856" spans="1:17" ht="19.5" hidden="1" customHeight="1">
      <c r="A856" s="81" t="s">
        <v>32</v>
      </c>
      <c r="B856" s="83" t="s">
        <v>94</v>
      </c>
      <c r="C856" s="83" t="s">
        <v>26</v>
      </c>
      <c r="D856" s="83" t="s">
        <v>70</v>
      </c>
      <c r="E856" s="83" t="s">
        <v>541</v>
      </c>
      <c r="F856" s="83" t="s">
        <v>33</v>
      </c>
      <c r="G856" s="86"/>
      <c r="H856" s="86"/>
      <c r="I856" s="171"/>
    </row>
    <row r="857" spans="1:17" ht="47.25" hidden="1" customHeight="1">
      <c r="A857" s="81" t="s">
        <v>455</v>
      </c>
      <c r="B857" s="83" t="s">
        <v>94</v>
      </c>
      <c r="C857" s="83" t="s">
        <v>26</v>
      </c>
      <c r="D857" s="83" t="s">
        <v>70</v>
      </c>
      <c r="E857" s="83" t="s">
        <v>454</v>
      </c>
      <c r="F857" s="83"/>
      <c r="G857" s="86">
        <f>G858</f>
        <v>0</v>
      </c>
      <c r="H857" s="86">
        <f>H858</f>
        <v>0</v>
      </c>
      <c r="I857" s="171"/>
    </row>
    <row r="858" spans="1:17" ht="74.25" hidden="1" customHeight="1">
      <c r="A858" s="81" t="s">
        <v>607</v>
      </c>
      <c r="B858" s="83" t="s">
        <v>94</v>
      </c>
      <c r="C858" s="83" t="s">
        <v>26</v>
      </c>
      <c r="D858" s="83" t="s">
        <v>70</v>
      </c>
      <c r="E858" s="83" t="s">
        <v>606</v>
      </c>
      <c r="F858" s="83"/>
      <c r="G858" s="86">
        <f>G859</f>
        <v>0</v>
      </c>
      <c r="H858" s="86">
        <f t="shared" ref="H858:H859" si="206">H859</f>
        <v>0</v>
      </c>
      <c r="I858" s="171"/>
    </row>
    <row r="859" spans="1:17" ht="31.5" hidden="1" customHeight="1">
      <c r="A859" s="81" t="s">
        <v>30</v>
      </c>
      <c r="B859" s="83" t="s">
        <v>94</v>
      </c>
      <c r="C859" s="83" t="s">
        <v>26</v>
      </c>
      <c r="D859" s="83" t="s">
        <v>70</v>
      </c>
      <c r="E859" s="83" t="s">
        <v>606</v>
      </c>
      <c r="F859" s="83" t="s">
        <v>31</v>
      </c>
      <c r="G859" s="86">
        <f>G860</f>
        <v>0</v>
      </c>
      <c r="H859" s="86">
        <f t="shared" si="206"/>
        <v>0</v>
      </c>
      <c r="I859" s="171"/>
    </row>
    <row r="860" spans="1:17" ht="17.25" hidden="1" customHeight="1">
      <c r="A860" s="81" t="s">
        <v>32</v>
      </c>
      <c r="B860" s="83" t="s">
        <v>94</v>
      </c>
      <c r="C860" s="83" t="s">
        <v>26</v>
      </c>
      <c r="D860" s="83" t="s">
        <v>70</v>
      </c>
      <c r="E860" s="83" t="s">
        <v>606</v>
      </c>
      <c r="F860" s="83" t="s">
        <v>33</v>
      </c>
      <c r="G860" s="86"/>
      <c r="H860" s="123"/>
      <c r="I860" s="189"/>
    </row>
    <row r="861" spans="1:17" s="28" customFormat="1" ht="28.5" hidden="1" customHeight="1">
      <c r="A861" s="135"/>
      <c r="B861" s="145"/>
      <c r="C861" s="83"/>
      <c r="D861" s="83"/>
      <c r="E861" s="83"/>
      <c r="F861" s="83"/>
      <c r="G861" s="86"/>
      <c r="H861" s="86"/>
      <c r="I861" s="171"/>
      <c r="J861" s="195"/>
      <c r="K861" s="195"/>
      <c r="L861" s="195"/>
      <c r="M861" s="195"/>
      <c r="N861" s="195"/>
      <c r="O861" s="195"/>
      <c r="P861" s="195"/>
      <c r="Q861" s="195"/>
    </row>
    <row r="862" spans="1:17" s="28" customFormat="1" ht="27.75" hidden="1" customHeight="1">
      <c r="A862" s="135"/>
      <c r="B862" s="145"/>
      <c r="C862" s="83"/>
      <c r="D862" s="83"/>
      <c r="E862" s="83"/>
      <c r="F862" s="83"/>
      <c r="G862" s="86"/>
      <c r="H862" s="86"/>
      <c r="I862" s="171"/>
      <c r="J862" s="195"/>
      <c r="K862" s="195"/>
      <c r="L862" s="195"/>
      <c r="M862" s="195"/>
      <c r="N862" s="195"/>
      <c r="O862" s="195"/>
      <c r="P862" s="195"/>
      <c r="Q862" s="195"/>
    </row>
    <row r="863" spans="1:17" s="32" customFormat="1" ht="28.5" hidden="1" customHeight="1">
      <c r="A863" s="81"/>
      <c r="B863" s="145"/>
      <c r="C863" s="83"/>
      <c r="D863" s="83"/>
      <c r="E863" s="83"/>
      <c r="F863" s="83"/>
      <c r="G863" s="86"/>
      <c r="H863" s="86"/>
      <c r="I863" s="171"/>
      <c r="J863" s="194"/>
      <c r="K863" s="194"/>
      <c r="L863" s="194"/>
      <c r="M863" s="194"/>
      <c r="N863" s="194"/>
      <c r="O863" s="194"/>
      <c r="P863" s="194"/>
      <c r="Q863" s="194"/>
    </row>
    <row r="864" spans="1:17" s="32" customFormat="1" hidden="1">
      <c r="A864" s="81"/>
      <c r="B864" s="145"/>
      <c r="C864" s="83"/>
      <c r="D864" s="83"/>
      <c r="E864" s="83"/>
      <c r="F864" s="83"/>
      <c r="G864" s="86"/>
      <c r="H864" s="86"/>
      <c r="I864" s="171"/>
      <c r="J864" s="196"/>
      <c r="K864" s="194"/>
      <c r="L864" s="194"/>
      <c r="M864" s="194"/>
      <c r="N864" s="194"/>
      <c r="O864" s="194"/>
      <c r="P864" s="194"/>
      <c r="Q864" s="194"/>
    </row>
    <row r="865" spans="1:17" s="28" customFormat="1" ht="28.5" hidden="1" customHeight="1">
      <c r="A865" s="135" t="s">
        <v>479</v>
      </c>
      <c r="B865" s="83" t="s">
        <v>94</v>
      </c>
      <c r="C865" s="83" t="s">
        <v>26</v>
      </c>
      <c r="D865" s="83" t="s">
        <v>70</v>
      </c>
      <c r="E865" s="83" t="s">
        <v>195</v>
      </c>
      <c r="F865" s="83"/>
      <c r="G865" s="86">
        <f>G866+G869</f>
        <v>0</v>
      </c>
      <c r="H865" s="86">
        <f>H866</f>
        <v>0</v>
      </c>
      <c r="I865" s="171"/>
      <c r="J865" s="195"/>
      <c r="K865" s="195"/>
      <c r="L865" s="195"/>
      <c r="M865" s="195"/>
      <c r="N865" s="195"/>
      <c r="O865" s="195"/>
      <c r="P865" s="195"/>
      <c r="Q865" s="195"/>
    </row>
    <row r="866" spans="1:17" s="28" customFormat="1" ht="27.75" hidden="1" customHeight="1">
      <c r="A866" s="135" t="s">
        <v>696</v>
      </c>
      <c r="B866" s="83" t="s">
        <v>94</v>
      </c>
      <c r="C866" s="83" t="s">
        <v>26</v>
      </c>
      <c r="D866" s="83" t="s">
        <v>70</v>
      </c>
      <c r="E866" s="83" t="s">
        <v>695</v>
      </c>
      <c r="F866" s="83"/>
      <c r="G866" s="86">
        <f>G867</f>
        <v>0</v>
      </c>
      <c r="H866" s="86">
        <f t="shared" ref="H866" si="207">H867</f>
        <v>0</v>
      </c>
      <c r="I866" s="171"/>
      <c r="J866" s="195"/>
      <c r="K866" s="195"/>
      <c r="L866" s="195"/>
      <c r="M866" s="195"/>
      <c r="N866" s="195"/>
      <c r="O866" s="195"/>
      <c r="P866" s="195"/>
      <c r="Q866" s="195"/>
    </row>
    <row r="867" spans="1:17" s="32" customFormat="1" ht="28.5" hidden="1" customHeight="1">
      <c r="A867" s="81" t="s">
        <v>30</v>
      </c>
      <c r="B867" s="83" t="s">
        <v>94</v>
      </c>
      <c r="C867" s="83" t="s">
        <v>26</v>
      </c>
      <c r="D867" s="83" t="s">
        <v>70</v>
      </c>
      <c r="E867" s="83" t="s">
        <v>695</v>
      </c>
      <c r="F867" s="83" t="s">
        <v>31</v>
      </c>
      <c r="G867" s="86">
        <f>G868</f>
        <v>0</v>
      </c>
      <c r="H867" s="86">
        <f>H868</f>
        <v>0</v>
      </c>
      <c r="I867" s="171"/>
      <c r="J867" s="194"/>
      <c r="K867" s="194"/>
      <c r="L867" s="194"/>
      <c r="M867" s="194"/>
      <c r="N867" s="194"/>
      <c r="O867" s="194"/>
      <c r="P867" s="194"/>
      <c r="Q867" s="194"/>
    </row>
    <row r="868" spans="1:17" s="32" customFormat="1" hidden="1">
      <c r="A868" s="81" t="s">
        <v>32</v>
      </c>
      <c r="B868" s="83" t="s">
        <v>94</v>
      </c>
      <c r="C868" s="83" t="s">
        <v>26</v>
      </c>
      <c r="D868" s="83" t="s">
        <v>70</v>
      </c>
      <c r="E868" s="83" t="s">
        <v>695</v>
      </c>
      <c r="F868" s="83" t="s">
        <v>33</v>
      </c>
      <c r="G868" s="86"/>
      <c r="H868" s="86">
        <v>0</v>
      </c>
      <c r="I868" s="171"/>
      <c r="J868" s="196"/>
      <c r="K868" s="194"/>
      <c r="L868" s="194"/>
      <c r="M868" s="194"/>
      <c r="N868" s="194"/>
      <c r="O868" s="194"/>
      <c r="P868" s="194"/>
      <c r="Q868" s="194"/>
    </row>
    <row r="869" spans="1:17" s="28" customFormat="1" ht="27.75" hidden="1" customHeight="1">
      <c r="A869" s="135" t="s">
        <v>613</v>
      </c>
      <c r="B869" s="83" t="s">
        <v>94</v>
      </c>
      <c r="C869" s="83" t="s">
        <v>26</v>
      </c>
      <c r="D869" s="83" t="s">
        <v>70</v>
      </c>
      <c r="E869" s="83" t="s">
        <v>541</v>
      </c>
      <c r="F869" s="83"/>
      <c r="G869" s="86">
        <f>G870</f>
        <v>0</v>
      </c>
      <c r="H869" s="86">
        <f t="shared" ref="H869" si="208">H870</f>
        <v>0</v>
      </c>
      <c r="I869" s="171"/>
      <c r="J869" s="195"/>
      <c r="K869" s="195"/>
      <c r="L869" s="195"/>
      <c r="M869" s="195"/>
      <c r="N869" s="195"/>
      <c r="O869" s="195"/>
      <c r="P869" s="195"/>
      <c r="Q869" s="195"/>
    </row>
    <row r="870" spans="1:17" s="32" customFormat="1" ht="28.5" hidden="1" customHeight="1">
      <c r="A870" s="81" t="s">
        <v>30</v>
      </c>
      <c r="B870" s="83" t="s">
        <v>94</v>
      </c>
      <c r="C870" s="83" t="s">
        <v>26</v>
      </c>
      <c r="D870" s="83" t="s">
        <v>70</v>
      </c>
      <c r="E870" s="83" t="s">
        <v>541</v>
      </c>
      <c r="F870" s="83" t="s">
        <v>31</v>
      </c>
      <c r="G870" s="86">
        <f>G871</f>
        <v>0</v>
      </c>
      <c r="H870" s="86">
        <f>H871</f>
        <v>0</v>
      </c>
      <c r="I870" s="171"/>
      <c r="J870" s="194"/>
      <c r="K870" s="194"/>
      <c r="L870" s="194"/>
      <c r="M870" s="194"/>
      <c r="N870" s="194"/>
      <c r="O870" s="194"/>
      <c r="P870" s="194"/>
      <c r="Q870" s="194"/>
    </row>
    <row r="871" spans="1:17" s="32" customFormat="1" hidden="1">
      <c r="A871" s="81" t="s">
        <v>32</v>
      </c>
      <c r="B871" s="83" t="s">
        <v>94</v>
      </c>
      <c r="C871" s="83" t="s">
        <v>26</v>
      </c>
      <c r="D871" s="83" t="s">
        <v>70</v>
      </c>
      <c r="E871" s="83" t="s">
        <v>541</v>
      </c>
      <c r="F871" s="83" t="s">
        <v>33</v>
      </c>
      <c r="G871" s="86"/>
      <c r="H871" s="86">
        <v>0</v>
      </c>
      <c r="I871" s="171"/>
      <c r="J871" s="196"/>
      <c r="K871" s="194"/>
      <c r="L871" s="194"/>
      <c r="M871" s="194"/>
      <c r="N871" s="194"/>
      <c r="O871" s="194"/>
      <c r="P871" s="194"/>
      <c r="Q871" s="194"/>
    </row>
    <row r="872" spans="1:17" s="161" customFormat="1" ht="30.75" hidden="1" customHeight="1">
      <c r="A872" s="135" t="s">
        <v>272</v>
      </c>
      <c r="B872" s="255">
        <v>774</v>
      </c>
      <c r="C872" s="83" t="s">
        <v>26</v>
      </c>
      <c r="D872" s="83" t="s">
        <v>70</v>
      </c>
      <c r="E872" s="83" t="s">
        <v>565</v>
      </c>
      <c r="F872" s="83"/>
      <c r="G872" s="86">
        <f>G873</f>
        <v>0</v>
      </c>
      <c r="H872" s="256">
        <v>0</v>
      </c>
      <c r="I872" s="184"/>
      <c r="J872" s="197"/>
      <c r="K872" s="197"/>
      <c r="L872" s="197"/>
      <c r="M872" s="197"/>
      <c r="N872" s="197"/>
      <c r="O872" s="197"/>
      <c r="P872" s="197"/>
      <c r="Q872" s="197"/>
    </row>
    <row r="873" spans="1:17" ht="25.5" hidden="1">
      <c r="A873" s="81" t="s">
        <v>30</v>
      </c>
      <c r="B873" s="83" t="s">
        <v>94</v>
      </c>
      <c r="C873" s="83" t="s">
        <v>26</v>
      </c>
      <c r="D873" s="83" t="s">
        <v>70</v>
      </c>
      <c r="E873" s="83" t="s">
        <v>566</v>
      </c>
      <c r="F873" s="83" t="s">
        <v>31</v>
      </c>
      <c r="G873" s="84">
        <f t="shared" ref="G873:H873" si="209">G874</f>
        <v>0</v>
      </c>
      <c r="H873" s="84">
        <f t="shared" si="209"/>
        <v>0</v>
      </c>
      <c r="I873" s="172"/>
    </row>
    <row r="874" spans="1:17" hidden="1">
      <c r="A874" s="81" t="s">
        <v>32</v>
      </c>
      <c r="B874" s="83" t="s">
        <v>94</v>
      </c>
      <c r="C874" s="83" t="s">
        <v>26</v>
      </c>
      <c r="D874" s="83" t="s">
        <v>70</v>
      </c>
      <c r="E874" s="83" t="s">
        <v>566</v>
      </c>
      <c r="F874" s="83" t="s">
        <v>33</v>
      </c>
      <c r="G874" s="84"/>
      <c r="H874" s="84">
        <v>0</v>
      </c>
      <c r="I874" s="172"/>
    </row>
    <row r="875" spans="1:17" s="32" customFormat="1" ht="17.25" hidden="1" customHeight="1">
      <c r="A875" s="259"/>
      <c r="B875" s="83"/>
      <c r="C875" s="152"/>
      <c r="D875" s="152"/>
      <c r="E875" s="152"/>
      <c r="F875" s="152"/>
      <c r="G875" s="153"/>
      <c r="H875" s="153"/>
      <c r="I875" s="187"/>
      <c r="J875" s="194"/>
      <c r="K875" s="194"/>
      <c r="L875" s="194"/>
      <c r="M875" s="194"/>
      <c r="N875" s="194"/>
      <c r="O875" s="194"/>
      <c r="P875" s="194"/>
      <c r="Q875" s="194"/>
    </row>
    <row r="876" spans="1:17" s="32" customFormat="1" ht="17.25" hidden="1" customHeight="1">
      <c r="A876" s="260" t="s">
        <v>490</v>
      </c>
      <c r="B876" s="83" t="s">
        <v>94</v>
      </c>
      <c r="C876" s="83" t="s">
        <v>72</v>
      </c>
      <c r="D876" s="83" t="s">
        <v>19</v>
      </c>
      <c r="E876" s="152"/>
      <c r="F876" s="152"/>
      <c r="G876" s="153">
        <f>G877+G887</f>
        <v>0</v>
      </c>
      <c r="H876" s="153">
        <f>H877+H887</f>
        <v>0</v>
      </c>
      <c r="I876" s="187"/>
      <c r="J876" s="194"/>
      <c r="K876" s="194"/>
      <c r="L876" s="194"/>
      <c r="M876" s="194"/>
      <c r="N876" s="194"/>
      <c r="O876" s="194"/>
      <c r="P876" s="194"/>
      <c r="Q876" s="194"/>
    </row>
    <row r="877" spans="1:17" ht="27.75" hidden="1" customHeight="1">
      <c r="A877" s="135" t="s">
        <v>479</v>
      </c>
      <c r="B877" s="83" t="s">
        <v>94</v>
      </c>
      <c r="C877" s="83" t="s">
        <v>72</v>
      </c>
      <c r="D877" s="83" t="s">
        <v>19</v>
      </c>
      <c r="E877" s="83" t="s">
        <v>195</v>
      </c>
      <c r="F877" s="83"/>
      <c r="G877" s="86">
        <f>G879+G882+G884</f>
        <v>0</v>
      </c>
      <c r="H877" s="86">
        <f>H879+H882+H884</f>
        <v>0</v>
      </c>
      <c r="I877" s="171"/>
    </row>
    <row r="878" spans="1:17" ht="19.5" hidden="1" customHeight="1">
      <c r="A878" s="81" t="s">
        <v>32</v>
      </c>
      <c r="B878" s="83" t="s">
        <v>94</v>
      </c>
      <c r="C878" s="83" t="s">
        <v>72</v>
      </c>
      <c r="D878" s="83" t="s">
        <v>19</v>
      </c>
      <c r="E878" s="83" t="s">
        <v>40</v>
      </c>
      <c r="F878" s="83" t="s">
        <v>33</v>
      </c>
      <c r="G878" s="86"/>
      <c r="H878" s="86"/>
      <c r="I878" s="171"/>
    </row>
    <row r="879" spans="1:17" ht="39" hidden="1" customHeight="1">
      <c r="A879" s="81" t="s">
        <v>112</v>
      </c>
      <c r="B879" s="83" t="s">
        <v>94</v>
      </c>
      <c r="C879" s="83" t="s">
        <v>72</v>
      </c>
      <c r="D879" s="83" t="s">
        <v>19</v>
      </c>
      <c r="E879" s="83" t="s">
        <v>196</v>
      </c>
      <c r="F879" s="83"/>
      <c r="G879" s="86">
        <f>G880</f>
        <v>0</v>
      </c>
      <c r="H879" s="86">
        <f t="shared" ref="H879" si="210">H880</f>
        <v>0</v>
      </c>
      <c r="I879" s="171"/>
    </row>
    <row r="880" spans="1:17" ht="25.5" hidden="1">
      <c r="A880" s="81" t="s">
        <v>30</v>
      </c>
      <c r="B880" s="83" t="s">
        <v>94</v>
      </c>
      <c r="C880" s="83" t="s">
        <v>72</v>
      </c>
      <c r="D880" s="83" t="s">
        <v>19</v>
      </c>
      <c r="E880" s="83" t="s">
        <v>196</v>
      </c>
      <c r="F880" s="83" t="s">
        <v>31</v>
      </c>
      <c r="G880" s="86">
        <f>G881</f>
        <v>0</v>
      </c>
      <c r="H880" s="86">
        <f>H881</f>
        <v>0</v>
      </c>
      <c r="I880" s="171"/>
    </row>
    <row r="881" spans="1:17" ht="19.5" hidden="1" customHeight="1">
      <c r="A881" s="81" t="s">
        <v>32</v>
      </c>
      <c r="B881" s="83" t="s">
        <v>94</v>
      </c>
      <c r="C881" s="83" t="s">
        <v>72</v>
      </c>
      <c r="D881" s="83" t="s">
        <v>19</v>
      </c>
      <c r="E881" s="83" t="s">
        <v>196</v>
      </c>
      <c r="F881" s="83" t="s">
        <v>33</v>
      </c>
      <c r="G881" s="86"/>
      <c r="H881" s="86"/>
      <c r="I881" s="171"/>
    </row>
    <row r="882" spans="1:17" s="32" customFormat="1" ht="25.5" hidden="1" customHeight="1">
      <c r="A882" s="81" t="s">
        <v>30</v>
      </c>
      <c r="B882" s="83" t="s">
        <v>94</v>
      </c>
      <c r="C882" s="83" t="s">
        <v>72</v>
      </c>
      <c r="D882" s="83" t="s">
        <v>19</v>
      </c>
      <c r="E882" s="83" t="s">
        <v>541</v>
      </c>
      <c r="F882" s="83" t="s">
        <v>31</v>
      </c>
      <c r="G882" s="86">
        <f>G883</f>
        <v>0</v>
      </c>
      <c r="H882" s="86">
        <v>0</v>
      </c>
      <c r="I882" s="171"/>
      <c r="J882" s="194"/>
      <c r="K882" s="194"/>
      <c r="L882" s="194"/>
      <c r="M882" s="194"/>
      <c r="N882" s="194"/>
      <c r="O882" s="194"/>
      <c r="P882" s="194"/>
      <c r="Q882" s="194"/>
    </row>
    <row r="883" spans="1:17" s="32" customFormat="1" ht="17.25" hidden="1" customHeight="1">
      <c r="A883" s="81" t="s">
        <v>32</v>
      </c>
      <c r="B883" s="83" t="s">
        <v>94</v>
      </c>
      <c r="C883" s="83" t="s">
        <v>72</v>
      </c>
      <c r="D883" s="83" t="s">
        <v>19</v>
      </c>
      <c r="E883" s="83" t="s">
        <v>541</v>
      </c>
      <c r="F883" s="83" t="s">
        <v>33</v>
      </c>
      <c r="G883" s="86"/>
      <c r="H883" s="86">
        <v>0</v>
      </c>
      <c r="I883" s="171"/>
      <c r="J883" s="194"/>
      <c r="K883" s="194"/>
      <c r="L883" s="194"/>
      <c r="M883" s="194"/>
      <c r="N883" s="194"/>
      <c r="O883" s="194"/>
      <c r="P883" s="194"/>
      <c r="Q883" s="194"/>
    </row>
    <row r="884" spans="1:17" s="32" customFormat="1" ht="65.25" hidden="1" customHeight="1">
      <c r="A884" s="81" t="s">
        <v>610</v>
      </c>
      <c r="B884" s="83" t="s">
        <v>94</v>
      </c>
      <c r="C884" s="83" t="s">
        <v>72</v>
      </c>
      <c r="D884" s="83" t="s">
        <v>19</v>
      </c>
      <c r="E884" s="83" t="s">
        <v>609</v>
      </c>
      <c r="F884" s="83"/>
      <c r="G884" s="86">
        <f>G885</f>
        <v>0</v>
      </c>
      <c r="H884" s="86">
        <f t="shared" ref="H884" si="211">H885</f>
        <v>0</v>
      </c>
      <c r="I884" s="171"/>
      <c r="J884" s="194"/>
      <c r="K884" s="194"/>
      <c r="L884" s="194"/>
      <c r="M884" s="194"/>
      <c r="N884" s="194"/>
      <c r="O884" s="194"/>
      <c r="P884" s="194"/>
      <c r="Q884" s="194"/>
    </row>
    <row r="885" spans="1:17" s="32" customFormat="1" ht="25.5" hidden="1" customHeight="1">
      <c r="A885" s="81" t="s">
        <v>30</v>
      </c>
      <c r="B885" s="83" t="s">
        <v>94</v>
      </c>
      <c r="C885" s="83" t="s">
        <v>72</v>
      </c>
      <c r="D885" s="83" t="s">
        <v>19</v>
      </c>
      <c r="E885" s="83" t="s">
        <v>609</v>
      </c>
      <c r="F885" s="83" t="s">
        <v>31</v>
      </c>
      <c r="G885" s="86">
        <f>G886</f>
        <v>0</v>
      </c>
      <c r="H885" s="86">
        <v>0</v>
      </c>
      <c r="I885" s="171"/>
      <c r="J885" s="194"/>
      <c r="K885" s="194"/>
      <c r="L885" s="194"/>
      <c r="M885" s="194"/>
      <c r="N885" s="194"/>
      <c r="O885" s="194"/>
      <c r="P885" s="194"/>
      <c r="Q885" s="194"/>
    </row>
    <row r="886" spans="1:17" s="32" customFormat="1" ht="17.25" hidden="1" customHeight="1">
      <c r="A886" s="81" t="s">
        <v>32</v>
      </c>
      <c r="B886" s="83" t="s">
        <v>94</v>
      </c>
      <c r="C886" s="83" t="s">
        <v>72</v>
      </c>
      <c r="D886" s="83" t="s">
        <v>19</v>
      </c>
      <c r="E886" s="83" t="s">
        <v>609</v>
      </c>
      <c r="F886" s="83" t="s">
        <v>33</v>
      </c>
      <c r="G886" s="86"/>
      <c r="H886" s="86">
        <v>0</v>
      </c>
      <c r="I886" s="171"/>
      <c r="J886" s="194"/>
      <c r="K886" s="194"/>
      <c r="L886" s="194"/>
      <c r="M886" s="194"/>
      <c r="N886" s="194"/>
      <c r="O886" s="194"/>
      <c r="P886" s="194"/>
      <c r="Q886" s="194"/>
    </row>
    <row r="887" spans="1:17" s="18" customFormat="1" ht="25.5" hidden="1">
      <c r="A887" s="81" t="s">
        <v>470</v>
      </c>
      <c r="B887" s="83" t="s">
        <v>94</v>
      </c>
      <c r="C887" s="83" t="s">
        <v>72</v>
      </c>
      <c r="D887" s="83" t="s">
        <v>19</v>
      </c>
      <c r="E887" s="83" t="s">
        <v>262</v>
      </c>
      <c r="F887" s="83"/>
      <c r="G887" s="86">
        <f>G888</f>
        <v>0</v>
      </c>
      <c r="H887" s="86">
        <f t="shared" ref="H887:H889" si="212">H888</f>
        <v>0</v>
      </c>
      <c r="I887" s="171"/>
      <c r="J887" s="191"/>
      <c r="K887" s="191"/>
      <c r="L887" s="191"/>
      <c r="M887" s="191"/>
      <c r="N887" s="191"/>
      <c r="O887" s="191"/>
      <c r="P887" s="191"/>
      <c r="Q887" s="191"/>
    </row>
    <row r="888" spans="1:17" s="18" customFormat="1" ht="25.5" hidden="1">
      <c r="A888" s="81" t="s">
        <v>469</v>
      </c>
      <c r="B888" s="83" t="s">
        <v>94</v>
      </c>
      <c r="C888" s="83" t="s">
        <v>72</v>
      </c>
      <c r="D888" s="83" t="s">
        <v>19</v>
      </c>
      <c r="E888" s="83" t="s">
        <v>441</v>
      </c>
      <c r="F888" s="83"/>
      <c r="G888" s="86">
        <f>G889</f>
        <v>0</v>
      </c>
      <c r="H888" s="86">
        <f t="shared" si="212"/>
        <v>0</v>
      </c>
      <c r="I888" s="171"/>
      <c r="J888" s="191"/>
      <c r="K888" s="191"/>
      <c r="L888" s="191"/>
      <c r="M888" s="191"/>
      <c r="N888" s="191"/>
      <c r="O888" s="191"/>
      <c r="P888" s="191"/>
      <c r="Q888" s="191"/>
    </row>
    <row r="889" spans="1:17" s="18" customFormat="1" ht="25.5" hidden="1">
      <c r="A889" s="81" t="s">
        <v>96</v>
      </c>
      <c r="B889" s="83" t="s">
        <v>94</v>
      </c>
      <c r="C889" s="83" t="s">
        <v>72</v>
      </c>
      <c r="D889" s="83" t="s">
        <v>19</v>
      </c>
      <c r="E889" s="83" t="s">
        <v>441</v>
      </c>
      <c r="F889" s="83" t="s">
        <v>348</v>
      </c>
      <c r="G889" s="86">
        <f>G890</f>
        <v>0</v>
      </c>
      <c r="H889" s="86">
        <f t="shared" si="212"/>
        <v>0</v>
      </c>
      <c r="I889" s="171"/>
      <c r="J889" s="191"/>
      <c r="K889" s="191"/>
      <c r="L889" s="191"/>
      <c r="M889" s="191"/>
      <c r="N889" s="191"/>
      <c r="O889" s="191"/>
      <c r="P889" s="191"/>
      <c r="Q889" s="191"/>
    </row>
    <row r="890" spans="1:17" s="18" customFormat="1" ht="89.25" hidden="1">
      <c r="A890" s="129" t="s">
        <v>419</v>
      </c>
      <c r="B890" s="83" t="s">
        <v>94</v>
      </c>
      <c r="C890" s="83" t="s">
        <v>72</v>
      </c>
      <c r="D890" s="83" t="s">
        <v>19</v>
      </c>
      <c r="E890" s="83" t="s">
        <v>441</v>
      </c>
      <c r="F890" s="83" t="s">
        <v>418</v>
      </c>
      <c r="G890" s="86">
        <f>50000-50000</f>
        <v>0</v>
      </c>
      <c r="H890" s="86"/>
      <c r="I890" s="171"/>
      <c r="J890" s="191"/>
      <c r="K890" s="191"/>
      <c r="L890" s="191"/>
      <c r="M890" s="191"/>
      <c r="N890" s="191"/>
      <c r="O890" s="191"/>
      <c r="P890" s="191"/>
      <c r="Q890" s="191"/>
    </row>
    <row r="891" spans="1:17" s="33" customFormat="1" ht="15" hidden="1" customHeight="1">
      <c r="A891" s="81"/>
      <c r="B891" s="83"/>
      <c r="C891" s="83"/>
      <c r="D891" s="83"/>
      <c r="E891" s="163"/>
      <c r="F891" s="163"/>
      <c r="G891" s="92"/>
      <c r="H891" s="92"/>
      <c r="I891" s="186"/>
      <c r="J891" s="202"/>
      <c r="K891" s="202"/>
      <c r="L891" s="202"/>
      <c r="M891" s="202"/>
      <c r="N891" s="202"/>
      <c r="O891" s="202"/>
      <c r="P891" s="202"/>
      <c r="Q891" s="202"/>
    </row>
    <row r="892" spans="1:17" s="164" customFormat="1" ht="28.5" customHeight="1">
      <c r="A892" s="135" t="s">
        <v>479</v>
      </c>
      <c r="B892" s="83" t="s">
        <v>94</v>
      </c>
      <c r="C892" s="83" t="s">
        <v>26</v>
      </c>
      <c r="D892" s="83" t="s">
        <v>70</v>
      </c>
      <c r="E892" s="83" t="s">
        <v>195</v>
      </c>
      <c r="F892" s="83"/>
      <c r="G892" s="86">
        <f>G896+G899+G895</f>
        <v>3825066</v>
      </c>
      <c r="H892" s="86">
        <f t="shared" ref="H892" si="213">H896+H899+H895</f>
        <v>3813824.12</v>
      </c>
      <c r="I892" s="171"/>
      <c r="J892" s="195"/>
      <c r="K892" s="195"/>
      <c r="L892" s="195"/>
      <c r="M892" s="195"/>
      <c r="N892" s="195"/>
      <c r="O892" s="195"/>
      <c r="P892" s="195"/>
      <c r="Q892" s="195"/>
    </row>
    <row r="893" spans="1:17" s="164" customFormat="1" ht="33.75" customHeight="1">
      <c r="A893" s="135" t="s">
        <v>1092</v>
      </c>
      <c r="B893" s="83" t="s">
        <v>94</v>
      </c>
      <c r="C893" s="83" t="s">
        <v>26</v>
      </c>
      <c r="D893" s="83" t="s">
        <v>70</v>
      </c>
      <c r="E893" s="83" t="s">
        <v>1091</v>
      </c>
      <c r="F893" s="83"/>
      <c r="G893" s="86">
        <f>G894</f>
        <v>1304678.8</v>
      </c>
      <c r="H893" s="86">
        <f t="shared" ref="H893" si="214">H894</f>
        <v>1293436.92</v>
      </c>
      <c r="I893" s="171"/>
      <c r="J893" s="195"/>
      <c r="K893" s="195"/>
      <c r="L893" s="195"/>
      <c r="M893" s="195"/>
      <c r="N893" s="195"/>
      <c r="O893" s="195"/>
      <c r="P893" s="195"/>
      <c r="Q893" s="195"/>
    </row>
    <row r="894" spans="1:17" s="218" customFormat="1" ht="28.5" customHeight="1">
      <c r="A894" s="81" t="s">
        <v>30</v>
      </c>
      <c r="B894" s="83" t="s">
        <v>94</v>
      </c>
      <c r="C894" s="83" t="s">
        <v>26</v>
      </c>
      <c r="D894" s="83" t="s">
        <v>70</v>
      </c>
      <c r="E894" s="83" t="s">
        <v>1091</v>
      </c>
      <c r="F894" s="83" t="s">
        <v>31</v>
      </c>
      <c r="G894" s="86">
        <f>G895</f>
        <v>1304678.8</v>
      </c>
      <c r="H894" s="86">
        <f>H895</f>
        <v>1293436.92</v>
      </c>
      <c r="I894" s="171"/>
      <c r="J894" s="194"/>
      <c r="K894" s="194"/>
      <c r="L894" s="194"/>
      <c r="M894" s="194"/>
      <c r="N894" s="194"/>
      <c r="O894" s="194"/>
      <c r="P894" s="194"/>
      <c r="Q894" s="194"/>
    </row>
    <row r="895" spans="1:17" s="218" customFormat="1">
      <c r="A895" s="81" t="s">
        <v>32</v>
      </c>
      <c r="B895" s="83" t="s">
        <v>94</v>
      </c>
      <c r="C895" s="83" t="s">
        <v>26</v>
      </c>
      <c r="D895" s="83" t="s">
        <v>70</v>
      </c>
      <c r="E895" s="83" t="s">
        <v>1091</v>
      </c>
      <c r="F895" s="83" t="s">
        <v>33</v>
      </c>
      <c r="G895" s="86">
        <f>1363506-58827.2</f>
        <v>1304678.8</v>
      </c>
      <c r="H895" s="86">
        <v>1293436.92</v>
      </c>
      <c r="I895" s="171"/>
      <c r="J895" s="196"/>
      <c r="K895" s="194"/>
      <c r="L895" s="194"/>
      <c r="M895" s="194"/>
      <c r="N895" s="194"/>
      <c r="O895" s="194"/>
      <c r="P895" s="194"/>
      <c r="Q895" s="194"/>
    </row>
    <row r="896" spans="1:17" s="164" customFormat="1" ht="43.5" customHeight="1">
      <c r="A896" s="135" t="s">
        <v>1093</v>
      </c>
      <c r="B896" s="83" t="s">
        <v>94</v>
      </c>
      <c r="C896" s="83" t="s">
        <v>26</v>
      </c>
      <c r="D896" s="83" t="s">
        <v>70</v>
      </c>
      <c r="E896" s="83" t="s">
        <v>1094</v>
      </c>
      <c r="F896" s="83"/>
      <c r="G896" s="86">
        <f>G897</f>
        <v>58827.199999999997</v>
      </c>
      <c r="H896" s="86">
        <f t="shared" ref="H896" si="215">H897</f>
        <v>58827.199999999997</v>
      </c>
      <c r="I896" s="171"/>
      <c r="J896" s="195"/>
      <c r="K896" s="195"/>
      <c r="L896" s="195"/>
      <c r="M896" s="195"/>
      <c r="N896" s="195"/>
      <c r="O896" s="195"/>
      <c r="P896" s="195"/>
      <c r="Q896" s="195"/>
    </row>
    <row r="897" spans="1:19" s="218" customFormat="1" ht="28.5" customHeight="1">
      <c r="A897" s="81" t="s">
        <v>30</v>
      </c>
      <c r="B897" s="83" t="s">
        <v>94</v>
      </c>
      <c r="C897" s="83" t="s">
        <v>26</v>
      </c>
      <c r="D897" s="83" t="s">
        <v>70</v>
      </c>
      <c r="E897" s="83" t="s">
        <v>1094</v>
      </c>
      <c r="F897" s="83" t="s">
        <v>31</v>
      </c>
      <c r="G897" s="86">
        <f>G898</f>
        <v>58827.199999999997</v>
      </c>
      <c r="H897" s="86">
        <f>H898</f>
        <v>58827.199999999997</v>
      </c>
      <c r="I897" s="171"/>
      <c r="J897" s="194"/>
      <c r="K897" s="194"/>
      <c r="L897" s="194"/>
      <c r="M897" s="194"/>
      <c r="N897" s="194"/>
      <c r="O897" s="194"/>
      <c r="P897" s="194"/>
      <c r="Q897" s="194"/>
    </row>
    <row r="898" spans="1:19" s="218" customFormat="1">
      <c r="A898" s="81" t="s">
        <v>32</v>
      </c>
      <c r="B898" s="83" t="s">
        <v>94</v>
      </c>
      <c r="C898" s="83" t="s">
        <v>26</v>
      </c>
      <c r="D898" s="83" t="s">
        <v>70</v>
      </c>
      <c r="E898" s="83" t="s">
        <v>1094</v>
      </c>
      <c r="F898" s="83" t="s">
        <v>33</v>
      </c>
      <c r="G898" s="86">
        <v>58827.199999999997</v>
      </c>
      <c r="H898" s="86">
        <v>58827.199999999997</v>
      </c>
      <c r="I898" s="171"/>
      <c r="J898" s="196"/>
      <c r="K898" s="194"/>
      <c r="L898" s="194"/>
      <c r="M898" s="194"/>
      <c r="N898" s="194"/>
      <c r="O898" s="194"/>
      <c r="P898" s="194"/>
      <c r="Q898" s="194"/>
    </row>
    <row r="899" spans="1:19" s="28" customFormat="1" ht="35.25" customHeight="1">
      <c r="A899" s="135" t="s">
        <v>613</v>
      </c>
      <c r="B899" s="83" t="s">
        <v>94</v>
      </c>
      <c r="C899" s="83" t="s">
        <v>26</v>
      </c>
      <c r="D899" s="83" t="s">
        <v>70</v>
      </c>
      <c r="E899" s="83" t="s">
        <v>541</v>
      </c>
      <c r="F899" s="83"/>
      <c r="G899" s="86">
        <f>G900</f>
        <v>2461560</v>
      </c>
      <c r="H899" s="86">
        <f t="shared" ref="H899" si="216">H900</f>
        <v>2461560</v>
      </c>
      <c r="I899" s="171"/>
      <c r="J899" s="195"/>
      <c r="K899" s="195"/>
      <c r="L899" s="195"/>
      <c r="M899" s="195"/>
      <c r="N899" s="195"/>
      <c r="O899" s="195"/>
      <c r="P899" s="195"/>
      <c r="Q899" s="195"/>
    </row>
    <row r="900" spans="1:19" s="32" customFormat="1" ht="28.5" customHeight="1">
      <c r="A900" s="81" t="s">
        <v>30</v>
      </c>
      <c r="B900" s="83" t="s">
        <v>94</v>
      </c>
      <c r="C900" s="83" t="s">
        <v>26</v>
      </c>
      <c r="D900" s="83" t="s">
        <v>70</v>
      </c>
      <c r="E900" s="83" t="s">
        <v>541</v>
      </c>
      <c r="F900" s="83" t="s">
        <v>31</v>
      </c>
      <c r="G900" s="86">
        <f>G901</f>
        <v>2461560</v>
      </c>
      <c r="H900" s="86">
        <f>H901</f>
        <v>2461560</v>
      </c>
      <c r="I900" s="171"/>
      <c r="J900" s="194"/>
      <c r="K900" s="194"/>
      <c r="L900" s="194"/>
      <c r="M900" s="194"/>
      <c r="N900" s="194"/>
      <c r="O900" s="194"/>
      <c r="P900" s="194"/>
      <c r="Q900" s="194"/>
    </row>
    <row r="901" spans="1:19" s="32" customFormat="1">
      <c r="A901" s="81" t="s">
        <v>32</v>
      </c>
      <c r="B901" s="83" t="s">
        <v>94</v>
      </c>
      <c r="C901" s="83" t="s">
        <v>26</v>
      </c>
      <c r="D901" s="83" t="s">
        <v>70</v>
      </c>
      <c r="E901" s="83" t="s">
        <v>541</v>
      </c>
      <c r="F901" s="83" t="s">
        <v>33</v>
      </c>
      <c r="G901" s="86">
        <v>2461560</v>
      </c>
      <c r="H901" s="86">
        <v>2461560</v>
      </c>
      <c r="I901" s="171"/>
      <c r="J901" s="196"/>
      <c r="K901" s="194"/>
      <c r="L901" s="194"/>
      <c r="M901" s="194"/>
      <c r="N901" s="194"/>
      <c r="O901" s="194"/>
      <c r="P901" s="194"/>
      <c r="Q901" s="194"/>
    </row>
    <row r="902" spans="1:19" s="32" customFormat="1" ht="38.25">
      <c r="A902" s="81" t="s">
        <v>455</v>
      </c>
      <c r="B902" s="145">
        <v>774</v>
      </c>
      <c r="C902" s="83" t="s">
        <v>26</v>
      </c>
      <c r="D902" s="83" t="s">
        <v>70</v>
      </c>
      <c r="E902" s="83" t="s">
        <v>454</v>
      </c>
      <c r="F902" s="83"/>
      <c r="G902" s="86">
        <f t="shared" ref="G902:H904" si="217">G903</f>
        <v>364370</v>
      </c>
      <c r="H902" s="86">
        <f t="shared" si="217"/>
        <v>364370</v>
      </c>
      <c r="I902" s="171"/>
      <c r="J902" s="196"/>
      <c r="K902" s="194"/>
      <c r="L902" s="194"/>
      <c r="M902" s="194"/>
      <c r="N902" s="194"/>
      <c r="O902" s="194"/>
      <c r="P902" s="194"/>
      <c r="Q902" s="194"/>
    </row>
    <row r="903" spans="1:19" s="32" customFormat="1" ht="25.5">
      <c r="A903" s="81" t="s">
        <v>453</v>
      </c>
      <c r="B903" s="145">
        <v>774</v>
      </c>
      <c r="C903" s="83" t="s">
        <v>26</v>
      </c>
      <c r="D903" s="83" t="s">
        <v>70</v>
      </c>
      <c r="E903" s="83" t="s">
        <v>1016</v>
      </c>
      <c r="F903" s="83"/>
      <c r="G903" s="86">
        <f t="shared" si="217"/>
        <v>364370</v>
      </c>
      <c r="H903" s="86">
        <f t="shared" si="217"/>
        <v>364370</v>
      </c>
      <c r="I903" s="171"/>
      <c r="J903" s="196"/>
      <c r="K903" s="194"/>
      <c r="L903" s="194"/>
      <c r="M903" s="194"/>
      <c r="N903" s="194"/>
      <c r="O903" s="194"/>
      <c r="P903" s="194"/>
      <c r="Q903" s="194"/>
    </row>
    <row r="904" spans="1:19" s="32" customFormat="1" ht="25.5">
      <c r="A904" s="81" t="s">
        <v>30</v>
      </c>
      <c r="B904" s="145">
        <v>774</v>
      </c>
      <c r="C904" s="83" t="s">
        <v>26</v>
      </c>
      <c r="D904" s="83" t="s">
        <v>70</v>
      </c>
      <c r="E904" s="83" t="s">
        <v>1016</v>
      </c>
      <c r="F904" s="83" t="s">
        <v>31</v>
      </c>
      <c r="G904" s="86">
        <f t="shared" si="217"/>
        <v>364370</v>
      </c>
      <c r="H904" s="86">
        <f t="shared" si="217"/>
        <v>364370</v>
      </c>
      <c r="I904" s="171"/>
      <c r="J904" s="196"/>
      <c r="K904" s="194"/>
      <c r="L904" s="194"/>
      <c r="M904" s="194"/>
      <c r="N904" s="194"/>
      <c r="O904" s="194"/>
      <c r="P904" s="194"/>
      <c r="Q904" s="194"/>
    </row>
    <row r="905" spans="1:19" s="32" customFormat="1" ht="21" customHeight="1">
      <c r="A905" s="81" t="s">
        <v>32</v>
      </c>
      <c r="B905" s="145">
        <v>774</v>
      </c>
      <c r="C905" s="83" t="s">
        <v>26</v>
      </c>
      <c r="D905" s="83" t="s">
        <v>70</v>
      </c>
      <c r="E905" s="83" t="s">
        <v>1016</v>
      </c>
      <c r="F905" s="83" t="s">
        <v>33</v>
      </c>
      <c r="G905" s="86">
        <v>364370</v>
      </c>
      <c r="H905" s="86">
        <v>364370</v>
      </c>
      <c r="I905" s="171"/>
      <c r="J905" s="196"/>
      <c r="K905" s="194"/>
      <c r="L905" s="194"/>
      <c r="M905" s="194"/>
      <c r="N905" s="194"/>
      <c r="O905" s="194"/>
      <c r="P905" s="194"/>
      <c r="Q905" s="194"/>
    </row>
    <row r="906" spans="1:19" s="157" customFormat="1" ht="34.5" customHeight="1">
      <c r="A906" s="135" t="s">
        <v>169</v>
      </c>
      <c r="B906" s="83" t="s">
        <v>94</v>
      </c>
      <c r="C906" s="83" t="s">
        <v>26</v>
      </c>
      <c r="D906" s="83" t="s">
        <v>70</v>
      </c>
      <c r="E906" s="83" t="s">
        <v>233</v>
      </c>
      <c r="F906" s="155"/>
      <c r="G906" s="86">
        <f>G907</f>
        <v>0</v>
      </c>
      <c r="H906" s="86">
        <f t="shared" ref="H906:H907" si="218">H907</f>
        <v>0</v>
      </c>
      <c r="I906" s="156"/>
      <c r="O906" s="156"/>
      <c r="P906" s="156"/>
      <c r="Q906" s="156"/>
      <c r="R906" s="156"/>
      <c r="S906" s="156"/>
    </row>
    <row r="907" spans="1:19" ht="18" customHeight="1">
      <c r="A907" s="81" t="s">
        <v>30</v>
      </c>
      <c r="B907" s="83" t="s">
        <v>94</v>
      </c>
      <c r="C907" s="83" t="s">
        <v>26</v>
      </c>
      <c r="D907" s="83" t="s">
        <v>70</v>
      </c>
      <c r="E907" s="83" t="s">
        <v>275</v>
      </c>
      <c r="F907" s="83" t="s">
        <v>31</v>
      </c>
      <c r="G907" s="86">
        <f>G908</f>
        <v>0</v>
      </c>
      <c r="H907" s="86">
        <f t="shared" si="218"/>
        <v>0</v>
      </c>
      <c r="I907" s="89"/>
      <c r="J907" s="1"/>
      <c r="K907" s="1"/>
      <c r="L907" s="1"/>
      <c r="M907" s="1"/>
      <c r="N907" s="1"/>
      <c r="O907" s="2"/>
      <c r="P907" s="2"/>
      <c r="Q907" s="2"/>
      <c r="R907" s="2"/>
      <c r="S907" s="2"/>
    </row>
    <row r="908" spans="1:19" ht="18" customHeight="1">
      <c r="A908" s="81" t="s">
        <v>32</v>
      </c>
      <c r="B908" s="83" t="s">
        <v>94</v>
      </c>
      <c r="C908" s="83" t="s">
        <v>26</v>
      </c>
      <c r="D908" s="83" t="s">
        <v>70</v>
      </c>
      <c r="E908" s="83" t="s">
        <v>275</v>
      </c>
      <c r="F908" s="83" t="s">
        <v>33</v>
      </c>
      <c r="G908" s="86">
        <f>400000-400000</f>
        <v>0</v>
      </c>
      <c r="H908" s="86">
        <v>0</v>
      </c>
      <c r="I908" s="89"/>
      <c r="J908" s="1"/>
      <c r="K908" s="1"/>
      <c r="L908" s="1"/>
      <c r="M908" s="1"/>
      <c r="N908" s="1"/>
      <c r="O908" s="2"/>
      <c r="P908" s="2"/>
      <c r="Q908" s="2"/>
      <c r="R908" s="2"/>
      <c r="S908" s="2"/>
    </row>
    <row r="909" spans="1:19">
      <c r="A909" s="81" t="s">
        <v>281</v>
      </c>
      <c r="B909" s="83" t="s">
        <v>94</v>
      </c>
      <c r="C909" s="83" t="s">
        <v>26</v>
      </c>
      <c r="D909" s="83" t="s">
        <v>26</v>
      </c>
      <c r="E909" s="83"/>
      <c r="F909" s="83"/>
      <c r="G909" s="86">
        <f>G910+G957</f>
        <v>5100412.5599999996</v>
      </c>
      <c r="H909" s="86">
        <f>H910+H957</f>
        <v>5045275</v>
      </c>
      <c r="I909" s="171"/>
    </row>
    <row r="910" spans="1:19" s="28" customFormat="1" ht="25.5">
      <c r="A910" s="81" t="s">
        <v>473</v>
      </c>
      <c r="B910" s="83" t="s">
        <v>94</v>
      </c>
      <c r="C910" s="83" t="s">
        <v>26</v>
      </c>
      <c r="D910" s="83" t="s">
        <v>26</v>
      </c>
      <c r="E910" s="83" t="s">
        <v>189</v>
      </c>
      <c r="F910" s="163"/>
      <c r="G910" s="86">
        <f>G911+G926</f>
        <v>5072468.2399999993</v>
      </c>
      <c r="H910" s="86">
        <f>H911+H926</f>
        <v>5017330.68</v>
      </c>
      <c r="I910" s="171"/>
      <c r="J910" s="195"/>
      <c r="K910" s="195"/>
      <c r="L910" s="195"/>
      <c r="M910" s="195"/>
      <c r="N910" s="195"/>
      <c r="O910" s="195"/>
      <c r="P910" s="195"/>
      <c r="Q910" s="195"/>
    </row>
    <row r="911" spans="1:19" s="18" customFormat="1" ht="21.75" customHeight="1">
      <c r="A911" s="131" t="s">
        <v>119</v>
      </c>
      <c r="B911" s="83" t="s">
        <v>94</v>
      </c>
      <c r="C911" s="83" t="s">
        <v>26</v>
      </c>
      <c r="D911" s="83" t="s">
        <v>26</v>
      </c>
      <c r="E911" s="83" t="s">
        <v>190</v>
      </c>
      <c r="F911" s="83"/>
      <c r="G911" s="86">
        <f>G912+G917+G927+G920+G923+G933+G941+G946+G938+G954+G930+G951</f>
        <v>5072468.2399999993</v>
      </c>
      <c r="H911" s="86">
        <f>H912+H917+H927+H920+H923+H933+H941+H946+H938+H954+H930+H951</f>
        <v>5017330.68</v>
      </c>
      <c r="I911" s="171"/>
      <c r="J911" s="191"/>
      <c r="K911" s="191"/>
      <c r="L911" s="191"/>
      <c r="M911" s="191"/>
      <c r="N911" s="191"/>
      <c r="O911" s="191"/>
      <c r="P911" s="191"/>
      <c r="Q911" s="191"/>
    </row>
    <row r="912" spans="1:19" s="18" customFormat="1" ht="52.5" customHeight="1">
      <c r="A912" s="131" t="s">
        <v>127</v>
      </c>
      <c r="B912" s="83" t="s">
        <v>94</v>
      </c>
      <c r="C912" s="83" t="s">
        <v>26</v>
      </c>
      <c r="D912" s="83" t="s">
        <v>26</v>
      </c>
      <c r="E912" s="83" t="s">
        <v>191</v>
      </c>
      <c r="F912" s="83"/>
      <c r="G912" s="86">
        <f>G913+G915</f>
        <v>4369412.5599999996</v>
      </c>
      <c r="H912" s="86">
        <f>H913+H915</f>
        <v>4314276</v>
      </c>
      <c r="I912" s="171"/>
      <c r="J912" s="191"/>
      <c r="K912" s="191"/>
      <c r="L912" s="191"/>
      <c r="M912" s="191"/>
      <c r="N912" s="191"/>
      <c r="O912" s="191"/>
      <c r="P912" s="191"/>
      <c r="Q912" s="191"/>
    </row>
    <row r="913" spans="1:17" s="18" customFormat="1" ht="25.5" hidden="1">
      <c r="A913" s="81" t="s">
        <v>36</v>
      </c>
      <c r="B913" s="83" t="s">
        <v>94</v>
      </c>
      <c r="C913" s="83" t="s">
        <v>26</v>
      </c>
      <c r="D913" s="83" t="s">
        <v>26</v>
      </c>
      <c r="E913" s="83" t="s">
        <v>135</v>
      </c>
      <c r="F913" s="83" t="s">
        <v>37</v>
      </c>
      <c r="G913" s="86">
        <f>G914</f>
        <v>0</v>
      </c>
      <c r="H913" s="86">
        <f>H914</f>
        <v>0</v>
      </c>
      <c r="I913" s="171"/>
      <c r="J913" s="191"/>
      <c r="K913" s="191"/>
      <c r="L913" s="191"/>
      <c r="M913" s="191"/>
      <c r="N913" s="191"/>
      <c r="O913" s="191"/>
      <c r="P913" s="191"/>
      <c r="Q913" s="191"/>
    </row>
    <row r="914" spans="1:17" s="18" customFormat="1" ht="25.5" hidden="1">
      <c r="A914" s="81" t="s">
        <v>38</v>
      </c>
      <c r="B914" s="83" t="s">
        <v>94</v>
      </c>
      <c r="C914" s="83" t="s">
        <v>26</v>
      </c>
      <c r="D914" s="83" t="s">
        <v>26</v>
      </c>
      <c r="E914" s="83" t="s">
        <v>135</v>
      </c>
      <c r="F914" s="83" t="s">
        <v>39</v>
      </c>
      <c r="G914" s="86"/>
      <c r="H914" s="86"/>
      <c r="I914" s="171"/>
      <c r="J914" s="191"/>
      <c r="K914" s="191"/>
      <c r="L914" s="191"/>
      <c r="M914" s="191"/>
      <c r="N914" s="191"/>
      <c r="O914" s="191"/>
      <c r="P914" s="191"/>
      <c r="Q914" s="191"/>
    </row>
    <row r="915" spans="1:17" s="18" customFormat="1" ht="25.5">
      <c r="A915" s="81" t="s">
        <v>30</v>
      </c>
      <c r="B915" s="83" t="s">
        <v>94</v>
      </c>
      <c r="C915" s="83" t="s">
        <v>26</v>
      </c>
      <c r="D915" s="83" t="s">
        <v>26</v>
      </c>
      <c r="E915" s="83" t="s">
        <v>191</v>
      </c>
      <c r="F915" s="83" t="s">
        <v>31</v>
      </c>
      <c r="G915" s="86">
        <f>G916</f>
        <v>4369412.5599999996</v>
      </c>
      <c r="H915" s="86">
        <f>H916</f>
        <v>4314276</v>
      </c>
      <c r="I915" s="171"/>
      <c r="J915" s="191"/>
      <c r="K915" s="191"/>
      <c r="L915" s="191"/>
      <c r="M915" s="191"/>
      <c r="N915" s="191"/>
      <c r="O915" s="191"/>
      <c r="P915" s="191"/>
      <c r="Q915" s="191"/>
    </row>
    <row r="916" spans="1:17" s="18" customFormat="1" ht="13.5" customHeight="1">
      <c r="A916" s="81" t="s">
        <v>32</v>
      </c>
      <c r="B916" s="83" t="s">
        <v>94</v>
      </c>
      <c r="C916" s="83" t="s">
        <v>26</v>
      </c>
      <c r="D916" s="83" t="s">
        <v>26</v>
      </c>
      <c r="E916" s="83" t="s">
        <v>191</v>
      </c>
      <c r="F916" s="83" t="s">
        <v>33</v>
      </c>
      <c r="G916" s="86">
        <v>4369412.5599999996</v>
      </c>
      <c r="H916" s="86">
        <v>4314276</v>
      </c>
      <c r="I916" s="171"/>
      <c r="J916" s="191"/>
      <c r="K916" s="191"/>
      <c r="L916" s="191"/>
      <c r="M916" s="191"/>
      <c r="N916" s="191"/>
      <c r="O916" s="191"/>
      <c r="P916" s="191"/>
      <c r="Q916" s="191"/>
    </row>
    <row r="917" spans="1:17" s="18" customFormat="1" ht="61.5" customHeight="1">
      <c r="A917" s="131" t="s">
        <v>351</v>
      </c>
      <c r="B917" s="83" t="s">
        <v>94</v>
      </c>
      <c r="C917" s="83" t="s">
        <v>26</v>
      </c>
      <c r="D917" s="83" t="s">
        <v>26</v>
      </c>
      <c r="E917" s="83" t="s">
        <v>192</v>
      </c>
      <c r="F917" s="83"/>
      <c r="G917" s="86">
        <f>G918</f>
        <v>362055.67999999999</v>
      </c>
      <c r="H917" s="86">
        <f t="shared" ref="H917" si="219">H918</f>
        <v>362054.68</v>
      </c>
      <c r="I917" s="171"/>
      <c r="J917" s="191"/>
      <c r="K917" s="191"/>
      <c r="L917" s="191"/>
      <c r="M917" s="191"/>
      <c r="N917" s="191"/>
      <c r="O917" s="191"/>
      <c r="P917" s="191"/>
      <c r="Q917" s="191"/>
    </row>
    <row r="918" spans="1:17" s="18" customFormat="1" ht="25.5">
      <c r="A918" s="81" t="s">
        <v>30</v>
      </c>
      <c r="B918" s="83" t="s">
        <v>94</v>
      </c>
      <c r="C918" s="83" t="s">
        <v>26</v>
      </c>
      <c r="D918" s="83" t="s">
        <v>26</v>
      </c>
      <c r="E918" s="83" t="s">
        <v>192</v>
      </c>
      <c r="F918" s="83" t="s">
        <v>31</v>
      </c>
      <c r="G918" s="86">
        <f>G919</f>
        <v>362055.67999999999</v>
      </c>
      <c r="H918" s="86">
        <f>H919</f>
        <v>362054.68</v>
      </c>
      <c r="I918" s="171"/>
      <c r="J918" s="191"/>
      <c r="K918" s="191"/>
      <c r="L918" s="191"/>
      <c r="M918" s="191"/>
      <c r="N918" s="191"/>
      <c r="O918" s="191"/>
      <c r="P918" s="191"/>
      <c r="Q918" s="191"/>
    </row>
    <row r="919" spans="1:17" s="18" customFormat="1">
      <c r="A919" s="81" t="s">
        <v>32</v>
      </c>
      <c r="B919" s="83" t="s">
        <v>94</v>
      </c>
      <c r="C919" s="83" t="s">
        <v>26</v>
      </c>
      <c r="D919" s="83" t="s">
        <v>26</v>
      </c>
      <c r="E919" s="83" t="s">
        <v>192</v>
      </c>
      <c r="F919" s="83" t="s">
        <v>33</v>
      </c>
      <c r="G919" s="86">
        <f>390000-27944.32</f>
        <v>362055.67999999999</v>
      </c>
      <c r="H919" s="86">
        <v>362054.68</v>
      </c>
      <c r="I919" s="171"/>
      <c r="J919" s="191"/>
      <c r="K919" s="191"/>
      <c r="L919" s="191"/>
      <c r="M919" s="191"/>
      <c r="N919" s="191"/>
      <c r="O919" s="191"/>
      <c r="P919" s="191"/>
      <c r="Q919" s="191"/>
    </row>
    <row r="920" spans="1:17" s="18" customFormat="1" ht="25.5" hidden="1">
      <c r="A920" s="81" t="s">
        <v>648</v>
      </c>
      <c r="B920" s="83" t="s">
        <v>94</v>
      </c>
      <c r="C920" s="83" t="s">
        <v>26</v>
      </c>
      <c r="D920" s="83" t="s">
        <v>26</v>
      </c>
      <c r="E920" s="83" t="s">
        <v>647</v>
      </c>
      <c r="F920" s="83"/>
      <c r="G920" s="86">
        <f>G921</f>
        <v>0</v>
      </c>
      <c r="H920" s="86">
        <f>H921</f>
        <v>0</v>
      </c>
      <c r="I920" s="171"/>
      <c r="J920" s="191"/>
      <c r="K920" s="191"/>
      <c r="L920" s="191"/>
      <c r="M920" s="191"/>
      <c r="N920" s="191"/>
      <c r="O920" s="191"/>
      <c r="P920" s="191"/>
      <c r="Q920" s="191"/>
    </row>
    <row r="921" spans="1:17" s="18" customFormat="1" ht="25.5" hidden="1">
      <c r="A921" s="81" t="s">
        <v>30</v>
      </c>
      <c r="B921" s="83" t="s">
        <v>94</v>
      </c>
      <c r="C921" s="83" t="s">
        <v>26</v>
      </c>
      <c r="D921" s="83" t="s">
        <v>26</v>
      </c>
      <c r="E921" s="83" t="s">
        <v>647</v>
      </c>
      <c r="F921" s="83" t="s">
        <v>31</v>
      </c>
      <c r="G921" s="86">
        <f>G922</f>
        <v>0</v>
      </c>
      <c r="H921" s="86"/>
      <c r="I921" s="171"/>
      <c r="J921" s="191"/>
      <c r="K921" s="191"/>
      <c r="L921" s="191"/>
      <c r="M921" s="191"/>
      <c r="N921" s="191"/>
      <c r="O921" s="191"/>
      <c r="P921" s="191"/>
      <c r="Q921" s="191"/>
    </row>
    <row r="922" spans="1:17" s="18" customFormat="1" hidden="1">
      <c r="A922" s="81" t="s">
        <v>32</v>
      </c>
      <c r="B922" s="83" t="s">
        <v>94</v>
      </c>
      <c r="C922" s="83" t="s">
        <v>26</v>
      </c>
      <c r="D922" s="83" t="s">
        <v>26</v>
      </c>
      <c r="E922" s="83" t="s">
        <v>647</v>
      </c>
      <c r="F922" s="83" t="s">
        <v>33</v>
      </c>
      <c r="G922" s="86"/>
      <c r="H922" s="86">
        <f>H923</f>
        <v>0</v>
      </c>
      <c r="I922" s="171"/>
      <c r="J922" s="191"/>
      <c r="K922" s="191"/>
      <c r="L922" s="191"/>
      <c r="M922" s="191"/>
      <c r="N922" s="191"/>
      <c r="O922" s="191"/>
      <c r="P922" s="191"/>
      <c r="Q922" s="191"/>
    </row>
    <row r="923" spans="1:17" s="18" customFormat="1" ht="51" hidden="1">
      <c r="A923" s="81" t="s">
        <v>424</v>
      </c>
      <c r="B923" s="83" t="s">
        <v>94</v>
      </c>
      <c r="C923" s="83" t="s">
        <v>26</v>
      </c>
      <c r="D923" s="83" t="s">
        <v>26</v>
      </c>
      <c r="E923" s="83" t="s">
        <v>423</v>
      </c>
      <c r="F923" s="83"/>
      <c r="G923" s="86">
        <f>G924</f>
        <v>0</v>
      </c>
      <c r="H923" s="86"/>
      <c r="I923" s="171"/>
      <c r="J923" s="191"/>
      <c r="K923" s="191"/>
      <c r="L923" s="191"/>
      <c r="M923" s="191"/>
      <c r="N923" s="191"/>
      <c r="O923" s="191"/>
      <c r="P923" s="191"/>
      <c r="Q923" s="191"/>
    </row>
    <row r="924" spans="1:17" s="18" customFormat="1" ht="25.5" hidden="1">
      <c r="A924" s="81" t="s">
        <v>30</v>
      </c>
      <c r="B924" s="83" t="s">
        <v>94</v>
      </c>
      <c r="C924" s="83" t="s">
        <v>26</v>
      </c>
      <c r="D924" s="83" t="s">
        <v>26</v>
      </c>
      <c r="E924" s="83" t="s">
        <v>423</v>
      </c>
      <c r="F924" s="83" t="s">
        <v>31</v>
      </c>
      <c r="G924" s="86">
        <f>G925</f>
        <v>0</v>
      </c>
      <c r="H924" s="86">
        <f>H925</f>
        <v>0</v>
      </c>
      <c r="I924" s="171"/>
      <c r="J924" s="191"/>
      <c r="K924" s="191"/>
      <c r="L924" s="191"/>
      <c r="M924" s="191"/>
      <c r="N924" s="191"/>
      <c r="O924" s="191"/>
      <c r="P924" s="191"/>
      <c r="Q924" s="191"/>
    </row>
    <row r="925" spans="1:17" s="18" customFormat="1" hidden="1">
      <c r="A925" s="81" t="s">
        <v>32</v>
      </c>
      <c r="B925" s="83" t="s">
        <v>94</v>
      </c>
      <c r="C925" s="83" t="s">
        <v>26</v>
      </c>
      <c r="D925" s="83" t="s">
        <v>26</v>
      </c>
      <c r="E925" s="83" t="s">
        <v>423</v>
      </c>
      <c r="F925" s="83" t="s">
        <v>33</v>
      </c>
      <c r="G925" s="86"/>
      <c r="H925" s="86"/>
      <c r="I925" s="171"/>
      <c r="J925" s="191"/>
      <c r="K925" s="191"/>
      <c r="L925" s="191"/>
      <c r="M925" s="191"/>
      <c r="N925" s="191"/>
      <c r="O925" s="191"/>
      <c r="P925" s="191"/>
      <c r="Q925" s="191"/>
    </row>
    <row r="926" spans="1:17" s="3" customFormat="1" ht="25.5" hidden="1">
      <c r="A926" s="81" t="s">
        <v>0</v>
      </c>
      <c r="B926" s="145">
        <v>774</v>
      </c>
      <c r="C926" s="83" t="s">
        <v>26</v>
      </c>
      <c r="D926" s="83" t="s">
        <v>26</v>
      </c>
      <c r="E926" s="83" t="s">
        <v>218</v>
      </c>
      <c r="F926" s="83"/>
      <c r="G926" s="86"/>
      <c r="H926" s="86"/>
      <c r="I926" s="171"/>
      <c r="J926" s="190"/>
      <c r="K926" s="190"/>
      <c r="L926" s="190"/>
      <c r="M926" s="190"/>
      <c r="N926" s="190"/>
      <c r="O926" s="190"/>
      <c r="P926" s="190"/>
      <c r="Q926" s="190"/>
    </row>
    <row r="927" spans="1:17" s="3" customFormat="1" ht="38.25" hidden="1">
      <c r="A927" s="81" t="s">
        <v>526</v>
      </c>
      <c r="B927" s="145">
        <v>774</v>
      </c>
      <c r="C927" s="83" t="s">
        <v>26</v>
      </c>
      <c r="D927" s="83" t="s">
        <v>26</v>
      </c>
      <c r="E927" s="83" t="s">
        <v>559</v>
      </c>
      <c r="F927" s="83"/>
      <c r="G927" s="86">
        <f t="shared" ref="G927:H931" si="220">G928</f>
        <v>0</v>
      </c>
      <c r="H927" s="86">
        <f t="shared" si="220"/>
        <v>0</v>
      </c>
      <c r="I927" s="171"/>
      <c r="J927" s="190"/>
      <c r="K927" s="190"/>
      <c r="L927" s="190"/>
      <c r="M927" s="190"/>
      <c r="N927" s="190"/>
      <c r="O927" s="190"/>
      <c r="P927" s="190"/>
      <c r="Q927" s="190"/>
    </row>
    <row r="928" spans="1:17" s="3" customFormat="1" ht="25.5" hidden="1">
      <c r="A928" s="81" t="s">
        <v>30</v>
      </c>
      <c r="B928" s="145">
        <v>774</v>
      </c>
      <c r="C928" s="83" t="s">
        <v>26</v>
      </c>
      <c r="D928" s="83" t="s">
        <v>26</v>
      </c>
      <c r="E928" s="83" t="s">
        <v>559</v>
      </c>
      <c r="F928" s="83" t="s">
        <v>31</v>
      </c>
      <c r="G928" s="86">
        <f t="shared" si="220"/>
        <v>0</v>
      </c>
      <c r="H928" s="86">
        <f t="shared" si="220"/>
        <v>0</v>
      </c>
      <c r="I928" s="171"/>
      <c r="J928" s="190"/>
      <c r="K928" s="190"/>
      <c r="L928" s="190"/>
      <c r="M928" s="190"/>
      <c r="N928" s="190"/>
      <c r="O928" s="190"/>
      <c r="P928" s="190"/>
      <c r="Q928" s="190"/>
    </row>
    <row r="929" spans="1:17" s="3" customFormat="1" ht="15" customHeight="1">
      <c r="A929" s="81" t="s">
        <v>32</v>
      </c>
      <c r="B929" s="145">
        <v>774</v>
      </c>
      <c r="C929" s="83" t="s">
        <v>26</v>
      </c>
      <c r="D929" s="83" t="s">
        <v>26</v>
      </c>
      <c r="E929" s="83" t="s">
        <v>559</v>
      </c>
      <c r="F929" s="83" t="s">
        <v>33</v>
      </c>
      <c r="G929" s="86"/>
      <c r="H929" s="86"/>
      <c r="I929" s="171"/>
      <c r="J929" s="190"/>
      <c r="K929" s="190"/>
      <c r="L929" s="190"/>
      <c r="M929" s="190"/>
      <c r="N929" s="190"/>
      <c r="O929" s="190"/>
      <c r="P929" s="190"/>
      <c r="Q929" s="190"/>
    </row>
    <row r="930" spans="1:17" s="3" customFormat="1" ht="25.5">
      <c r="A930" s="81" t="s">
        <v>298</v>
      </c>
      <c r="B930" s="145">
        <v>774</v>
      </c>
      <c r="C930" s="83" t="s">
        <v>26</v>
      </c>
      <c r="D930" s="83" t="s">
        <v>26</v>
      </c>
      <c r="E930" s="83" t="s">
        <v>580</v>
      </c>
      <c r="F930" s="83"/>
      <c r="G930" s="86">
        <f t="shared" si="220"/>
        <v>0</v>
      </c>
      <c r="H930" s="86">
        <f t="shared" si="220"/>
        <v>0</v>
      </c>
      <c r="I930" s="171"/>
      <c r="J930" s="190"/>
      <c r="K930" s="190"/>
      <c r="L930" s="190"/>
      <c r="M930" s="190"/>
      <c r="N930" s="190"/>
      <c r="O930" s="190"/>
      <c r="P930" s="190"/>
      <c r="Q930" s="190"/>
    </row>
    <row r="931" spans="1:17" s="3" customFormat="1" ht="25.5">
      <c r="A931" s="81" t="s">
        <v>30</v>
      </c>
      <c r="B931" s="145">
        <v>774</v>
      </c>
      <c r="C931" s="83" t="s">
        <v>26</v>
      </c>
      <c r="D931" s="83" t="s">
        <v>26</v>
      </c>
      <c r="E931" s="83" t="s">
        <v>580</v>
      </c>
      <c r="F931" s="83" t="s">
        <v>31</v>
      </c>
      <c r="G931" s="86">
        <f t="shared" si="220"/>
        <v>0</v>
      </c>
      <c r="H931" s="86">
        <f t="shared" si="220"/>
        <v>0</v>
      </c>
      <c r="I931" s="171"/>
      <c r="J931" s="190"/>
      <c r="K931" s="190"/>
      <c r="L931" s="190"/>
      <c r="M931" s="190"/>
      <c r="N931" s="190"/>
      <c r="O931" s="190"/>
      <c r="P931" s="190"/>
      <c r="Q931" s="190"/>
    </row>
    <row r="932" spans="1:17" s="3" customFormat="1">
      <c r="A932" s="81" t="s">
        <v>32</v>
      </c>
      <c r="B932" s="145">
        <v>774</v>
      </c>
      <c r="C932" s="83" t="s">
        <v>26</v>
      </c>
      <c r="D932" s="83" t="s">
        <v>26</v>
      </c>
      <c r="E932" s="83" t="s">
        <v>580</v>
      </c>
      <c r="F932" s="83" t="s">
        <v>33</v>
      </c>
      <c r="G932" s="86"/>
      <c r="H932" s="86"/>
      <c r="I932" s="171"/>
      <c r="J932" s="190"/>
      <c r="K932" s="190"/>
      <c r="L932" s="190"/>
      <c r="M932" s="190"/>
      <c r="N932" s="190"/>
      <c r="O932" s="190"/>
      <c r="P932" s="190"/>
      <c r="Q932" s="190"/>
    </row>
    <row r="933" spans="1:17" s="18" customFormat="1" ht="52.5" hidden="1" customHeight="1">
      <c r="A933" s="131" t="s">
        <v>759</v>
      </c>
      <c r="B933" s="83" t="s">
        <v>94</v>
      </c>
      <c r="C933" s="83" t="s">
        <v>26</v>
      </c>
      <c r="D933" s="83" t="s">
        <v>26</v>
      </c>
      <c r="E933" s="83" t="s">
        <v>758</v>
      </c>
      <c r="F933" s="83"/>
      <c r="G933" s="86">
        <f>G934+G936</f>
        <v>0</v>
      </c>
      <c r="H933" s="86">
        <f>H934+H936</f>
        <v>0</v>
      </c>
      <c r="I933" s="171"/>
      <c r="J933" s="191"/>
      <c r="K933" s="191"/>
      <c r="L933" s="191"/>
      <c r="M933" s="191"/>
      <c r="N933" s="191"/>
      <c r="O933" s="191"/>
      <c r="P933" s="191"/>
      <c r="Q933" s="191"/>
    </row>
    <row r="934" spans="1:17" s="18" customFormat="1" ht="25.5" hidden="1">
      <c r="A934" s="81" t="s">
        <v>36</v>
      </c>
      <c r="B934" s="83" t="s">
        <v>94</v>
      </c>
      <c r="C934" s="83" t="s">
        <v>26</v>
      </c>
      <c r="D934" s="83" t="s">
        <v>26</v>
      </c>
      <c r="E934" s="83" t="s">
        <v>135</v>
      </c>
      <c r="F934" s="83" t="s">
        <v>37</v>
      </c>
      <c r="G934" s="86">
        <f>G935</f>
        <v>0</v>
      </c>
      <c r="H934" s="86">
        <f>H935</f>
        <v>0</v>
      </c>
      <c r="I934" s="171"/>
      <c r="J934" s="191"/>
      <c r="K934" s="191"/>
      <c r="L934" s="191"/>
      <c r="M934" s="191"/>
      <c r="N934" s="191"/>
      <c r="O934" s="191"/>
      <c r="P934" s="191"/>
      <c r="Q934" s="191"/>
    </row>
    <row r="935" spans="1:17" s="18" customFormat="1" ht="25.5" hidden="1">
      <c r="A935" s="81" t="s">
        <v>38</v>
      </c>
      <c r="B935" s="83" t="s">
        <v>94</v>
      </c>
      <c r="C935" s="83" t="s">
        <v>26</v>
      </c>
      <c r="D935" s="83" t="s">
        <v>26</v>
      </c>
      <c r="E935" s="83" t="s">
        <v>135</v>
      </c>
      <c r="F935" s="83" t="s">
        <v>39</v>
      </c>
      <c r="G935" s="86"/>
      <c r="H935" s="86"/>
      <c r="I935" s="171"/>
      <c r="J935" s="191"/>
      <c r="K935" s="191"/>
      <c r="L935" s="191"/>
      <c r="M935" s="191"/>
      <c r="N935" s="191"/>
      <c r="O935" s="191"/>
      <c r="P935" s="191"/>
      <c r="Q935" s="191"/>
    </row>
    <row r="936" spans="1:17" s="18" customFormat="1" hidden="1">
      <c r="A936" s="81" t="s">
        <v>63</v>
      </c>
      <c r="B936" s="83" t="s">
        <v>94</v>
      </c>
      <c r="C936" s="83" t="s">
        <v>26</v>
      </c>
      <c r="D936" s="83" t="s">
        <v>26</v>
      </c>
      <c r="E936" s="83" t="s">
        <v>758</v>
      </c>
      <c r="F936" s="83" t="s">
        <v>64</v>
      </c>
      <c r="G936" s="86">
        <f>G937</f>
        <v>0</v>
      </c>
      <c r="H936" s="86">
        <f>H937</f>
        <v>0</v>
      </c>
      <c r="I936" s="171"/>
      <c r="J936" s="191"/>
      <c r="K936" s="191"/>
      <c r="L936" s="191"/>
      <c r="M936" s="191"/>
      <c r="N936" s="191"/>
      <c r="O936" s="191"/>
      <c r="P936" s="191"/>
      <c r="Q936" s="191"/>
    </row>
    <row r="937" spans="1:17" s="18" customFormat="1" ht="13.5" hidden="1" customHeight="1">
      <c r="A937" s="81" t="s">
        <v>180</v>
      </c>
      <c r="B937" s="83" t="s">
        <v>94</v>
      </c>
      <c r="C937" s="83" t="s">
        <v>26</v>
      </c>
      <c r="D937" s="83" t="s">
        <v>26</v>
      </c>
      <c r="E937" s="83" t="s">
        <v>758</v>
      </c>
      <c r="F937" s="83" t="s">
        <v>181</v>
      </c>
      <c r="G937" s="86">
        <f>1308000-1308000</f>
        <v>0</v>
      </c>
      <c r="H937" s="86"/>
      <c r="I937" s="171"/>
      <c r="J937" s="191"/>
      <c r="K937" s="191"/>
      <c r="L937" s="191"/>
      <c r="M937" s="191"/>
      <c r="N937" s="191"/>
      <c r="O937" s="191"/>
      <c r="P937" s="191"/>
      <c r="Q937" s="191"/>
    </row>
    <row r="938" spans="1:17" s="18" customFormat="1" ht="61.5" hidden="1" customHeight="1">
      <c r="A938" s="131" t="s">
        <v>424</v>
      </c>
      <c r="B938" s="83" t="s">
        <v>94</v>
      </c>
      <c r="C938" s="83" t="s">
        <v>26</v>
      </c>
      <c r="D938" s="83" t="s">
        <v>26</v>
      </c>
      <c r="E938" s="83" t="s">
        <v>423</v>
      </c>
      <c r="F938" s="83"/>
      <c r="G938" s="86">
        <f>G939</f>
        <v>0</v>
      </c>
      <c r="H938" s="86">
        <f t="shared" ref="H938" si="221">H939</f>
        <v>0</v>
      </c>
      <c r="I938" s="171"/>
      <c r="J938" s="191"/>
      <c r="K938" s="191"/>
      <c r="L938" s="191"/>
      <c r="M938" s="191"/>
      <c r="N938" s="191"/>
      <c r="O938" s="191"/>
      <c r="P938" s="191"/>
      <c r="Q938" s="191"/>
    </row>
    <row r="939" spans="1:17" s="18" customFormat="1" ht="25.5" hidden="1">
      <c r="A939" s="81" t="s">
        <v>30</v>
      </c>
      <c r="B939" s="83" t="s">
        <v>94</v>
      </c>
      <c r="C939" s="83" t="s">
        <v>26</v>
      </c>
      <c r="D939" s="83" t="s">
        <v>26</v>
      </c>
      <c r="E939" s="83" t="s">
        <v>423</v>
      </c>
      <c r="F939" s="83" t="s">
        <v>31</v>
      </c>
      <c r="G939" s="86">
        <f>G940</f>
        <v>0</v>
      </c>
      <c r="H939" s="86">
        <f>H940</f>
        <v>0</v>
      </c>
      <c r="I939" s="171"/>
      <c r="J939" s="191"/>
      <c r="K939" s="191"/>
      <c r="L939" s="191"/>
      <c r="M939" s="191"/>
      <c r="N939" s="191"/>
      <c r="O939" s="191"/>
      <c r="P939" s="191"/>
      <c r="Q939" s="191"/>
    </row>
    <row r="940" spans="1:17" s="18" customFormat="1" hidden="1">
      <c r="A940" s="81" t="s">
        <v>32</v>
      </c>
      <c r="B940" s="83" t="s">
        <v>94</v>
      </c>
      <c r="C940" s="83" t="s">
        <v>26</v>
      </c>
      <c r="D940" s="83" t="s">
        <v>26</v>
      </c>
      <c r="E940" s="83" t="s">
        <v>423</v>
      </c>
      <c r="F940" s="83" t="s">
        <v>33</v>
      </c>
      <c r="G940" s="86"/>
      <c r="H940" s="86"/>
      <c r="I940" s="171"/>
      <c r="J940" s="191"/>
      <c r="K940" s="191"/>
      <c r="L940" s="191"/>
      <c r="M940" s="191"/>
      <c r="N940" s="191"/>
      <c r="O940" s="191"/>
      <c r="P940" s="191"/>
      <c r="Q940" s="191"/>
    </row>
    <row r="941" spans="1:17" s="18" customFormat="1" ht="38.25" hidden="1" customHeight="1">
      <c r="A941" s="131" t="s">
        <v>761</v>
      </c>
      <c r="B941" s="83" t="s">
        <v>94</v>
      </c>
      <c r="C941" s="83" t="s">
        <v>26</v>
      </c>
      <c r="D941" s="83" t="s">
        <v>26</v>
      </c>
      <c r="E941" s="83" t="s">
        <v>760</v>
      </c>
      <c r="F941" s="83"/>
      <c r="G941" s="86">
        <f>G942+G944</f>
        <v>0</v>
      </c>
      <c r="H941" s="86">
        <f>H942+H944</f>
        <v>0</v>
      </c>
      <c r="I941" s="171"/>
      <c r="J941" s="191"/>
      <c r="K941" s="191"/>
      <c r="L941" s="191"/>
      <c r="M941" s="191"/>
      <c r="N941" s="191"/>
      <c r="O941" s="191"/>
      <c r="P941" s="191"/>
      <c r="Q941" s="191"/>
    </row>
    <row r="942" spans="1:17" s="18" customFormat="1" ht="25.5" hidden="1">
      <c r="A942" s="81" t="s">
        <v>36</v>
      </c>
      <c r="B942" s="83" t="s">
        <v>94</v>
      </c>
      <c r="C942" s="83" t="s">
        <v>26</v>
      </c>
      <c r="D942" s="83" t="s">
        <v>26</v>
      </c>
      <c r="E942" s="83" t="s">
        <v>135</v>
      </c>
      <c r="F942" s="83" t="s">
        <v>37</v>
      </c>
      <c r="G942" s="86">
        <f>G943</f>
        <v>0</v>
      </c>
      <c r="H942" s="86">
        <f>H943</f>
        <v>0</v>
      </c>
      <c r="I942" s="171"/>
      <c r="J942" s="191"/>
      <c r="K942" s="191"/>
      <c r="L942" s="191"/>
      <c r="M942" s="191"/>
      <c r="N942" s="191"/>
      <c r="O942" s="191"/>
      <c r="P942" s="191"/>
      <c r="Q942" s="191"/>
    </row>
    <row r="943" spans="1:17" s="18" customFormat="1" ht="25.5" hidden="1">
      <c r="A943" s="81" t="s">
        <v>38</v>
      </c>
      <c r="B943" s="83" t="s">
        <v>94</v>
      </c>
      <c r="C943" s="83" t="s">
        <v>26</v>
      </c>
      <c r="D943" s="83" t="s">
        <v>26</v>
      </c>
      <c r="E943" s="83" t="s">
        <v>135</v>
      </c>
      <c r="F943" s="83" t="s">
        <v>39</v>
      </c>
      <c r="G943" s="86"/>
      <c r="H943" s="86"/>
      <c r="I943" s="171"/>
      <c r="J943" s="191"/>
      <c r="K943" s="191"/>
      <c r="L943" s="191"/>
      <c r="M943" s="191"/>
      <c r="N943" s="191"/>
      <c r="O943" s="191"/>
      <c r="P943" s="191"/>
      <c r="Q943" s="191"/>
    </row>
    <row r="944" spans="1:17" s="18" customFormat="1" ht="25.5" hidden="1">
      <c r="A944" s="81" t="s">
        <v>30</v>
      </c>
      <c r="B944" s="83" t="s">
        <v>94</v>
      </c>
      <c r="C944" s="83" t="s">
        <v>26</v>
      </c>
      <c r="D944" s="83" t="s">
        <v>26</v>
      </c>
      <c r="E944" s="83" t="s">
        <v>760</v>
      </c>
      <c r="F944" s="83" t="s">
        <v>31</v>
      </c>
      <c r="G944" s="86">
        <f>G945</f>
        <v>0</v>
      </c>
      <c r="H944" s="86">
        <f>H945</f>
        <v>0</v>
      </c>
      <c r="I944" s="171"/>
      <c r="J944" s="191"/>
      <c r="K944" s="191"/>
      <c r="L944" s="191"/>
      <c r="M944" s="191"/>
      <c r="N944" s="191"/>
      <c r="O944" s="191"/>
      <c r="P944" s="191"/>
      <c r="Q944" s="191"/>
    </row>
    <row r="945" spans="1:17" s="18" customFormat="1" ht="13.5" hidden="1" customHeight="1">
      <c r="A945" s="81" t="s">
        <v>32</v>
      </c>
      <c r="B945" s="83" t="s">
        <v>94</v>
      </c>
      <c r="C945" s="83" t="s">
        <v>26</v>
      </c>
      <c r="D945" s="83" t="s">
        <v>26</v>
      </c>
      <c r="E945" s="83" t="s">
        <v>760</v>
      </c>
      <c r="F945" s="83" t="s">
        <v>33</v>
      </c>
      <c r="G945" s="86"/>
      <c r="H945" s="86"/>
      <c r="I945" s="171"/>
      <c r="J945" s="191"/>
      <c r="K945" s="191"/>
      <c r="L945" s="191"/>
      <c r="M945" s="191"/>
      <c r="N945" s="191"/>
      <c r="O945" s="191"/>
      <c r="P945" s="191"/>
      <c r="Q945" s="191"/>
    </row>
    <row r="946" spans="1:17" s="18" customFormat="1" ht="56.25" hidden="1" customHeight="1">
      <c r="A946" s="131" t="s">
        <v>763</v>
      </c>
      <c r="B946" s="83" t="s">
        <v>94</v>
      </c>
      <c r="C946" s="83" t="s">
        <v>26</v>
      </c>
      <c r="D946" s="83" t="s">
        <v>26</v>
      </c>
      <c r="E946" s="83" t="s">
        <v>762</v>
      </c>
      <c r="F946" s="83"/>
      <c r="G946" s="86">
        <f>G947+G949</f>
        <v>0</v>
      </c>
      <c r="H946" s="86">
        <f>H947+H949</f>
        <v>0</v>
      </c>
      <c r="I946" s="171"/>
      <c r="J946" s="191"/>
      <c r="K946" s="191"/>
      <c r="L946" s="191"/>
      <c r="M946" s="191"/>
      <c r="N946" s="191"/>
      <c r="O946" s="191"/>
      <c r="P946" s="191"/>
      <c r="Q946" s="191"/>
    </row>
    <row r="947" spans="1:17" s="18" customFormat="1" ht="25.5" hidden="1">
      <c r="A947" s="81" t="s">
        <v>36</v>
      </c>
      <c r="B947" s="83" t="s">
        <v>94</v>
      </c>
      <c r="C947" s="83" t="s">
        <v>26</v>
      </c>
      <c r="D947" s="83" t="s">
        <v>26</v>
      </c>
      <c r="E947" s="83" t="s">
        <v>135</v>
      </c>
      <c r="F947" s="83" t="s">
        <v>37</v>
      </c>
      <c r="G947" s="86">
        <f>G948</f>
        <v>0</v>
      </c>
      <c r="H947" s="86">
        <f>H948</f>
        <v>0</v>
      </c>
      <c r="I947" s="171"/>
      <c r="J947" s="191"/>
      <c r="K947" s="191"/>
      <c r="L947" s="191"/>
      <c r="M947" s="191"/>
      <c r="N947" s="191"/>
      <c r="O947" s="191"/>
      <c r="P947" s="191"/>
      <c r="Q947" s="191"/>
    </row>
    <row r="948" spans="1:17" s="18" customFormat="1" ht="25.5" hidden="1">
      <c r="A948" s="81" t="s">
        <v>38</v>
      </c>
      <c r="B948" s="83" t="s">
        <v>94</v>
      </c>
      <c r="C948" s="83" t="s">
        <v>26</v>
      </c>
      <c r="D948" s="83" t="s">
        <v>26</v>
      </c>
      <c r="E948" s="83" t="s">
        <v>135</v>
      </c>
      <c r="F948" s="83" t="s">
        <v>39</v>
      </c>
      <c r="G948" s="86"/>
      <c r="H948" s="86"/>
      <c r="I948" s="171"/>
      <c r="J948" s="191"/>
      <c r="K948" s="191"/>
      <c r="L948" s="191"/>
      <c r="M948" s="191"/>
      <c r="N948" s="191"/>
      <c r="O948" s="191"/>
      <c r="P948" s="191"/>
      <c r="Q948" s="191"/>
    </row>
    <row r="949" spans="1:17" s="18" customFormat="1" hidden="1">
      <c r="A949" s="81" t="s">
        <v>63</v>
      </c>
      <c r="B949" s="83" t="s">
        <v>94</v>
      </c>
      <c r="C949" s="83" t="s">
        <v>26</v>
      </c>
      <c r="D949" s="83" t="s">
        <v>26</v>
      </c>
      <c r="E949" s="83" t="s">
        <v>762</v>
      </c>
      <c r="F949" s="83" t="s">
        <v>64</v>
      </c>
      <c r="G949" s="86">
        <f>G950</f>
        <v>0</v>
      </c>
      <c r="H949" s="86">
        <f>H950</f>
        <v>0</v>
      </c>
      <c r="I949" s="171"/>
      <c r="J949" s="191"/>
      <c r="K949" s="191"/>
      <c r="L949" s="191"/>
      <c r="M949" s="191"/>
      <c r="N949" s="191"/>
      <c r="O949" s="191"/>
      <c r="P949" s="191"/>
      <c r="Q949" s="191"/>
    </row>
    <row r="950" spans="1:17" s="18" customFormat="1" ht="13.5" hidden="1" customHeight="1">
      <c r="A950" s="81" t="s">
        <v>180</v>
      </c>
      <c r="B950" s="83" t="s">
        <v>94</v>
      </c>
      <c r="C950" s="83" t="s">
        <v>26</v>
      </c>
      <c r="D950" s="83" t="s">
        <v>26</v>
      </c>
      <c r="E950" s="83" t="s">
        <v>762</v>
      </c>
      <c r="F950" s="83" t="s">
        <v>181</v>
      </c>
      <c r="G950" s="86">
        <f>572400-572400</f>
        <v>0</v>
      </c>
      <c r="H950" s="86"/>
      <c r="I950" s="171"/>
      <c r="J950" s="191"/>
      <c r="K950" s="191"/>
      <c r="L950" s="191"/>
      <c r="M950" s="191"/>
      <c r="N950" s="191"/>
      <c r="O950" s="191"/>
      <c r="P950" s="191"/>
      <c r="Q950" s="191"/>
    </row>
    <row r="951" spans="1:17" s="3" customFormat="1" ht="51">
      <c r="A951" s="81" t="s">
        <v>424</v>
      </c>
      <c r="B951" s="145">
        <v>774</v>
      </c>
      <c r="C951" s="83" t="s">
        <v>26</v>
      </c>
      <c r="D951" s="83" t="s">
        <v>26</v>
      </c>
      <c r="E951" s="83" t="s">
        <v>423</v>
      </c>
      <c r="F951" s="83"/>
      <c r="G951" s="86">
        <f t="shared" ref="G951:H952" si="222">G952</f>
        <v>341000</v>
      </c>
      <c r="H951" s="86">
        <f t="shared" si="222"/>
        <v>341000</v>
      </c>
      <c r="I951" s="171"/>
      <c r="J951" s="190"/>
      <c r="K951" s="190"/>
      <c r="L951" s="190"/>
      <c r="M951" s="190"/>
      <c r="N951" s="190"/>
      <c r="O951" s="190"/>
      <c r="P951" s="190"/>
      <c r="Q951" s="190"/>
    </row>
    <row r="952" spans="1:17" s="3" customFormat="1" ht="25.5">
      <c r="A952" s="81" t="s">
        <v>30</v>
      </c>
      <c r="B952" s="145">
        <v>774</v>
      </c>
      <c r="C952" s="83" t="s">
        <v>26</v>
      </c>
      <c r="D952" s="83" t="s">
        <v>26</v>
      </c>
      <c r="E952" s="83" t="s">
        <v>423</v>
      </c>
      <c r="F952" s="83" t="s">
        <v>31</v>
      </c>
      <c r="G952" s="86">
        <f t="shared" si="222"/>
        <v>341000</v>
      </c>
      <c r="H952" s="86">
        <f t="shared" si="222"/>
        <v>341000</v>
      </c>
      <c r="I952" s="171"/>
      <c r="J952" s="190"/>
      <c r="K952" s="190"/>
      <c r="L952" s="190"/>
      <c r="M952" s="190"/>
      <c r="N952" s="190"/>
      <c r="O952" s="190"/>
      <c r="P952" s="190"/>
      <c r="Q952" s="190"/>
    </row>
    <row r="953" spans="1:17" s="3" customFormat="1">
      <c r="A953" s="81" t="s">
        <v>32</v>
      </c>
      <c r="B953" s="145">
        <v>774</v>
      </c>
      <c r="C953" s="83" t="s">
        <v>26</v>
      </c>
      <c r="D953" s="83" t="s">
        <v>26</v>
      </c>
      <c r="E953" s="83" t="s">
        <v>423</v>
      </c>
      <c r="F953" s="83" t="s">
        <v>33</v>
      </c>
      <c r="G953" s="86">
        <v>341000</v>
      </c>
      <c r="H953" s="86">
        <v>341000</v>
      </c>
      <c r="I953" s="171"/>
      <c r="J953" s="190"/>
      <c r="K953" s="190"/>
      <c r="L953" s="190"/>
      <c r="M953" s="190"/>
      <c r="N953" s="190"/>
      <c r="O953" s="190"/>
      <c r="P953" s="190"/>
      <c r="Q953" s="190"/>
    </row>
    <row r="954" spans="1:17" s="18" customFormat="1" ht="61.5" customHeight="1">
      <c r="A954" s="131" t="s">
        <v>912</v>
      </c>
      <c r="B954" s="83" t="s">
        <v>94</v>
      </c>
      <c r="C954" s="83" t="s">
        <v>26</v>
      </c>
      <c r="D954" s="83" t="s">
        <v>26</v>
      </c>
      <c r="E954" s="83" t="s">
        <v>911</v>
      </c>
      <c r="F954" s="83"/>
      <c r="G954" s="86">
        <f>G955</f>
        <v>0</v>
      </c>
      <c r="H954" s="86">
        <f t="shared" ref="H954" si="223">H955</f>
        <v>0</v>
      </c>
      <c r="I954" s="171"/>
      <c r="J954" s="191"/>
      <c r="K954" s="191"/>
      <c r="L954" s="191"/>
      <c r="M954" s="191"/>
      <c r="N954" s="191"/>
      <c r="O954" s="191"/>
      <c r="P954" s="191"/>
      <c r="Q954" s="191"/>
    </row>
    <row r="955" spans="1:17" s="18" customFormat="1">
      <c r="A955" s="81" t="s">
        <v>63</v>
      </c>
      <c r="B955" s="83" t="s">
        <v>94</v>
      </c>
      <c r="C955" s="83" t="s">
        <v>26</v>
      </c>
      <c r="D955" s="83" t="s">
        <v>26</v>
      </c>
      <c r="E955" s="83" t="s">
        <v>911</v>
      </c>
      <c r="F955" s="83" t="s">
        <v>64</v>
      </c>
      <c r="G955" s="86">
        <f>G956</f>
        <v>0</v>
      </c>
      <c r="H955" s="86">
        <f>H956</f>
        <v>0</v>
      </c>
      <c r="I955" s="171"/>
      <c r="J955" s="191"/>
      <c r="K955" s="191"/>
      <c r="L955" s="191"/>
      <c r="M955" s="191"/>
      <c r="N955" s="191"/>
      <c r="O955" s="191"/>
      <c r="P955" s="191"/>
      <c r="Q955" s="191"/>
    </row>
    <row r="956" spans="1:17" s="18" customFormat="1">
      <c r="A956" s="81" t="s">
        <v>180</v>
      </c>
      <c r="B956" s="83" t="s">
        <v>94</v>
      </c>
      <c r="C956" s="83" t="s">
        <v>26</v>
      </c>
      <c r="D956" s="83" t="s">
        <v>26</v>
      </c>
      <c r="E956" s="83" t="s">
        <v>911</v>
      </c>
      <c r="F956" s="83" t="s">
        <v>181</v>
      </c>
      <c r="G956" s="86">
        <f>3000000-3000000</f>
        <v>0</v>
      </c>
      <c r="H956" s="86">
        <v>0</v>
      </c>
      <c r="I956" s="171"/>
      <c r="J956" s="191"/>
      <c r="K956" s="191"/>
      <c r="L956" s="191"/>
      <c r="M956" s="191"/>
      <c r="N956" s="191"/>
      <c r="O956" s="191"/>
      <c r="P956" s="191"/>
      <c r="Q956" s="191"/>
    </row>
    <row r="957" spans="1:17" s="18" customFormat="1" ht="25.5">
      <c r="A957" s="81" t="s">
        <v>476</v>
      </c>
      <c r="B957" s="83" t="s">
        <v>94</v>
      </c>
      <c r="C957" s="83" t="s">
        <v>26</v>
      </c>
      <c r="D957" s="83" t="s">
        <v>26</v>
      </c>
      <c r="E957" s="83" t="s">
        <v>197</v>
      </c>
      <c r="F957" s="83"/>
      <c r="G957" s="86">
        <f>G958</f>
        <v>27944.32</v>
      </c>
      <c r="H957" s="86">
        <f>H958</f>
        <v>27944.32</v>
      </c>
      <c r="I957" s="171"/>
      <c r="J957" s="191"/>
      <c r="K957" s="191"/>
      <c r="L957" s="191"/>
      <c r="M957" s="191"/>
      <c r="N957" s="191"/>
      <c r="O957" s="191"/>
      <c r="P957" s="191"/>
      <c r="Q957" s="191"/>
    </row>
    <row r="958" spans="1:17" s="18" customFormat="1" ht="38.25">
      <c r="A958" s="81" t="s">
        <v>1099</v>
      </c>
      <c r="B958" s="83" t="s">
        <v>94</v>
      </c>
      <c r="C958" s="83" t="s">
        <v>26</v>
      </c>
      <c r="D958" s="83" t="s">
        <v>26</v>
      </c>
      <c r="E958" s="83" t="s">
        <v>1100</v>
      </c>
      <c r="F958" s="83"/>
      <c r="G958" s="86">
        <f>G959</f>
        <v>27944.32</v>
      </c>
      <c r="H958" s="86">
        <f t="shared" ref="H958:H959" si="224">H959</f>
        <v>27944.32</v>
      </c>
      <c r="I958" s="171"/>
      <c r="J958" s="191"/>
      <c r="K958" s="191"/>
      <c r="L958" s="191"/>
      <c r="M958" s="191"/>
      <c r="N958" s="191"/>
      <c r="O958" s="191"/>
      <c r="P958" s="191"/>
      <c r="Q958" s="191"/>
    </row>
    <row r="959" spans="1:17" s="18" customFormat="1" ht="25.5">
      <c r="A959" s="81" t="s">
        <v>30</v>
      </c>
      <c r="B959" s="83" t="s">
        <v>94</v>
      </c>
      <c r="C959" s="83" t="s">
        <v>26</v>
      </c>
      <c r="D959" s="83" t="s">
        <v>26</v>
      </c>
      <c r="E959" s="83" t="s">
        <v>1100</v>
      </c>
      <c r="F959" s="83" t="s">
        <v>31</v>
      </c>
      <c r="G959" s="86">
        <f>G960</f>
        <v>27944.32</v>
      </c>
      <c r="H959" s="86">
        <f t="shared" si="224"/>
        <v>27944.32</v>
      </c>
      <c r="I959" s="171"/>
      <c r="J959" s="191"/>
      <c r="K959" s="191"/>
      <c r="L959" s="191"/>
      <c r="M959" s="191"/>
      <c r="N959" s="191"/>
      <c r="O959" s="191"/>
      <c r="P959" s="191"/>
      <c r="Q959" s="191"/>
    </row>
    <row r="960" spans="1:17" s="18" customFormat="1">
      <c r="A960" s="81" t="s">
        <v>32</v>
      </c>
      <c r="B960" s="83" t="s">
        <v>94</v>
      </c>
      <c r="C960" s="83" t="s">
        <v>26</v>
      </c>
      <c r="D960" s="83" t="s">
        <v>26</v>
      </c>
      <c r="E960" s="83" t="s">
        <v>1100</v>
      </c>
      <c r="F960" s="83" t="s">
        <v>33</v>
      </c>
      <c r="G960" s="86">
        <v>27944.32</v>
      </c>
      <c r="H960" s="86">
        <v>27944.32</v>
      </c>
      <c r="I960" s="171"/>
      <c r="J960" s="191"/>
      <c r="K960" s="191"/>
      <c r="L960" s="191"/>
      <c r="M960" s="191"/>
      <c r="N960" s="191"/>
      <c r="O960" s="191"/>
      <c r="P960" s="191"/>
      <c r="Q960" s="191"/>
    </row>
    <row r="961" spans="1:17">
      <c r="A961" s="81" t="s">
        <v>122</v>
      </c>
      <c r="B961" s="83" t="s">
        <v>94</v>
      </c>
      <c r="C961" s="83" t="s">
        <v>26</v>
      </c>
      <c r="D961" s="83" t="s">
        <v>123</v>
      </c>
      <c r="E961" s="83"/>
      <c r="F961" s="83"/>
      <c r="G961" s="86">
        <f>G963</f>
        <v>14987620.6</v>
      </c>
      <c r="H961" s="86">
        <f t="shared" ref="H961" si="225">H963</f>
        <v>14976199</v>
      </c>
      <c r="I961" s="171"/>
    </row>
    <row r="962" spans="1:17" ht="51" hidden="1">
      <c r="A962" s="131" t="s">
        <v>124</v>
      </c>
      <c r="B962" s="83" t="s">
        <v>94</v>
      </c>
      <c r="C962" s="83" t="s">
        <v>26</v>
      </c>
      <c r="D962" s="83" t="s">
        <v>123</v>
      </c>
      <c r="E962" s="83"/>
      <c r="F962" s="83"/>
      <c r="G962" s="86"/>
      <c r="H962" s="86"/>
      <c r="I962" s="171"/>
    </row>
    <row r="963" spans="1:17" ht="25.5">
      <c r="A963" s="81" t="s">
        <v>473</v>
      </c>
      <c r="B963" s="83" t="s">
        <v>94</v>
      </c>
      <c r="C963" s="83" t="s">
        <v>26</v>
      </c>
      <c r="D963" s="83" t="s">
        <v>123</v>
      </c>
      <c r="E963" s="83" t="s">
        <v>189</v>
      </c>
      <c r="F963" s="83"/>
      <c r="G963" s="86">
        <f>G978+G993+G997+G968</f>
        <v>14987620.6</v>
      </c>
      <c r="H963" s="86">
        <f>H978+H993+H997+H968</f>
        <v>14976199</v>
      </c>
      <c r="I963" s="171"/>
    </row>
    <row r="964" spans="1:17" ht="30.75" hidden="1" customHeight="1">
      <c r="A964" s="81"/>
      <c r="B964" s="83"/>
      <c r="C964" s="83"/>
      <c r="D964" s="83"/>
      <c r="E964" s="83"/>
      <c r="F964" s="83"/>
      <c r="G964" s="86"/>
      <c r="H964" s="86"/>
      <c r="I964" s="171"/>
    </row>
    <row r="965" spans="1:17" s="18" customFormat="1" hidden="1">
      <c r="A965" s="138"/>
      <c r="B965" s="83"/>
      <c r="C965" s="83"/>
      <c r="D965" s="83"/>
      <c r="E965" s="83"/>
      <c r="F965" s="83"/>
      <c r="G965" s="86"/>
      <c r="H965" s="86"/>
      <c r="I965" s="171"/>
      <c r="J965" s="191"/>
      <c r="K965" s="191"/>
      <c r="L965" s="191"/>
      <c r="M965" s="191"/>
      <c r="N965" s="191"/>
      <c r="O965" s="191"/>
      <c r="P965" s="191"/>
      <c r="Q965" s="191"/>
    </row>
    <row r="966" spans="1:17" s="18" customFormat="1" hidden="1">
      <c r="A966" s="81"/>
      <c r="B966" s="83"/>
      <c r="C966" s="83"/>
      <c r="D966" s="83"/>
      <c r="E966" s="83"/>
      <c r="F966" s="83"/>
      <c r="G966" s="86"/>
      <c r="H966" s="86"/>
      <c r="I966" s="171"/>
      <c r="J966" s="191"/>
      <c r="K966" s="191"/>
      <c r="L966" s="191"/>
      <c r="M966" s="191"/>
      <c r="N966" s="191"/>
      <c r="O966" s="191"/>
      <c r="P966" s="191"/>
      <c r="Q966" s="191"/>
    </row>
    <row r="967" spans="1:17" s="18" customFormat="1" hidden="1">
      <c r="A967" s="81"/>
      <c r="B967" s="83"/>
      <c r="C967" s="83"/>
      <c r="D967" s="83"/>
      <c r="E967" s="83"/>
      <c r="F967" s="83"/>
      <c r="G967" s="86"/>
      <c r="H967" s="86"/>
      <c r="I967" s="171"/>
      <c r="J967" s="191"/>
      <c r="K967" s="191"/>
      <c r="L967" s="191"/>
      <c r="M967" s="191"/>
      <c r="N967" s="191"/>
      <c r="O967" s="191"/>
      <c r="P967" s="191"/>
      <c r="Q967" s="191"/>
    </row>
    <row r="968" spans="1:17" s="18" customFormat="1" ht="30" customHeight="1">
      <c r="A968" s="81" t="s">
        <v>90</v>
      </c>
      <c r="B968" s="83" t="s">
        <v>94</v>
      </c>
      <c r="C968" s="83" t="s">
        <v>26</v>
      </c>
      <c r="D968" s="83" t="s">
        <v>123</v>
      </c>
      <c r="E968" s="83" t="s">
        <v>215</v>
      </c>
      <c r="F968" s="83"/>
      <c r="G968" s="86">
        <f>G969+G975+G972</f>
        <v>249349.6</v>
      </c>
      <c r="H968" s="86">
        <f>H969+H975</f>
        <v>237928</v>
      </c>
      <c r="I968" s="171"/>
      <c r="J968" s="191"/>
      <c r="K968" s="191"/>
      <c r="L968" s="191"/>
      <c r="M968" s="191"/>
      <c r="N968" s="191"/>
      <c r="O968" s="191"/>
      <c r="P968" s="191"/>
      <c r="Q968" s="191"/>
    </row>
    <row r="969" spans="1:17" ht="33" customHeight="1">
      <c r="A969" s="81" t="s">
        <v>968</v>
      </c>
      <c r="B969" s="83" t="s">
        <v>94</v>
      </c>
      <c r="C969" s="83" t="s">
        <v>26</v>
      </c>
      <c r="D969" s="83" t="s">
        <v>123</v>
      </c>
      <c r="E969" s="83" t="s">
        <v>944</v>
      </c>
      <c r="F969" s="83"/>
      <c r="G969" s="86">
        <f>G970</f>
        <v>100000</v>
      </c>
      <c r="H969" s="86">
        <f t="shared" ref="H969:H970" si="226">H970</f>
        <v>100000</v>
      </c>
      <c r="I969" s="171"/>
    </row>
    <row r="970" spans="1:17" ht="24.75" customHeight="1">
      <c r="A970" s="81" t="s">
        <v>36</v>
      </c>
      <c r="B970" s="83" t="s">
        <v>94</v>
      </c>
      <c r="C970" s="83" t="s">
        <v>26</v>
      </c>
      <c r="D970" s="83" t="s">
        <v>123</v>
      </c>
      <c r="E970" s="83" t="s">
        <v>944</v>
      </c>
      <c r="F970" s="83" t="s">
        <v>37</v>
      </c>
      <c r="G970" s="86">
        <f>G971</f>
        <v>100000</v>
      </c>
      <c r="H970" s="86">
        <f t="shared" si="226"/>
        <v>100000</v>
      </c>
      <c r="I970" s="171"/>
    </row>
    <row r="971" spans="1:17" ht="36.75" customHeight="1">
      <c r="A971" s="81" t="s">
        <v>38</v>
      </c>
      <c r="B971" s="83" t="s">
        <v>94</v>
      </c>
      <c r="C971" s="83" t="s">
        <v>26</v>
      </c>
      <c r="D971" s="83" t="s">
        <v>123</v>
      </c>
      <c r="E971" s="83" t="s">
        <v>944</v>
      </c>
      <c r="F971" s="83" t="s">
        <v>39</v>
      </c>
      <c r="G971" s="86">
        <v>100000</v>
      </c>
      <c r="H971" s="86">
        <v>100000</v>
      </c>
      <c r="I971" s="171"/>
    </row>
    <row r="972" spans="1:17" s="18" customFormat="1" ht="57.75" customHeight="1">
      <c r="A972" s="265" t="s">
        <v>1021</v>
      </c>
      <c r="B972" s="83" t="s">
        <v>94</v>
      </c>
      <c r="C972" s="83" t="s">
        <v>26</v>
      </c>
      <c r="D972" s="83" t="s">
        <v>123</v>
      </c>
      <c r="E972" s="83" t="s">
        <v>1020</v>
      </c>
      <c r="F972" s="83"/>
      <c r="G972" s="86">
        <f t="shared" ref="G972:H973" si="227">G973</f>
        <v>4524.1400000000003</v>
      </c>
      <c r="H972" s="86">
        <f t="shared" si="227"/>
        <v>0</v>
      </c>
      <c r="I972" s="171"/>
      <c r="J972" s="191"/>
      <c r="K972" s="191"/>
      <c r="L972" s="191"/>
      <c r="M972" s="191"/>
      <c r="N972" s="191"/>
      <c r="O972" s="191"/>
      <c r="P972" s="191"/>
      <c r="Q972" s="191"/>
    </row>
    <row r="973" spans="1:17" s="18" customFormat="1">
      <c r="A973" s="81" t="s">
        <v>148</v>
      </c>
      <c r="B973" s="83" t="s">
        <v>94</v>
      </c>
      <c r="C973" s="83" t="s">
        <v>26</v>
      </c>
      <c r="D973" s="83" t="s">
        <v>123</v>
      </c>
      <c r="E973" s="83" t="s">
        <v>1020</v>
      </c>
      <c r="F973" s="83" t="s">
        <v>149</v>
      </c>
      <c r="G973" s="86">
        <f t="shared" si="227"/>
        <v>4524.1400000000003</v>
      </c>
      <c r="H973" s="86">
        <f t="shared" si="227"/>
        <v>0</v>
      </c>
      <c r="I973" s="171"/>
      <c r="J973" s="191"/>
      <c r="K973" s="191"/>
      <c r="L973" s="191"/>
      <c r="M973" s="191"/>
      <c r="N973" s="191"/>
      <c r="O973" s="191"/>
      <c r="P973" s="191"/>
      <c r="Q973" s="191"/>
    </row>
    <row r="974" spans="1:17" s="18" customFormat="1">
      <c r="A974" s="81" t="s">
        <v>913</v>
      </c>
      <c r="B974" s="83" t="s">
        <v>94</v>
      </c>
      <c r="C974" s="83" t="s">
        <v>26</v>
      </c>
      <c r="D974" s="83" t="s">
        <v>123</v>
      </c>
      <c r="E974" s="83" t="s">
        <v>1020</v>
      </c>
      <c r="F974" s="83" t="s">
        <v>910</v>
      </c>
      <c r="G974" s="86">
        <v>4524.1400000000003</v>
      </c>
      <c r="H974" s="86">
        <v>0</v>
      </c>
      <c r="I974" s="171"/>
      <c r="J974" s="191"/>
      <c r="K974" s="191"/>
      <c r="L974" s="191"/>
      <c r="M974" s="191"/>
      <c r="N974" s="191"/>
      <c r="O974" s="191"/>
      <c r="P974" s="191"/>
      <c r="Q974" s="191"/>
    </row>
    <row r="975" spans="1:17" s="18" customFormat="1" ht="38.25">
      <c r="A975" s="265" t="s">
        <v>874</v>
      </c>
      <c r="B975" s="83" t="s">
        <v>94</v>
      </c>
      <c r="C975" s="83" t="s">
        <v>26</v>
      </c>
      <c r="D975" s="83" t="s">
        <v>123</v>
      </c>
      <c r="E975" s="83" t="s">
        <v>873</v>
      </c>
      <c r="F975" s="83"/>
      <c r="G975" s="86">
        <f t="shared" ref="G975:H976" si="228">G976</f>
        <v>144825.46</v>
      </c>
      <c r="H975" s="86">
        <f t="shared" si="228"/>
        <v>137928</v>
      </c>
      <c r="I975" s="171"/>
      <c r="J975" s="191"/>
      <c r="K975" s="191"/>
      <c r="L975" s="191"/>
      <c r="M975" s="191"/>
      <c r="N975" s="191"/>
      <c r="O975" s="191"/>
      <c r="P975" s="191"/>
      <c r="Q975" s="191"/>
    </row>
    <row r="976" spans="1:17" s="18" customFormat="1">
      <c r="A976" s="81" t="s">
        <v>148</v>
      </c>
      <c r="B976" s="83" t="s">
        <v>94</v>
      </c>
      <c r="C976" s="83" t="s">
        <v>26</v>
      </c>
      <c r="D976" s="83" t="s">
        <v>123</v>
      </c>
      <c r="E976" s="83" t="s">
        <v>873</v>
      </c>
      <c r="F976" s="83" t="s">
        <v>149</v>
      </c>
      <c r="G976" s="86">
        <f t="shared" si="228"/>
        <v>144825.46</v>
      </c>
      <c r="H976" s="86">
        <f t="shared" si="228"/>
        <v>137928</v>
      </c>
      <c r="I976" s="171"/>
      <c r="J976" s="191"/>
      <c r="K976" s="191"/>
      <c r="L976" s="191"/>
      <c r="M976" s="191"/>
      <c r="N976" s="191"/>
      <c r="O976" s="191"/>
      <c r="P976" s="191"/>
      <c r="Q976" s="191"/>
    </row>
    <row r="977" spans="1:17" s="18" customFormat="1">
      <c r="A977" s="81" t="s">
        <v>913</v>
      </c>
      <c r="B977" s="83" t="s">
        <v>94</v>
      </c>
      <c r="C977" s="83" t="s">
        <v>26</v>
      </c>
      <c r="D977" s="83" t="s">
        <v>123</v>
      </c>
      <c r="E977" s="83" t="s">
        <v>873</v>
      </c>
      <c r="F977" s="83" t="s">
        <v>910</v>
      </c>
      <c r="G977" s="86">
        <v>144825.46</v>
      </c>
      <c r="H977" s="86">
        <v>137928</v>
      </c>
      <c r="I977" s="171"/>
      <c r="J977" s="191"/>
      <c r="K977" s="191"/>
      <c r="L977" s="191"/>
      <c r="M977" s="191"/>
      <c r="N977" s="191"/>
      <c r="O977" s="191"/>
      <c r="P977" s="191"/>
      <c r="Q977" s="191"/>
    </row>
    <row r="978" spans="1:17" s="18" customFormat="1" ht="32.25" customHeight="1">
      <c r="A978" s="81" t="s">
        <v>143</v>
      </c>
      <c r="B978" s="83" t="s">
        <v>94</v>
      </c>
      <c r="C978" s="83" t="s">
        <v>26</v>
      </c>
      <c r="D978" s="83" t="s">
        <v>123</v>
      </c>
      <c r="E978" s="83" t="s">
        <v>227</v>
      </c>
      <c r="F978" s="83"/>
      <c r="G978" s="86">
        <f>G979</f>
        <v>14738271</v>
      </c>
      <c r="H978" s="86">
        <f t="shared" ref="H978" si="229">H979</f>
        <v>14738271</v>
      </c>
      <c r="I978" s="171"/>
      <c r="J978" s="191"/>
      <c r="K978" s="191"/>
      <c r="L978" s="191"/>
      <c r="M978" s="191"/>
      <c r="N978" s="191"/>
      <c r="O978" s="191"/>
      <c r="P978" s="191"/>
      <c r="Q978" s="191"/>
    </row>
    <row r="979" spans="1:17" s="18" customFormat="1" ht="25.5">
      <c r="A979" s="81" t="s">
        <v>76</v>
      </c>
      <c r="B979" s="83" t="s">
        <v>94</v>
      </c>
      <c r="C979" s="83" t="s">
        <v>26</v>
      </c>
      <c r="D979" s="83" t="s">
        <v>123</v>
      </c>
      <c r="E979" s="83" t="s">
        <v>228</v>
      </c>
      <c r="F979" s="83"/>
      <c r="G979" s="86">
        <f>G980+G982+G984</f>
        <v>14738271</v>
      </c>
      <c r="H979" s="86">
        <f t="shared" ref="H979" si="230">H980+H982+H984</f>
        <v>14738271</v>
      </c>
      <c r="I979" s="171"/>
      <c r="J979" s="191"/>
      <c r="K979" s="191"/>
      <c r="L979" s="191"/>
      <c r="M979" s="191"/>
      <c r="N979" s="191"/>
      <c r="O979" s="191"/>
      <c r="P979" s="191"/>
      <c r="Q979" s="191"/>
    </row>
    <row r="980" spans="1:17" ht="63.75">
      <c r="A980" s="81" t="s">
        <v>55</v>
      </c>
      <c r="B980" s="83" t="s">
        <v>94</v>
      </c>
      <c r="C980" s="83" t="s">
        <v>26</v>
      </c>
      <c r="D980" s="83" t="s">
        <v>123</v>
      </c>
      <c r="E980" s="83" t="s">
        <v>228</v>
      </c>
      <c r="F980" s="83" t="s">
        <v>58</v>
      </c>
      <c r="G980" s="86">
        <f>G981</f>
        <v>14212915.199999999</v>
      </c>
      <c r="H980" s="86">
        <f>H981</f>
        <v>14212915.199999999</v>
      </c>
      <c r="I980" s="171"/>
    </row>
    <row r="981" spans="1:17" ht="25.5">
      <c r="A981" s="81" t="s">
        <v>56</v>
      </c>
      <c r="B981" s="83" t="s">
        <v>94</v>
      </c>
      <c r="C981" s="83" t="s">
        <v>26</v>
      </c>
      <c r="D981" s="83" t="s">
        <v>123</v>
      </c>
      <c r="E981" s="83" t="s">
        <v>228</v>
      </c>
      <c r="F981" s="83" t="s">
        <v>59</v>
      </c>
      <c r="G981" s="86">
        <v>14212915.199999999</v>
      </c>
      <c r="H981" s="86">
        <v>14212915.199999999</v>
      </c>
      <c r="I981" s="171"/>
    </row>
    <row r="982" spans="1:17" ht="25.5">
      <c r="A982" s="81" t="s">
        <v>36</v>
      </c>
      <c r="B982" s="83" t="s">
        <v>94</v>
      </c>
      <c r="C982" s="83" t="s">
        <v>26</v>
      </c>
      <c r="D982" s="83" t="s">
        <v>123</v>
      </c>
      <c r="E982" s="83" t="s">
        <v>228</v>
      </c>
      <c r="F982" s="83" t="s">
        <v>37</v>
      </c>
      <c r="G982" s="86">
        <f>G983</f>
        <v>525355.80000000005</v>
      </c>
      <c r="H982" s="86">
        <f>H983</f>
        <v>525355.80000000005</v>
      </c>
      <c r="I982" s="171"/>
    </row>
    <row r="983" spans="1:17" ht="25.5">
      <c r="A983" s="81" t="s">
        <v>38</v>
      </c>
      <c r="B983" s="83" t="s">
        <v>94</v>
      </c>
      <c r="C983" s="83" t="s">
        <v>26</v>
      </c>
      <c r="D983" s="83" t="s">
        <v>123</v>
      </c>
      <c r="E983" s="83" t="s">
        <v>228</v>
      </c>
      <c r="F983" s="83" t="s">
        <v>39</v>
      </c>
      <c r="G983" s="86">
        <v>525355.80000000005</v>
      </c>
      <c r="H983" s="86">
        <v>525355.80000000005</v>
      </c>
      <c r="I983" s="171"/>
    </row>
    <row r="984" spans="1:17" hidden="1">
      <c r="A984" s="81" t="s">
        <v>63</v>
      </c>
      <c r="B984" s="83" t="s">
        <v>94</v>
      </c>
      <c r="C984" s="83" t="s">
        <v>26</v>
      </c>
      <c r="D984" s="83" t="s">
        <v>123</v>
      </c>
      <c r="E984" s="83" t="s">
        <v>228</v>
      </c>
      <c r="F984" s="83" t="s">
        <v>64</v>
      </c>
      <c r="G984" s="93">
        <f>G986+G985</f>
        <v>0</v>
      </c>
      <c r="H984" s="93">
        <f>H986</f>
        <v>0</v>
      </c>
      <c r="I984" s="185"/>
    </row>
    <row r="985" spans="1:17" hidden="1">
      <c r="A985" s="81" t="s">
        <v>328</v>
      </c>
      <c r="B985" s="83" t="s">
        <v>94</v>
      </c>
      <c r="C985" s="83" t="s">
        <v>26</v>
      </c>
      <c r="D985" s="83" t="s">
        <v>123</v>
      </c>
      <c r="E985" s="83" t="s">
        <v>228</v>
      </c>
      <c r="F985" s="83" t="s">
        <v>327</v>
      </c>
      <c r="G985" s="93"/>
      <c r="H985" s="93">
        <v>0</v>
      </c>
      <c r="I985" s="185"/>
    </row>
    <row r="986" spans="1:17" hidden="1">
      <c r="A986" s="81" t="s">
        <v>66</v>
      </c>
      <c r="B986" s="83" t="s">
        <v>94</v>
      </c>
      <c r="C986" s="83" t="s">
        <v>26</v>
      </c>
      <c r="D986" s="83" t="s">
        <v>123</v>
      </c>
      <c r="E986" s="83" t="s">
        <v>228</v>
      </c>
      <c r="F986" s="83" t="s">
        <v>67</v>
      </c>
      <c r="G986" s="93"/>
      <c r="H986" s="93">
        <v>0</v>
      </c>
      <c r="I986" s="185"/>
    </row>
    <row r="987" spans="1:17" ht="19.5" hidden="1" customHeight="1">
      <c r="A987" s="81" t="s">
        <v>172</v>
      </c>
      <c r="B987" s="83" t="s">
        <v>94</v>
      </c>
      <c r="C987" s="83" t="s">
        <v>26</v>
      </c>
      <c r="D987" s="83" t="s">
        <v>123</v>
      </c>
      <c r="E987" s="83"/>
      <c r="F987" s="83"/>
      <c r="G987" s="86">
        <f>G988</f>
        <v>0</v>
      </c>
      <c r="H987" s="86">
        <f t="shared" ref="H987" si="231">H988</f>
        <v>0</v>
      </c>
      <c r="I987" s="171"/>
    </row>
    <row r="988" spans="1:17" ht="47.25" hidden="1" customHeight="1">
      <c r="A988" s="81" t="s">
        <v>455</v>
      </c>
      <c r="B988" s="83" t="s">
        <v>94</v>
      </c>
      <c r="C988" s="83" t="s">
        <v>26</v>
      </c>
      <c r="D988" s="83" t="s">
        <v>123</v>
      </c>
      <c r="E988" s="83" t="s">
        <v>454</v>
      </c>
      <c r="F988" s="83"/>
      <c r="G988" s="86">
        <f>G989</f>
        <v>0</v>
      </c>
      <c r="H988" s="86">
        <f t="shared" ref="H988:H990" si="232">H989</f>
        <v>0</v>
      </c>
      <c r="I988" s="171"/>
    </row>
    <row r="989" spans="1:17" ht="33.75" hidden="1" customHeight="1">
      <c r="A989" s="81" t="s">
        <v>453</v>
      </c>
      <c r="B989" s="83" t="s">
        <v>94</v>
      </c>
      <c r="C989" s="83" t="s">
        <v>26</v>
      </c>
      <c r="D989" s="83" t="s">
        <v>123</v>
      </c>
      <c r="E989" s="83" t="s">
        <v>451</v>
      </c>
      <c r="F989" s="83"/>
      <c r="G989" s="86">
        <f>G990</f>
        <v>0</v>
      </c>
      <c r="H989" s="86">
        <f t="shared" si="232"/>
        <v>0</v>
      </c>
      <c r="I989" s="171"/>
    </row>
    <row r="990" spans="1:17" ht="17.25" hidden="1" customHeight="1">
      <c r="A990" s="81" t="s">
        <v>452</v>
      </c>
      <c r="B990" s="83" t="s">
        <v>94</v>
      </c>
      <c r="C990" s="83" t="s">
        <v>26</v>
      </c>
      <c r="D990" s="83" t="s">
        <v>123</v>
      </c>
      <c r="E990" s="83" t="s">
        <v>451</v>
      </c>
      <c r="F990" s="83" t="s">
        <v>37</v>
      </c>
      <c r="G990" s="86">
        <f>G991</f>
        <v>0</v>
      </c>
      <c r="H990" s="86">
        <f t="shared" si="232"/>
        <v>0</v>
      </c>
      <c r="I990" s="171"/>
    </row>
    <row r="991" spans="1:17" ht="26.25" hidden="1" customHeight="1">
      <c r="A991" s="81" t="s">
        <v>38</v>
      </c>
      <c r="B991" s="83" t="s">
        <v>94</v>
      </c>
      <c r="C991" s="83" t="s">
        <v>26</v>
      </c>
      <c r="D991" s="83" t="s">
        <v>123</v>
      </c>
      <c r="E991" s="83" t="s">
        <v>451</v>
      </c>
      <c r="F991" s="83" t="s">
        <v>39</v>
      </c>
      <c r="G991" s="86">
        <f>16000-16000</f>
        <v>0</v>
      </c>
      <c r="H991" s="123"/>
      <c r="I991" s="189"/>
    </row>
    <row r="992" spans="1:17" ht="30.75" hidden="1" customHeight="1">
      <c r="A992" s="81"/>
      <c r="B992" s="83"/>
      <c r="C992" s="83"/>
      <c r="D992" s="83"/>
      <c r="E992" s="83"/>
      <c r="F992" s="83"/>
      <c r="G992" s="86"/>
      <c r="H992" s="86"/>
      <c r="I992" s="171"/>
    </row>
    <row r="993" spans="1:17" s="18" customFormat="1" ht="38.25" hidden="1">
      <c r="A993" s="265" t="s">
        <v>874</v>
      </c>
      <c r="B993" s="83" t="s">
        <v>94</v>
      </c>
      <c r="C993" s="83" t="s">
        <v>26</v>
      </c>
      <c r="D993" s="83" t="s">
        <v>123</v>
      </c>
      <c r="E993" s="83" t="s">
        <v>909</v>
      </c>
      <c r="F993" s="83"/>
      <c r="G993" s="86">
        <f t="shared" ref="G993:H995" si="233">G994</f>
        <v>0</v>
      </c>
      <c r="H993" s="86">
        <f t="shared" si="233"/>
        <v>0</v>
      </c>
      <c r="I993" s="171"/>
      <c r="J993" s="191"/>
      <c r="K993" s="191"/>
      <c r="L993" s="191"/>
      <c r="M993" s="191"/>
      <c r="N993" s="191"/>
      <c r="O993" s="191"/>
      <c r="P993" s="191"/>
      <c r="Q993" s="191"/>
    </row>
    <row r="994" spans="1:17" s="18" customFormat="1" ht="38.25" hidden="1">
      <c r="A994" s="265" t="s">
        <v>874</v>
      </c>
      <c r="B994" s="83" t="s">
        <v>94</v>
      </c>
      <c r="C994" s="83" t="s">
        <v>26</v>
      </c>
      <c r="D994" s="83" t="s">
        <v>123</v>
      </c>
      <c r="E994" s="83" t="s">
        <v>908</v>
      </c>
      <c r="F994" s="83"/>
      <c r="G994" s="86">
        <f t="shared" si="233"/>
        <v>0</v>
      </c>
      <c r="H994" s="86">
        <f t="shared" si="233"/>
        <v>0</v>
      </c>
      <c r="I994" s="171"/>
      <c r="J994" s="191"/>
      <c r="K994" s="191"/>
      <c r="L994" s="191"/>
      <c r="M994" s="191"/>
      <c r="N994" s="191"/>
      <c r="O994" s="191"/>
      <c r="P994" s="191"/>
      <c r="Q994" s="191"/>
    </row>
    <row r="995" spans="1:17" s="18" customFormat="1" hidden="1">
      <c r="A995" s="81" t="s">
        <v>148</v>
      </c>
      <c r="B995" s="83" t="s">
        <v>94</v>
      </c>
      <c r="C995" s="83" t="s">
        <v>26</v>
      </c>
      <c r="D995" s="83" t="s">
        <v>123</v>
      </c>
      <c r="E995" s="83" t="s">
        <v>908</v>
      </c>
      <c r="F995" s="83" t="s">
        <v>149</v>
      </c>
      <c r="G995" s="86">
        <f t="shared" si="233"/>
        <v>0</v>
      </c>
      <c r="H995" s="86">
        <f t="shared" si="233"/>
        <v>0</v>
      </c>
      <c r="I995" s="171"/>
      <c r="J995" s="191"/>
      <c r="K995" s="191"/>
      <c r="L995" s="191"/>
      <c r="M995" s="191"/>
      <c r="N995" s="191"/>
      <c r="O995" s="191"/>
      <c r="P995" s="191"/>
      <c r="Q995" s="191"/>
    </row>
    <row r="996" spans="1:17" s="18" customFormat="1" hidden="1">
      <c r="A996" s="81" t="s">
        <v>913</v>
      </c>
      <c r="B996" s="83" t="s">
        <v>94</v>
      </c>
      <c r="C996" s="83" t="s">
        <v>26</v>
      </c>
      <c r="D996" s="83" t="s">
        <v>123</v>
      </c>
      <c r="E996" s="83" t="s">
        <v>908</v>
      </c>
      <c r="F996" s="83" t="s">
        <v>910</v>
      </c>
      <c r="G996" s="86">
        <f>52800+123200-176000</f>
        <v>0</v>
      </c>
      <c r="H996" s="86">
        <f>52800+53402-106202</f>
        <v>0</v>
      </c>
      <c r="I996" s="171"/>
      <c r="J996" s="191"/>
      <c r="K996" s="191"/>
      <c r="L996" s="191"/>
      <c r="M996" s="191"/>
      <c r="N996" s="191"/>
      <c r="O996" s="191"/>
      <c r="P996" s="191"/>
      <c r="Q996" s="191"/>
    </row>
    <row r="997" spans="1:17" ht="33" hidden="1" customHeight="1">
      <c r="A997" s="81" t="s">
        <v>968</v>
      </c>
      <c r="B997" s="83" t="s">
        <v>94</v>
      </c>
      <c r="C997" s="83" t="s">
        <v>26</v>
      </c>
      <c r="D997" s="83" t="s">
        <v>123</v>
      </c>
      <c r="E997" s="83" t="s">
        <v>951</v>
      </c>
      <c r="F997" s="83"/>
      <c r="G997" s="86">
        <f>G998</f>
        <v>0</v>
      </c>
      <c r="H997" s="86">
        <f t="shared" ref="H997" si="234">H998</f>
        <v>0</v>
      </c>
      <c r="I997" s="171"/>
    </row>
    <row r="998" spans="1:17" ht="24.75" hidden="1" customHeight="1">
      <c r="A998" s="81" t="s">
        <v>36</v>
      </c>
      <c r="B998" s="83" t="s">
        <v>94</v>
      </c>
      <c r="C998" s="83" t="s">
        <v>26</v>
      </c>
      <c r="D998" s="83" t="s">
        <v>123</v>
      </c>
      <c r="E998" s="83" t="s">
        <v>951</v>
      </c>
      <c r="F998" s="83" t="s">
        <v>37</v>
      </c>
      <c r="G998" s="86">
        <f>G999</f>
        <v>0</v>
      </c>
      <c r="H998" s="86">
        <f t="shared" ref="H998" si="235">H999</f>
        <v>0</v>
      </c>
      <c r="I998" s="171"/>
    </row>
    <row r="999" spans="1:17" ht="25.9" hidden="1" customHeight="1">
      <c r="A999" s="81" t="s">
        <v>38</v>
      </c>
      <c r="B999" s="83" t="s">
        <v>94</v>
      </c>
      <c r="C999" s="83" t="s">
        <v>26</v>
      </c>
      <c r="D999" s="83" t="s">
        <v>123</v>
      </c>
      <c r="E999" s="83" t="s">
        <v>951</v>
      </c>
      <c r="F999" s="83" t="s">
        <v>39</v>
      </c>
      <c r="G999" s="86">
        <f>100000-100000</f>
        <v>0</v>
      </c>
      <c r="H999" s="86">
        <v>0</v>
      </c>
      <c r="I999" s="171"/>
    </row>
    <row r="1000" spans="1:17">
      <c r="A1000" s="252" t="s">
        <v>145</v>
      </c>
      <c r="B1000" s="158" t="s">
        <v>94</v>
      </c>
      <c r="C1000" s="254" t="s">
        <v>69</v>
      </c>
      <c r="D1000" s="254"/>
      <c r="E1000" s="254"/>
      <c r="F1000" s="254"/>
      <c r="G1000" s="251">
        <f>G1001+G1006</f>
        <v>30101489.140000001</v>
      </c>
      <c r="H1000" s="251">
        <f>H1001+H1006</f>
        <v>29984462.130000003</v>
      </c>
      <c r="I1000" s="182"/>
    </row>
    <row r="1001" spans="1:17">
      <c r="A1001" s="81" t="s">
        <v>146</v>
      </c>
      <c r="B1001" s="83" t="s">
        <v>94</v>
      </c>
      <c r="C1001" s="83" t="s">
        <v>69</v>
      </c>
      <c r="D1001" s="83" t="s">
        <v>19</v>
      </c>
      <c r="E1001" s="83"/>
      <c r="F1001" s="83"/>
      <c r="G1001" s="86">
        <f>G1002</f>
        <v>26801.85</v>
      </c>
      <c r="H1001" s="86">
        <f>H1002</f>
        <v>26801.85</v>
      </c>
      <c r="I1001" s="171"/>
    </row>
    <row r="1002" spans="1:17" s="43" customFormat="1" ht="30.75" customHeight="1">
      <c r="A1002" s="81" t="s">
        <v>481</v>
      </c>
      <c r="B1002" s="83" t="s">
        <v>94</v>
      </c>
      <c r="C1002" s="83" t="s">
        <v>69</v>
      </c>
      <c r="D1002" s="83" t="s">
        <v>19</v>
      </c>
      <c r="E1002" s="83" t="s">
        <v>286</v>
      </c>
      <c r="F1002" s="163"/>
      <c r="G1002" s="86">
        <f t="shared" ref="G1002:H1004" si="236">G1003</f>
        <v>26801.85</v>
      </c>
      <c r="H1002" s="86">
        <f t="shared" si="236"/>
        <v>26801.85</v>
      </c>
      <c r="I1002" s="171"/>
      <c r="J1002" s="209"/>
      <c r="K1002" s="209"/>
      <c r="L1002" s="209"/>
      <c r="M1002" s="209"/>
      <c r="N1002" s="209"/>
      <c r="O1002" s="209"/>
      <c r="P1002" s="209"/>
      <c r="Q1002" s="209"/>
    </row>
    <row r="1003" spans="1:17" s="43" customFormat="1">
      <c r="A1003" s="81" t="s">
        <v>147</v>
      </c>
      <c r="B1003" s="83" t="s">
        <v>94</v>
      </c>
      <c r="C1003" s="83" t="s">
        <v>69</v>
      </c>
      <c r="D1003" s="83" t="s">
        <v>19</v>
      </c>
      <c r="E1003" s="83" t="s">
        <v>290</v>
      </c>
      <c r="F1003" s="163"/>
      <c r="G1003" s="86">
        <f t="shared" si="236"/>
        <v>26801.85</v>
      </c>
      <c r="H1003" s="86">
        <f t="shared" si="236"/>
        <v>26801.85</v>
      </c>
      <c r="I1003" s="171"/>
      <c r="J1003" s="209"/>
      <c r="K1003" s="209"/>
      <c r="L1003" s="209"/>
      <c r="M1003" s="209"/>
      <c r="N1003" s="209"/>
      <c r="O1003" s="209"/>
      <c r="P1003" s="209"/>
      <c r="Q1003" s="209"/>
    </row>
    <row r="1004" spans="1:17" s="43" customFormat="1">
      <c r="A1004" s="81" t="s">
        <v>148</v>
      </c>
      <c r="B1004" s="83" t="s">
        <v>94</v>
      </c>
      <c r="C1004" s="83" t="s">
        <v>69</v>
      </c>
      <c r="D1004" s="83" t="s">
        <v>19</v>
      </c>
      <c r="E1004" s="83" t="s">
        <v>290</v>
      </c>
      <c r="F1004" s="83" t="s">
        <v>149</v>
      </c>
      <c r="G1004" s="86">
        <f t="shared" si="236"/>
        <v>26801.85</v>
      </c>
      <c r="H1004" s="86">
        <f t="shared" si="236"/>
        <v>26801.85</v>
      </c>
      <c r="I1004" s="171"/>
      <c r="J1004" s="209"/>
      <c r="K1004" s="209"/>
      <c r="L1004" s="209"/>
      <c r="M1004" s="209"/>
      <c r="N1004" s="209"/>
      <c r="O1004" s="209"/>
      <c r="P1004" s="209"/>
      <c r="Q1004" s="209"/>
    </row>
    <row r="1005" spans="1:17" s="44" customFormat="1" ht="25.5">
      <c r="A1005" s="81" t="s">
        <v>354</v>
      </c>
      <c r="B1005" s="83" t="s">
        <v>94</v>
      </c>
      <c r="C1005" s="83" t="s">
        <v>69</v>
      </c>
      <c r="D1005" s="83" t="s">
        <v>19</v>
      </c>
      <c r="E1005" s="83" t="s">
        <v>290</v>
      </c>
      <c r="F1005" s="83" t="s">
        <v>355</v>
      </c>
      <c r="G1005" s="86">
        <f>61500-34698.15</f>
        <v>26801.85</v>
      </c>
      <c r="H1005" s="86">
        <v>26801.85</v>
      </c>
      <c r="I1005" s="171"/>
      <c r="J1005" s="210"/>
      <c r="K1005" s="210"/>
      <c r="L1005" s="210"/>
      <c r="M1005" s="210"/>
      <c r="N1005" s="210"/>
      <c r="O1005" s="210"/>
      <c r="P1005" s="210"/>
      <c r="Q1005" s="210"/>
    </row>
    <row r="1006" spans="1:17">
      <c r="A1006" s="131" t="s">
        <v>153</v>
      </c>
      <c r="B1006" s="83" t="s">
        <v>94</v>
      </c>
      <c r="C1006" s="83" t="s">
        <v>69</v>
      </c>
      <c r="D1006" s="83" t="s">
        <v>54</v>
      </c>
      <c r="E1006" s="83"/>
      <c r="F1006" s="83"/>
      <c r="G1006" s="86">
        <f>G1007</f>
        <v>30074687.289999999</v>
      </c>
      <c r="H1006" s="86">
        <f t="shared" ref="H1006" si="237">H1007</f>
        <v>29957660.280000001</v>
      </c>
      <c r="I1006" s="171"/>
    </row>
    <row r="1007" spans="1:17" s="28" customFormat="1" ht="25.5">
      <c r="A1007" s="81" t="s">
        <v>473</v>
      </c>
      <c r="B1007" s="83" t="s">
        <v>94</v>
      </c>
      <c r="C1007" s="83" t="s">
        <v>69</v>
      </c>
      <c r="D1007" s="83" t="s">
        <v>54</v>
      </c>
      <c r="E1007" s="83" t="s">
        <v>189</v>
      </c>
      <c r="F1007" s="163"/>
      <c r="G1007" s="86">
        <f>G1008</f>
        <v>30074687.289999999</v>
      </c>
      <c r="H1007" s="86">
        <f t="shared" ref="H1007" si="238">H1008</f>
        <v>29957660.280000001</v>
      </c>
      <c r="I1007" s="171"/>
      <c r="J1007" s="195"/>
      <c r="K1007" s="195"/>
      <c r="L1007" s="195"/>
      <c r="M1007" s="195"/>
      <c r="N1007" s="195"/>
      <c r="O1007" s="195"/>
      <c r="P1007" s="195"/>
      <c r="Q1007" s="195"/>
    </row>
    <row r="1008" spans="1:17" ht="30.75" customHeight="1">
      <c r="A1008" s="81" t="s">
        <v>90</v>
      </c>
      <c r="B1008" s="83" t="s">
        <v>94</v>
      </c>
      <c r="C1008" s="83" t="s">
        <v>69</v>
      </c>
      <c r="D1008" s="83" t="s">
        <v>54</v>
      </c>
      <c r="E1008" s="83" t="s">
        <v>215</v>
      </c>
      <c r="F1008" s="83"/>
      <c r="G1008" s="86">
        <f>G1009+G1012+G1015+G1018</f>
        <v>30074687.289999999</v>
      </c>
      <c r="H1008" s="86">
        <f>H1009+H1012+H1015+H1018</f>
        <v>29957660.280000001</v>
      </c>
      <c r="I1008" s="171"/>
    </row>
    <row r="1009" spans="1:17" s="18" customFormat="1" ht="56.25" customHeight="1">
      <c r="A1009" s="138" t="s">
        <v>65</v>
      </c>
      <c r="B1009" s="83" t="s">
        <v>94</v>
      </c>
      <c r="C1009" s="83" t="s">
        <v>69</v>
      </c>
      <c r="D1009" s="83" t="s">
        <v>54</v>
      </c>
      <c r="E1009" s="83" t="s">
        <v>434</v>
      </c>
      <c r="F1009" s="83"/>
      <c r="G1009" s="86">
        <f t="shared" ref="G1009:H1010" si="239">G1010</f>
        <v>721420</v>
      </c>
      <c r="H1009" s="86">
        <f t="shared" si="239"/>
        <v>612597.39</v>
      </c>
      <c r="I1009" s="171"/>
      <c r="J1009" s="191"/>
      <c r="K1009" s="191"/>
      <c r="L1009" s="191"/>
      <c r="M1009" s="191"/>
      <c r="N1009" s="191"/>
      <c r="O1009" s="191"/>
      <c r="P1009" s="191"/>
      <c r="Q1009" s="191"/>
    </row>
    <row r="1010" spans="1:17" s="18" customFormat="1" ht="25.5">
      <c r="A1010" s="81" t="s">
        <v>30</v>
      </c>
      <c r="B1010" s="83" t="s">
        <v>94</v>
      </c>
      <c r="C1010" s="83" t="s">
        <v>69</v>
      </c>
      <c r="D1010" s="83" t="s">
        <v>54</v>
      </c>
      <c r="E1010" s="83" t="s">
        <v>434</v>
      </c>
      <c r="F1010" s="83" t="s">
        <v>31</v>
      </c>
      <c r="G1010" s="86">
        <f t="shared" si="239"/>
        <v>721420</v>
      </c>
      <c r="H1010" s="86">
        <f t="shared" si="239"/>
        <v>612597.39</v>
      </c>
      <c r="I1010" s="171"/>
      <c r="J1010" s="191"/>
      <c r="K1010" s="191"/>
      <c r="L1010" s="191"/>
      <c r="M1010" s="191"/>
      <c r="N1010" s="191"/>
      <c r="O1010" s="191"/>
      <c r="P1010" s="191"/>
      <c r="Q1010" s="191"/>
    </row>
    <row r="1011" spans="1:17" s="18" customFormat="1">
      <c r="A1011" s="81" t="s">
        <v>32</v>
      </c>
      <c r="B1011" s="83" t="s">
        <v>94</v>
      </c>
      <c r="C1011" s="83" t="s">
        <v>69</v>
      </c>
      <c r="D1011" s="83" t="s">
        <v>54</v>
      </c>
      <c r="E1011" s="83" t="s">
        <v>434</v>
      </c>
      <c r="F1011" s="83" t="s">
        <v>33</v>
      </c>
      <c r="G1011" s="86">
        <v>721420</v>
      </c>
      <c r="H1011" s="86">
        <v>612597.39</v>
      </c>
      <c r="I1011" s="171"/>
      <c r="J1011" s="191"/>
      <c r="K1011" s="191"/>
      <c r="L1011" s="191"/>
      <c r="M1011" s="191"/>
      <c r="N1011" s="191"/>
      <c r="O1011" s="191"/>
      <c r="P1011" s="191"/>
      <c r="Q1011" s="191"/>
    </row>
    <row r="1012" spans="1:17" s="28" customFormat="1" ht="42.75" customHeight="1">
      <c r="A1012" s="131" t="s">
        <v>154</v>
      </c>
      <c r="B1012" s="83" t="s">
        <v>94</v>
      </c>
      <c r="C1012" s="83" t="s">
        <v>69</v>
      </c>
      <c r="D1012" s="83" t="s">
        <v>54</v>
      </c>
      <c r="E1012" s="83" t="s">
        <v>435</v>
      </c>
      <c r="F1012" s="163"/>
      <c r="G1012" s="86">
        <f t="shared" ref="G1012:H1013" si="240">G1013</f>
        <v>12666889.92</v>
      </c>
      <c r="H1012" s="86">
        <f t="shared" si="240"/>
        <v>12666889.92</v>
      </c>
      <c r="I1012" s="171"/>
      <c r="J1012" s="195"/>
      <c r="K1012" s="195"/>
      <c r="L1012" s="195"/>
      <c r="M1012" s="195"/>
      <c r="N1012" s="195"/>
      <c r="O1012" s="195"/>
      <c r="P1012" s="195"/>
      <c r="Q1012" s="195"/>
    </row>
    <row r="1013" spans="1:17" s="28" customFormat="1" ht="40.5" customHeight="1">
      <c r="A1013" s="81" t="s">
        <v>30</v>
      </c>
      <c r="B1013" s="83" t="s">
        <v>94</v>
      </c>
      <c r="C1013" s="83" t="s">
        <v>69</v>
      </c>
      <c r="D1013" s="83" t="s">
        <v>54</v>
      </c>
      <c r="E1013" s="83" t="s">
        <v>435</v>
      </c>
      <c r="F1013" s="83" t="s">
        <v>31</v>
      </c>
      <c r="G1013" s="86">
        <f t="shared" si="240"/>
        <v>12666889.92</v>
      </c>
      <c r="H1013" s="86">
        <f t="shared" si="240"/>
        <v>12666889.92</v>
      </c>
      <c r="I1013" s="171"/>
      <c r="J1013" s="195"/>
      <c r="K1013" s="195"/>
      <c r="L1013" s="195"/>
      <c r="M1013" s="195"/>
      <c r="N1013" s="195"/>
      <c r="O1013" s="195"/>
      <c r="P1013" s="195"/>
      <c r="Q1013" s="195"/>
    </row>
    <row r="1014" spans="1:17">
      <c r="A1014" s="81" t="s">
        <v>32</v>
      </c>
      <c r="B1014" s="83" t="s">
        <v>94</v>
      </c>
      <c r="C1014" s="83" t="s">
        <v>69</v>
      </c>
      <c r="D1014" s="83" t="s">
        <v>54</v>
      </c>
      <c r="E1014" s="83" t="s">
        <v>435</v>
      </c>
      <c r="F1014" s="83" t="s">
        <v>33</v>
      </c>
      <c r="G1014" s="86">
        <v>12666889.92</v>
      </c>
      <c r="H1014" s="86">
        <v>12666889.92</v>
      </c>
      <c r="I1014" s="171"/>
    </row>
    <row r="1015" spans="1:17" s="28" customFormat="1" ht="62.25" customHeight="1">
      <c r="A1015" s="131" t="s">
        <v>1084</v>
      </c>
      <c r="B1015" s="83" t="s">
        <v>94</v>
      </c>
      <c r="C1015" s="83" t="s">
        <v>69</v>
      </c>
      <c r="D1015" s="83" t="s">
        <v>54</v>
      </c>
      <c r="E1015" s="83" t="s">
        <v>1083</v>
      </c>
      <c r="F1015" s="163"/>
      <c r="G1015" s="86">
        <f t="shared" ref="G1015:H1019" si="241">G1016</f>
        <v>172005</v>
      </c>
      <c r="H1015" s="86">
        <f t="shared" si="241"/>
        <v>165370</v>
      </c>
      <c r="I1015" s="171"/>
      <c r="J1015" s="195"/>
      <c r="K1015" s="195"/>
      <c r="L1015" s="195"/>
      <c r="M1015" s="195"/>
      <c r="N1015" s="195"/>
      <c r="O1015" s="195"/>
      <c r="P1015" s="195"/>
      <c r="Q1015" s="195"/>
    </row>
    <row r="1016" spans="1:17" s="28" customFormat="1" ht="25.5">
      <c r="A1016" s="81" t="s">
        <v>30</v>
      </c>
      <c r="B1016" s="83" t="s">
        <v>94</v>
      </c>
      <c r="C1016" s="83" t="s">
        <v>69</v>
      </c>
      <c r="D1016" s="83" t="s">
        <v>54</v>
      </c>
      <c r="E1016" s="83" t="s">
        <v>1083</v>
      </c>
      <c r="F1016" s="83" t="s">
        <v>31</v>
      </c>
      <c r="G1016" s="86">
        <f t="shared" si="241"/>
        <v>172005</v>
      </c>
      <c r="H1016" s="86">
        <f t="shared" si="241"/>
        <v>165370</v>
      </c>
      <c r="I1016" s="171"/>
      <c r="J1016" s="195"/>
      <c r="K1016" s="195"/>
      <c r="L1016" s="195"/>
      <c r="M1016" s="195"/>
      <c r="N1016" s="195"/>
      <c r="O1016" s="195"/>
      <c r="P1016" s="195"/>
      <c r="Q1016" s="195"/>
    </row>
    <row r="1017" spans="1:17">
      <c r="A1017" s="81" t="s">
        <v>32</v>
      </c>
      <c r="B1017" s="83" t="s">
        <v>94</v>
      </c>
      <c r="C1017" s="83" t="s">
        <v>69</v>
      </c>
      <c r="D1017" s="83" t="s">
        <v>54</v>
      </c>
      <c r="E1017" s="83" t="s">
        <v>1083</v>
      </c>
      <c r="F1017" s="83" t="s">
        <v>33</v>
      </c>
      <c r="G1017" s="86">
        <v>172005</v>
      </c>
      <c r="H1017" s="86">
        <v>165370</v>
      </c>
      <c r="I1017" s="171"/>
    </row>
    <row r="1018" spans="1:17" s="28" customFormat="1" ht="69.599999999999994" customHeight="1">
      <c r="A1018" s="131" t="s">
        <v>690</v>
      </c>
      <c r="B1018" s="83" t="s">
        <v>94</v>
      </c>
      <c r="C1018" s="83" t="s">
        <v>69</v>
      </c>
      <c r="D1018" s="83" t="s">
        <v>54</v>
      </c>
      <c r="E1018" s="83" t="s">
        <v>689</v>
      </c>
      <c r="F1018" s="163"/>
      <c r="G1018" s="86">
        <f t="shared" si="241"/>
        <v>16514372.369999999</v>
      </c>
      <c r="H1018" s="86">
        <f t="shared" si="241"/>
        <v>16512802.970000001</v>
      </c>
      <c r="I1018" s="171"/>
      <c r="J1018" s="195"/>
      <c r="K1018" s="195"/>
      <c r="L1018" s="195"/>
      <c r="M1018" s="195"/>
      <c r="N1018" s="195"/>
      <c r="O1018" s="195"/>
      <c r="P1018" s="195"/>
      <c r="Q1018" s="195"/>
    </row>
    <row r="1019" spans="1:17" s="28" customFormat="1" ht="25.5">
      <c r="A1019" s="81" t="s">
        <v>30</v>
      </c>
      <c r="B1019" s="83" t="s">
        <v>94</v>
      </c>
      <c r="C1019" s="83" t="s">
        <v>69</v>
      </c>
      <c r="D1019" s="83" t="s">
        <v>54</v>
      </c>
      <c r="E1019" s="83" t="s">
        <v>689</v>
      </c>
      <c r="F1019" s="83" t="s">
        <v>31</v>
      </c>
      <c r="G1019" s="86">
        <f t="shared" si="241"/>
        <v>16514372.369999999</v>
      </c>
      <c r="H1019" s="86">
        <f t="shared" si="241"/>
        <v>16512802.970000001</v>
      </c>
      <c r="I1019" s="171"/>
      <c r="J1019" s="195"/>
      <c r="K1019" s="195"/>
      <c r="L1019" s="195"/>
      <c r="M1019" s="195"/>
      <c r="N1019" s="195"/>
      <c r="O1019" s="195"/>
      <c r="P1019" s="195"/>
      <c r="Q1019" s="195"/>
    </row>
    <row r="1020" spans="1:17">
      <c r="A1020" s="81" t="s">
        <v>32</v>
      </c>
      <c r="B1020" s="83" t="s">
        <v>94</v>
      </c>
      <c r="C1020" s="83" t="s">
        <v>69</v>
      </c>
      <c r="D1020" s="83" t="s">
        <v>54</v>
      </c>
      <c r="E1020" s="83" t="s">
        <v>689</v>
      </c>
      <c r="F1020" s="83" t="s">
        <v>33</v>
      </c>
      <c r="G1020" s="86">
        <v>16514372.369999999</v>
      </c>
      <c r="H1020" s="86">
        <v>16512802.970000001</v>
      </c>
      <c r="I1020" s="171"/>
    </row>
    <row r="1021" spans="1:17" s="32" customFormat="1" ht="17.25" hidden="1" customHeight="1">
      <c r="A1021" s="259" t="s">
        <v>360</v>
      </c>
      <c r="B1021" s="83" t="s">
        <v>94</v>
      </c>
      <c r="C1021" s="152" t="s">
        <v>72</v>
      </c>
      <c r="D1021" s="152"/>
      <c r="E1021" s="152"/>
      <c r="F1021" s="152"/>
      <c r="G1021" s="153">
        <f>G1037+G1022</f>
        <v>0</v>
      </c>
      <c r="H1021" s="153">
        <f>H1037+H1022</f>
        <v>0</v>
      </c>
      <c r="I1021" s="187"/>
      <c r="J1021" s="194"/>
      <c r="K1021" s="194"/>
      <c r="L1021" s="194"/>
      <c r="M1021" s="194"/>
      <c r="N1021" s="194"/>
      <c r="O1021" s="194"/>
      <c r="P1021" s="194"/>
      <c r="Q1021" s="194"/>
    </row>
    <row r="1022" spans="1:17" s="32" customFormat="1" ht="17.25" hidden="1" customHeight="1">
      <c r="A1022" s="260" t="s">
        <v>490</v>
      </c>
      <c r="B1022" s="83" t="s">
        <v>94</v>
      </c>
      <c r="C1022" s="83" t="s">
        <v>72</v>
      </c>
      <c r="D1022" s="83" t="s">
        <v>19</v>
      </c>
      <c r="E1022" s="152"/>
      <c r="F1022" s="152"/>
      <c r="G1022" s="153">
        <f>G1023+G1033</f>
        <v>0</v>
      </c>
      <c r="H1022" s="153">
        <f>H1023+H1033</f>
        <v>0</v>
      </c>
      <c r="I1022" s="187"/>
      <c r="J1022" s="194"/>
      <c r="K1022" s="194"/>
      <c r="L1022" s="194"/>
      <c r="M1022" s="194"/>
      <c r="N1022" s="194"/>
      <c r="O1022" s="194"/>
      <c r="P1022" s="194"/>
      <c r="Q1022" s="194"/>
    </row>
    <row r="1023" spans="1:17" ht="27.75" hidden="1" customHeight="1">
      <c r="A1023" s="135" t="s">
        <v>479</v>
      </c>
      <c r="B1023" s="83" t="s">
        <v>94</v>
      </c>
      <c r="C1023" s="83" t="s">
        <v>72</v>
      </c>
      <c r="D1023" s="83" t="s">
        <v>19</v>
      </c>
      <c r="E1023" s="83" t="s">
        <v>195</v>
      </c>
      <c r="F1023" s="83"/>
      <c r="G1023" s="86">
        <f>G1025+G1028+G1030</f>
        <v>0</v>
      </c>
      <c r="H1023" s="86">
        <f>H1025+H1028+H1030</f>
        <v>0</v>
      </c>
      <c r="I1023" s="171"/>
    </row>
    <row r="1024" spans="1:17" ht="19.5" hidden="1" customHeight="1">
      <c r="A1024" s="81" t="s">
        <v>32</v>
      </c>
      <c r="B1024" s="83" t="s">
        <v>94</v>
      </c>
      <c r="C1024" s="83" t="s">
        <v>72</v>
      </c>
      <c r="D1024" s="83" t="s">
        <v>19</v>
      </c>
      <c r="E1024" s="83" t="s">
        <v>40</v>
      </c>
      <c r="F1024" s="83" t="s">
        <v>33</v>
      </c>
      <c r="G1024" s="86"/>
      <c r="H1024" s="86"/>
      <c r="I1024" s="171"/>
    </row>
    <row r="1025" spans="1:17" ht="39" hidden="1" customHeight="1">
      <c r="A1025" s="81" t="s">
        <v>112</v>
      </c>
      <c r="B1025" s="83" t="s">
        <v>94</v>
      </c>
      <c r="C1025" s="83" t="s">
        <v>72</v>
      </c>
      <c r="D1025" s="83" t="s">
        <v>19</v>
      </c>
      <c r="E1025" s="83" t="s">
        <v>196</v>
      </c>
      <c r="F1025" s="83"/>
      <c r="G1025" s="86">
        <f>G1026</f>
        <v>0</v>
      </c>
      <c r="H1025" s="86">
        <f t="shared" ref="H1025" si="242">H1026</f>
        <v>0</v>
      </c>
      <c r="I1025" s="171"/>
    </row>
    <row r="1026" spans="1:17" ht="25.5" hidden="1">
      <c r="A1026" s="81" t="s">
        <v>30</v>
      </c>
      <c r="B1026" s="83" t="s">
        <v>94</v>
      </c>
      <c r="C1026" s="83" t="s">
        <v>72</v>
      </c>
      <c r="D1026" s="83" t="s">
        <v>19</v>
      </c>
      <c r="E1026" s="83" t="s">
        <v>196</v>
      </c>
      <c r="F1026" s="83" t="s">
        <v>31</v>
      </c>
      <c r="G1026" s="86">
        <f>G1027</f>
        <v>0</v>
      </c>
      <c r="H1026" s="86">
        <f>H1027</f>
        <v>0</v>
      </c>
      <c r="I1026" s="171"/>
    </row>
    <row r="1027" spans="1:17" ht="19.5" hidden="1" customHeight="1">
      <c r="A1027" s="81" t="s">
        <v>32</v>
      </c>
      <c r="B1027" s="83" t="s">
        <v>94</v>
      </c>
      <c r="C1027" s="83" t="s">
        <v>72</v>
      </c>
      <c r="D1027" s="83" t="s">
        <v>19</v>
      </c>
      <c r="E1027" s="83" t="s">
        <v>196</v>
      </c>
      <c r="F1027" s="83" t="s">
        <v>33</v>
      </c>
      <c r="G1027" s="86"/>
      <c r="H1027" s="86"/>
      <c r="I1027" s="171"/>
    </row>
    <row r="1028" spans="1:17" s="32" customFormat="1" ht="25.5" hidden="1" customHeight="1">
      <c r="A1028" s="81" t="s">
        <v>30</v>
      </c>
      <c r="B1028" s="83" t="s">
        <v>94</v>
      </c>
      <c r="C1028" s="83" t="s">
        <v>72</v>
      </c>
      <c r="D1028" s="83" t="s">
        <v>19</v>
      </c>
      <c r="E1028" s="83" t="s">
        <v>541</v>
      </c>
      <c r="F1028" s="83" t="s">
        <v>31</v>
      </c>
      <c r="G1028" s="86">
        <f>G1029</f>
        <v>0</v>
      </c>
      <c r="H1028" s="86">
        <v>0</v>
      </c>
      <c r="I1028" s="171"/>
      <c r="J1028" s="194"/>
      <c r="K1028" s="194"/>
      <c r="L1028" s="194"/>
      <c r="M1028" s="194"/>
      <c r="N1028" s="194"/>
      <c r="O1028" s="194"/>
      <c r="P1028" s="194"/>
      <c r="Q1028" s="194"/>
    </row>
    <row r="1029" spans="1:17" s="32" customFormat="1" ht="17.25" hidden="1" customHeight="1">
      <c r="A1029" s="81" t="s">
        <v>32</v>
      </c>
      <c r="B1029" s="83" t="s">
        <v>94</v>
      </c>
      <c r="C1029" s="83" t="s">
        <v>72</v>
      </c>
      <c r="D1029" s="83" t="s">
        <v>19</v>
      </c>
      <c r="E1029" s="83" t="s">
        <v>541</v>
      </c>
      <c r="F1029" s="83" t="s">
        <v>33</v>
      </c>
      <c r="G1029" s="86"/>
      <c r="H1029" s="86">
        <v>0</v>
      </c>
      <c r="I1029" s="171"/>
      <c r="J1029" s="194"/>
      <c r="K1029" s="194"/>
      <c r="L1029" s="194"/>
      <c r="M1029" s="194"/>
      <c r="N1029" s="194"/>
      <c r="O1029" s="194"/>
      <c r="P1029" s="194"/>
      <c r="Q1029" s="194"/>
    </row>
    <row r="1030" spans="1:17" s="32" customFormat="1" ht="65.25" hidden="1" customHeight="1">
      <c r="A1030" s="81" t="s">
        <v>610</v>
      </c>
      <c r="B1030" s="83" t="s">
        <v>94</v>
      </c>
      <c r="C1030" s="83" t="s">
        <v>72</v>
      </c>
      <c r="D1030" s="83" t="s">
        <v>19</v>
      </c>
      <c r="E1030" s="83" t="s">
        <v>609</v>
      </c>
      <c r="F1030" s="83"/>
      <c r="G1030" s="86">
        <f>G1031</f>
        <v>0</v>
      </c>
      <c r="H1030" s="86">
        <f t="shared" ref="H1030" si="243">H1031</f>
        <v>0</v>
      </c>
      <c r="I1030" s="171"/>
      <c r="J1030" s="194"/>
      <c r="K1030" s="194"/>
      <c r="L1030" s="194"/>
      <c r="M1030" s="194"/>
      <c r="N1030" s="194"/>
      <c r="O1030" s="194"/>
      <c r="P1030" s="194"/>
      <c r="Q1030" s="194"/>
    </row>
    <row r="1031" spans="1:17" s="32" customFormat="1" ht="25.5" hidden="1" customHeight="1">
      <c r="A1031" s="81" t="s">
        <v>30</v>
      </c>
      <c r="B1031" s="83" t="s">
        <v>94</v>
      </c>
      <c r="C1031" s="83" t="s">
        <v>72</v>
      </c>
      <c r="D1031" s="83" t="s">
        <v>19</v>
      </c>
      <c r="E1031" s="83" t="s">
        <v>609</v>
      </c>
      <c r="F1031" s="83" t="s">
        <v>31</v>
      </c>
      <c r="G1031" s="86">
        <f>G1032</f>
        <v>0</v>
      </c>
      <c r="H1031" s="86">
        <v>0</v>
      </c>
      <c r="I1031" s="171"/>
      <c r="J1031" s="194"/>
      <c r="K1031" s="194"/>
      <c r="L1031" s="194"/>
      <c r="M1031" s="194"/>
      <c r="N1031" s="194"/>
      <c r="O1031" s="194"/>
      <c r="P1031" s="194"/>
      <c r="Q1031" s="194"/>
    </row>
    <row r="1032" spans="1:17" s="32" customFormat="1" ht="17.25" hidden="1" customHeight="1">
      <c r="A1032" s="81" t="s">
        <v>32</v>
      </c>
      <c r="B1032" s="83" t="s">
        <v>94</v>
      </c>
      <c r="C1032" s="83" t="s">
        <v>72</v>
      </c>
      <c r="D1032" s="83" t="s">
        <v>19</v>
      </c>
      <c r="E1032" s="83" t="s">
        <v>609</v>
      </c>
      <c r="F1032" s="83" t="s">
        <v>33</v>
      </c>
      <c r="G1032" s="86"/>
      <c r="H1032" s="86">
        <v>0</v>
      </c>
      <c r="I1032" s="171"/>
      <c r="J1032" s="194"/>
      <c r="K1032" s="194"/>
      <c r="L1032" s="194"/>
      <c r="M1032" s="194"/>
      <c r="N1032" s="194"/>
      <c r="O1032" s="194"/>
      <c r="P1032" s="194"/>
      <c r="Q1032" s="194"/>
    </row>
    <row r="1033" spans="1:17" s="18" customFormat="1" ht="25.5" hidden="1">
      <c r="A1033" s="81" t="s">
        <v>470</v>
      </c>
      <c r="B1033" s="83" t="s">
        <v>94</v>
      </c>
      <c r="C1033" s="83" t="s">
        <v>72</v>
      </c>
      <c r="D1033" s="83" t="s">
        <v>19</v>
      </c>
      <c r="E1033" s="83" t="s">
        <v>262</v>
      </c>
      <c r="F1033" s="83"/>
      <c r="G1033" s="86">
        <f>G1034</f>
        <v>0</v>
      </c>
      <c r="H1033" s="86">
        <f t="shared" ref="H1033:H1035" si="244">H1034</f>
        <v>0</v>
      </c>
      <c r="I1033" s="171"/>
      <c r="J1033" s="191"/>
      <c r="K1033" s="191"/>
      <c r="L1033" s="191"/>
      <c r="M1033" s="191"/>
      <c r="N1033" s="191"/>
      <c r="O1033" s="191"/>
      <c r="P1033" s="191"/>
      <c r="Q1033" s="191"/>
    </row>
    <row r="1034" spans="1:17" s="18" customFormat="1" ht="25.5" hidden="1">
      <c r="A1034" s="81" t="s">
        <v>469</v>
      </c>
      <c r="B1034" s="83" t="s">
        <v>94</v>
      </c>
      <c r="C1034" s="83" t="s">
        <v>72</v>
      </c>
      <c r="D1034" s="83" t="s">
        <v>19</v>
      </c>
      <c r="E1034" s="83" t="s">
        <v>441</v>
      </c>
      <c r="F1034" s="83"/>
      <c r="G1034" s="86">
        <f>G1035</f>
        <v>0</v>
      </c>
      <c r="H1034" s="86">
        <f t="shared" si="244"/>
        <v>0</v>
      </c>
      <c r="I1034" s="171"/>
      <c r="J1034" s="191"/>
      <c r="K1034" s="191"/>
      <c r="L1034" s="191"/>
      <c r="M1034" s="191"/>
      <c r="N1034" s="191"/>
      <c r="O1034" s="191"/>
      <c r="P1034" s="191"/>
      <c r="Q1034" s="191"/>
    </row>
    <row r="1035" spans="1:17" s="18" customFormat="1" ht="25.5" hidden="1">
      <c r="A1035" s="81" t="s">
        <v>96</v>
      </c>
      <c r="B1035" s="83" t="s">
        <v>94</v>
      </c>
      <c r="C1035" s="83" t="s">
        <v>72</v>
      </c>
      <c r="D1035" s="83" t="s">
        <v>19</v>
      </c>
      <c r="E1035" s="83" t="s">
        <v>441</v>
      </c>
      <c r="F1035" s="83" t="s">
        <v>348</v>
      </c>
      <c r="G1035" s="86">
        <f>G1036</f>
        <v>0</v>
      </c>
      <c r="H1035" s="86">
        <f t="shared" si="244"/>
        <v>0</v>
      </c>
      <c r="I1035" s="171"/>
      <c r="J1035" s="191"/>
      <c r="K1035" s="191"/>
      <c r="L1035" s="191"/>
      <c r="M1035" s="191"/>
      <c r="N1035" s="191"/>
      <c r="O1035" s="191"/>
      <c r="P1035" s="191"/>
      <c r="Q1035" s="191"/>
    </row>
    <row r="1036" spans="1:17" s="18" customFormat="1" ht="89.25" hidden="1">
      <c r="A1036" s="129" t="s">
        <v>419</v>
      </c>
      <c r="B1036" s="83" t="s">
        <v>94</v>
      </c>
      <c r="C1036" s="83" t="s">
        <v>72</v>
      </c>
      <c r="D1036" s="83" t="s">
        <v>19</v>
      </c>
      <c r="E1036" s="83" t="s">
        <v>441</v>
      </c>
      <c r="F1036" s="83" t="s">
        <v>418</v>
      </c>
      <c r="G1036" s="86">
        <f>50000-50000</f>
        <v>0</v>
      </c>
      <c r="H1036" s="86"/>
      <c r="I1036" s="171"/>
      <c r="J1036" s="191"/>
      <c r="K1036" s="191"/>
      <c r="L1036" s="191"/>
      <c r="M1036" s="191"/>
      <c r="N1036" s="191"/>
      <c r="O1036" s="191"/>
      <c r="P1036" s="191"/>
      <c r="Q1036" s="191"/>
    </row>
    <row r="1037" spans="1:17" s="33" customFormat="1" ht="15" hidden="1" customHeight="1">
      <c r="A1037" s="81" t="s">
        <v>71</v>
      </c>
      <c r="B1037" s="83" t="s">
        <v>94</v>
      </c>
      <c r="C1037" s="83" t="s">
        <v>72</v>
      </c>
      <c r="D1037" s="83" t="s">
        <v>28</v>
      </c>
      <c r="E1037" s="163"/>
      <c r="F1037" s="163"/>
      <c r="G1037" s="92">
        <f>G1038</f>
        <v>0</v>
      </c>
      <c r="H1037" s="92">
        <f>H1038+H586</f>
        <v>0</v>
      </c>
      <c r="I1037" s="186"/>
      <c r="J1037" s="202"/>
      <c r="K1037" s="202"/>
      <c r="L1037" s="202"/>
      <c r="M1037" s="202"/>
      <c r="N1037" s="202"/>
      <c r="O1037" s="202"/>
      <c r="P1037" s="202"/>
      <c r="Q1037" s="202"/>
    </row>
    <row r="1038" spans="1:17" s="28" customFormat="1" ht="28.5" hidden="1" customHeight="1">
      <c r="A1038" s="135" t="s">
        <v>479</v>
      </c>
      <c r="B1038" s="83" t="s">
        <v>94</v>
      </c>
      <c r="C1038" s="83" t="s">
        <v>72</v>
      </c>
      <c r="D1038" s="83" t="s">
        <v>28</v>
      </c>
      <c r="E1038" s="83" t="s">
        <v>195</v>
      </c>
      <c r="F1038" s="83"/>
      <c r="G1038" s="86">
        <f>G1039+G1042+G1045</f>
        <v>0</v>
      </c>
      <c r="H1038" s="86">
        <f t="shared" ref="H1038" si="245">H1039+H1042+H1045</f>
        <v>0</v>
      </c>
      <c r="I1038" s="171"/>
      <c r="J1038" s="195"/>
      <c r="K1038" s="195"/>
      <c r="L1038" s="195"/>
      <c r="M1038" s="195"/>
      <c r="N1038" s="195"/>
      <c r="O1038" s="195"/>
      <c r="P1038" s="195"/>
      <c r="Q1038" s="195"/>
    </row>
    <row r="1039" spans="1:17" s="28" customFormat="1" ht="27.75" hidden="1" customHeight="1">
      <c r="A1039" s="135" t="s">
        <v>73</v>
      </c>
      <c r="B1039" s="83" t="s">
        <v>94</v>
      </c>
      <c r="C1039" s="83" t="s">
        <v>72</v>
      </c>
      <c r="D1039" s="83" t="s">
        <v>28</v>
      </c>
      <c r="E1039" s="83" t="s">
        <v>206</v>
      </c>
      <c r="F1039" s="83"/>
      <c r="G1039" s="86">
        <f>G1040</f>
        <v>0</v>
      </c>
      <c r="H1039" s="86">
        <f t="shared" ref="H1039" si="246">H1040</f>
        <v>0</v>
      </c>
      <c r="I1039" s="171"/>
      <c r="J1039" s="195"/>
      <c r="K1039" s="195"/>
      <c r="L1039" s="195"/>
      <c r="M1039" s="195"/>
      <c r="N1039" s="195"/>
      <c r="O1039" s="195"/>
      <c r="P1039" s="195"/>
      <c r="Q1039" s="195"/>
    </row>
    <row r="1040" spans="1:17" s="32" customFormat="1" ht="28.5" hidden="1" customHeight="1">
      <c r="A1040" s="81" t="s">
        <v>36</v>
      </c>
      <c r="B1040" s="83" t="s">
        <v>94</v>
      </c>
      <c r="C1040" s="83" t="s">
        <v>72</v>
      </c>
      <c r="D1040" s="83" t="s">
        <v>28</v>
      </c>
      <c r="E1040" s="83" t="s">
        <v>206</v>
      </c>
      <c r="F1040" s="83" t="s">
        <v>37</v>
      </c>
      <c r="G1040" s="86">
        <f>G1041</f>
        <v>0</v>
      </c>
      <c r="H1040" s="86">
        <f>H1041</f>
        <v>0</v>
      </c>
      <c r="I1040" s="171"/>
      <c r="J1040" s="194"/>
      <c r="K1040" s="194"/>
      <c r="L1040" s="194"/>
      <c r="M1040" s="194"/>
      <c r="N1040" s="194"/>
      <c r="O1040" s="194"/>
      <c r="P1040" s="194"/>
      <c r="Q1040" s="194"/>
    </row>
    <row r="1041" spans="1:17" s="32" customFormat="1" hidden="1">
      <c r="A1041" s="81"/>
      <c r="B1041" s="83" t="s">
        <v>94</v>
      </c>
      <c r="C1041" s="83"/>
      <c r="D1041" s="83"/>
      <c r="E1041" s="83"/>
      <c r="F1041" s="83"/>
      <c r="G1041" s="86"/>
      <c r="H1041" s="86"/>
      <c r="I1041" s="171"/>
      <c r="J1041" s="196"/>
      <c r="K1041" s="194"/>
      <c r="L1041" s="194"/>
      <c r="M1041" s="194"/>
      <c r="N1041" s="194"/>
      <c r="O1041" s="194"/>
      <c r="P1041" s="194"/>
      <c r="Q1041" s="194"/>
    </row>
    <row r="1042" spans="1:17" s="28" customFormat="1" ht="51" hidden="1" customHeight="1">
      <c r="A1042" s="135" t="s">
        <v>842</v>
      </c>
      <c r="B1042" s="83" t="s">
        <v>94</v>
      </c>
      <c r="C1042" s="83" t="s">
        <v>72</v>
      </c>
      <c r="D1042" s="83" t="s">
        <v>28</v>
      </c>
      <c r="E1042" s="83" t="s">
        <v>841</v>
      </c>
      <c r="F1042" s="83"/>
      <c r="G1042" s="86">
        <f>G1043</f>
        <v>0</v>
      </c>
      <c r="H1042" s="86">
        <f t="shared" ref="H1042" si="247">H1043</f>
        <v>0</v>
      </c>
      <c r="I1042" s="171"/>
      <c r="J1042" s="195"/>
      <c r="K1042" s="195"/>
      <c r="L1042" s="195"/>
      <c r="M1042" s="195"/>
      <c r="N1042" s="195"/>
      <c r="O1042" s="195"/>
      <c r="P1042" s="195"/>
      <c r="Q1042" s="195"/>
    </row>
    <row r="1043" spans="1:17" s="32" customFormat="1" ht="28.5" hidden="1" customHeight="1">
      <c r="A1043" s="81" t="s">
        <v>36</v>
      </c>
      <c r="B1043" s="83" t="s">
        <v>94</v>
      </c>
      <c r="C1043" s="83" t="s">
        <v>72</v>
      </c>
      <c r="D1043" s="83" t="s">
        <v>28</v>
      </c>
      <c r="E1043" s="83" t="s">
        <v>841</v>
      </c>
      <c r="F1043" s="83" t="s">
        <v>37</v>
      </c>
      <c r="G1043" s="86">
        <f>G1044</f>
        <v>0</v>
      </c>
      <c r="H1043" s="86">
        <f>H1044</f>
        <v>0</v>
      </c>
      <c r="I1043" s="171"/>
      <c r="J1043" s="194"/>
      <c r="K1043" s="194"/>
      <c r="L1043" s="194"/>
      <c r="M1043" s="194"/>
      <c r="N1043" s="194"/>
      <c r="O1043" s="194"/>
      <c r="P1043" s="194"/>
      <c r="Q1043" s="194"/>
    </row>
    <row r="1044" spans="1:17" s="32" customFormat="1" ht="25.5" hidden="1">
      <c r="A1044" s="81" t="s">
        <v>38</v>
      </c>
      <c r="B1044" s="83" t="s">
        <v>94</v>
      </c>
      <c r="C1044" s="83" t="s">
        <v>72</v>
      </c>
      <c r="D1044" s="83" t="s">
        <v>28</v>
      </c>
      <c r="E1044" s="83" t="s">
        <v>841</v>
      </c>
      <c r="F1044" s="83" t="s">
        <v>39</v>
      </c>
      <c r="G1044" s="86"/>
      <c r="H1044" s="86">
        <v>0</v>
      </c>
      <c r="I1044" s="171"/>
      <c r="J1044" s="196"/>
      <c r="K1044" s="194"/>
      <c r="L1044" s="194"/>
      <c r="M1044" s="194"/>
      <c r="N1044" s="194"/>
      <c r="O1044" s="194"/>
      <c r="P1044" s="194"/>
      <c r="Q1044" s="194"/>
    </row>
    <row r="1045" spans="1:17" s="28" customFormat="1" ht="51" hidden="1" customHeight="1">
      <c r="A1045" s="135" t="s">
        <v>844</v>
      </c>
      <c r="B1045" s="83" t="s">
        <v>94</v>
      </c>
      <c r="C1045" s="83" t="s">
        <v>72</v>
      </c>
      <c r="D1045" s="83" t="s">
        <v>28</v>
      </c>
      <c r="E1045" s="83" t="s">
        <v>843</v>
      </c>
      <c r="F1045" s="83"/>
      <c r="G1045" s="86">
        <f>G1046</f>
        <v>0</v>
      </c>
      <c r="H1045" s="86">
        <f t="shared" ref="H1045" si="248">H1046</f>
        <v>0</v>
      </c>
      <c r="I1045" s="171"/>
      <c r="J1045" s="195"/>
      <c r="K1045" s="195"/>
      <c r="L1045" s="195"/>
      <c r="M1045" s="195"/>
      <c r="N1045" s="195"/>
      <c r="O1045" s="195"/>
      <c r="P1045" s="195"/>
      <c r="Q1045" s="195"/>
    </row>
    <row r="1046" spans="1:17" s="32" customFormat="1" ht="28.5" hidden="1" customHeight="1">
      <c r="A1046" s="81" t="s">
        <v>36</v>
      </c>
      <c r="B1046" s="83" t="s">
        <v>94</v>
      </c>
      <c r="C1046" s="83" t="s">
        <v>72</v>
      </c>
      <c r="D1046" s="83" t="s">
        <v>28</v>
      </c>
      <c r="E1046" s="83" t="s">
        <v>843</v>
      </c>
      <c r="F1046" s="83" t="s">
        <v>37</v>
      </c>
      <c r="G1046" s="86">
        <f>G1047</f>
        <v>0</v>
      </c>
      <c r="H1046" s="86">
        <f>H1047</f>
        <v>0</v>
      </c>
      <c r="I1046" s="171"/>
      <c r="J1046" s="194"/>
      <c r="K1046" s="194"/>
      <c r="L1046" s="194"/>
      <c r="M1046" s="194"/>
      <c r="N1046" s="194"/>
      <c r="O1046" s="194"/>
      <c r="P1046" s="194"/>
      <c r="Q1046" s="194"/>
    </row>
    <row r="1047" spans="1:17" s="32" customFormat="1" ht="25.5" hidden="1">
      <c r="A1047" s="81" t="s">
        <v>38</v>
      </c>
      <c r="B1047" s="83" t="s">
        <v>94</v>
      </c>
      <c r="C1047" s="83" t="s">
        <v>72</v>
      </c>
      <c r="D1047" s="83" t="s">
        <v>28</v>
      </c>
      <c r="E1047" s="83" t="s">
        <v>843</v>
      </c>
      <c r="F1047" s="83" t="s">
        <v>39</v>
      </c>
      <c r="G1047" s="86"/>
      <c r="H1047" s="86">
        <v>0</v>
      </c>
      <c r="I1047" s="171"/>
      <c r="J1047" s="196"/>
      <c r="K1047" s="194"/>
      <c r="L1047" s="194"/>
      <c r="M1047" s="194"/>
      <c r="N1047" s="194"/>
      <c r="O1047" s="194"/>
      <c r="P1047" s="194"/>
      <c r="Q1047" s="194"/>
    </row>
    <row r="1048" spans="1:17" s="120" customFormat="1">
      <c r="A1048" s="134" t="s">
        <v>74</v>
      </c>
      <c r="B1048" s="257"/>
      <c r="C1048" s="158"/>
      <c r="D1048" s="158"/>
      <c r="E1048" s="158"/>
      <c r="F1048" s="158"/>
      <c r="G1048" s="95">
        <f>G469+G1000+G456+G449+G464+G1021</f>
        <v>1252935030.1000001</v>
      </c>
      <c r="H1048" s="95">
        <f>H469+H1000+H456+H449+H464+H1021</f>
        <v>1251433443.1800001</v>
      </c>
      <c r="I1048" s="183"/>
      <c r="J1048" s="199"/>
      <c r="K1048" s="199"/>
      <c r="L1048" s="198"/>
      <c r="M1048" s="198"/>
      <c r="N1048" s="198"/>
      <c r="O1048" s="198"/>
      <c r="P1048" s="198"/>
      <c r="Q1048" s="198"/>
    </row>
    <row r="1049" spans="1:17" s="89" customFormat="1" ht="36" customHeight="1">
      <c r="A1049" s="302" t="s">
        <v>973</v>
      </c>
      <c r="B1049" s="303">
        <v>792</v>
      </c>
      <c r="C1049" s="303"/>
      <c r="D1049" s="303"/>
      <c r="E1049" s="303"/>
      <c r="F1049" s="303"/>
      <c r="G1049" s="305"/>
      <c r="H1049" s="305"/>
      <c r="I1049" s="188"/>
      <c r="J1049" s="200"/>
      <c r="K1049" s="200"/>
      <c r="L1049" s="177"/>
      <c r="M1049" s="177"/>
      <c r="N1049" s="177"/>
      <c r="O1049" s="177"/>
      <c r="P1049" s="177"/>
      <c r="Q1049" s="177"/>
    </row>
    <row r="1050" spans="1:17">
      <c r="A1050" s="259" t="s">
        <v>18</v>
      </c>
      <c r="B1050" s="257">
        <v>792</v>
      </c>
      <c r="C1050" s="254" t="s">
        <v>19</v>
      </c>
      <c r="D1050" s="254"/>
      <c r="E1050" s="254"/>
      <c r="F1050" s="254"/>
      <c r="G1050" s="251">
        <f>G1051+G1058+G1068</f>
        <v>14580736.77</v>
      </c>
      <c r="H1050" s="251">
        <f>H1051+H1058+H1068</f>
        <v>13223631.499999998</v>
      </c>
      <c r="I1050" s="182"/>
    </row>
    <row r="1051" spans="1:17" ht="51">
      <c r="A1051" s="81" t="s">
        <v>75</v>
      </c>
      <c r="B1051" s="145">
        <v>792</v>
      </c>
      <c r="C1051" s="83" t="s">
        <v>19</v>
      </c>
      <c r="D1051" s="83" t="s">
        <v>54</v>
      </c>
      <c r="E1051" s="83"/>
      <c r="F1051" s="83"/>
      <c r="G1051" s="86">
        <f>G1052</f>
        <v>1330000</v>
      </c>
      <c r="H1051" s="86">
        <f t="shared" ref="H1051:H1052" si="249">H1052</f>
        <v>1330000</v>
      </c>
      <c r="I1051" s="171"/>
      <c r="J1051" s="200"/>
    </row>
    <row r="1052" spans="1:17" s="28" customFormat="1" ht="39.75" customHeight="1">
      <c r="A1052" s="81" t="s">
        <v>439</v>
      </c>
      <c r="B1052" s="145">
        <v>792</v>
      </c>
      <c r="C1052" s="83" t="s">
        <v>19</v>
      </c>
      <c r="D1052" s="83" t="s">
        <v>54</v>
      </c>
      <c r="E1052" s="83" t="s">
        <v>229</v>
      </c>
      <c r="F1052" s="163"/>
      <c r="G1052" s="86">
        <f>G1053</f>
        <v>1330000</v>
      </c>
      <c r="H1052" s="86">
        <f t="shared" si="249"/>
        <v>1330000</v>
      </c>
      <c r="I1052" s="171"/>
      <c r="J1052" s="201"/>
      <c r="K1052" s="195"/>
      <c r="L1052" s="195"/>
      <c r="M1052" s="195"/>
      <c r="N1052" s="195"/>
      <c r="O1052" s="195"/>
      <c r="P1052" s="195"/>
      <c r="Q1052" s="195"/>
    </row>
    <row r="1053" spans="1:17" s="28" customFormat="1" ht="38.25">
      <c r="A1053" s="81" t="s">
        <v>155</v>
      </c>
      <c r="B1053" s="145">
        <v>792</v>
      </c>
      <c r="C1053" s="83" t="s">
        <v>19</v>
      </c>
      <c r="D1053" s="83" t="s">
        <v>54</v>
      </c>
      <c r="E1053" s="83" t="s">
        <v>674</v>
      </c>
      <c r="F1053" s="163"/>
      <c r="G1053" s="86">
        <f>G1055</f>
        <v>1330000</v>
      </c>
      <c r="H1053" s="86">
        <f t="shared" ref="H1053" si="250">H1055</f>
        <v>1330000</v>
      </c>
      <c r="I1053" s="171"/>
      <c r="J1053" s="201"/>
      <c r="K1053" s="201"/>
      <c r="L1053" s="195"/>
      <c r="M1053" s="195"/>
      <c r="N1053" s="195"/>
      <c r="O1053" s="195"/>
      <c r="P1053" s="195"/>
      <c r="Q1053" s="195"/>
    </row>
    <row r="1054" spans="1:17" hidden="1">
      <c r="A1054" s="81"/>
      <c r="B1054" s="145"/>
      <c r="C1054" s="83"/>
      <c r="D1054" s="83"/>
      <c r="E1054" s="83"/>
      <c r="F1054" s="83"/>
      <c r="G1054" s="86"/>
      <c r="H1054" s="86"/>
      <c r="I1054" s="171"/>
    </row>
    <row r="1055" spans="1:17" s="3" customFormat="1" ht="73.5" customHeight="1">
      <c r="A1055" s="81" t="s">
        <v>676</v>
      </c>
      <c r="B1055" s="145">
        <v>792</v>
      </c>
      <c r="C1055" s="83" t="s">
        <v>19</v>
      </c>
      <c r="D1055" s="83" t="s">
        <v>54</v>
      </c>
      <c r="E1055" s="83" t="s">
        <v>674</v>
      </c>
      <c r="F1055" s="83"/>
      <c r="G1055" s="86">
        <f>G1057</f>
        <v>1330000</v>
      </c>
      <c r="H1055" s="86">
        <f t="shared" ref="H1055" si="251">H1057</f>
        <v>1330000</v>
      </c>
      <c r="I1055" s="171"/>
      <c r="J1055" s="190"/>
      <c r="K1055" s="190"/>
      <c r="L1055" s="190"/>
      <c r="M1055" s="190"/>
      <c r="N1055" s="190"/>
      <c r="O1055" s="190"/>
      <c r="P1055" s="190"/>
      <c r="Q1055" s="190"/>
    </row>
    <row r="1056" spans="1:17" s="3" customFormat="1">
      <c r="A1056" s="81" t="s">
        <v>156</v>
      </c>
      <c r="B1056" s="145">
        <v>792</v>
      </c>
      <c r="C1056" s="83" t="s">
        <v>19</v>
      </c>
      <c r="D1056" s="83" t="s">
        <v>54</v>
      </c>
      <c r="E1056" s="83" t="s">
        <v>674</v>
      </c>
      <c r="F1056" s="83" t="s">
        <v>157</v>
      </c>
      <c r="G1056" s="86">
        <f t="shared" ref="G1056:H1056" si="252">G1057</f>
        <v>1330000</v>
      </c>
      <c r="H1056" s="86">
        <f t="shared" si="252"/>
        <v>1330000</v>
      </c>
      <c r="I1056" s="171"/>
      <c r="J1056" s="211"/>
      <c r="K1056" s="190"/>
      <c r="L1056" s="190"/>
      <c r="M1056" s="190"/>
      <c r="N1056" s="190"/>
      <c r="O1056" s="190"/>
      <c r="P1056" s="190"/>
      <c r="Q1056" s="190"/>
    </row>
    <row r="1057" spans="1:17">
      <c r="A1057" s="81" t="s">
        <v>158</v>
      </c>
      <c r="B1057" s="145">
        <v>792</v>
      </c>
      <c r="C1057" s="83" t="s">
        <v>19</v>
      </c>
      <c r="D1057" s="83" t="s">
        <v>54</v>
      </c>
      <c r="E1057" s="83" t="s">
        <v>674</v>
      </c>
      <c r="F1057" s="83" t="s">
        <v>159</v>
      </c>
      <c r="G1057" s="86">
        <v>1330000</v>
      </c>
      <c r="H1057" s="86">
        <v>1330000</v>
      </c>
      <c r="I1057" s="171"/>
    </row>
    <row r="1058" spans="1:17" ht="38.25">
      <c r="A1058" s="81" t="s">
        <v>160</v>
      </c>
      <c r="B1058" s="145">
        <v>792</v>
      </c>
      <c r="C1058" s="83" t="s">
        <v>19</v>
      </c>
      <c r="D1058" s="83" t="s">
        <v>161</v>
      </c>
      <c r="E1058" s="83"/>
      <c r="F1058" s="83"/>
      <c r="G1058" s="86">
        <f t="shared" ref="G1058:H1060" si="253">G1059</f>
        <v>11937631</v>
      </c>
      <c r="H1058" s="86">
        <f t="shared" si="253"/>
        <v>11893631.499999998</v>
      </c>
      <c r="I1058" s="171"/>
      <c r="J1058" s="200"/>
    </row>
    <row r="1059" spans="1:17" s="33" customFormat="1" ht="31.5" customHeight="1">
      <c r="A1059" s="81" t="s">
        <v>439</v>
      </c>
      <c r="B1059" s="145">
        <v>792</v>
      </c>
      <c r="C1059" s="83" t="s">
        <v>19</v>
      </c>
      <c r="D1059" s="83" t="s">
        <v>161</v>
      </c>
      <c r="E1059" s="83" t="s">
        <v>229</v>
      </c>
      <c r="F1059" s="163"/>
      <c r="G1059" s="86">
        <f t="shared" si="253"/>
        <v>11937631</v>
      </c>
      <c r="H1059" s="86">
        <f t="shared" si="253"/>
        <v>11893631.499999998</v>
      </c>
      <c r="I1059" s="171"/>
      <c r="J1059" s="212"/>
      <c r="K1059" s="202"/>
      <c r="L1059" s="202"/>
      <c r="M1059" s="202"/>
      <c r="N1059" s="202"/>
      <c r="O1059" s="202"/>
      <c r="P1059" s="202"/>
      <c r="Q1059" s="202"/>
    </row>
    <row r="1060" spans="1:17" s="46" customFormat="1" ht="41.25" customHeight="1">
      <c r="A1060" s="81" t="s">
        <v>162</v>
      </c>
      <c r="B1060" s="145">
        <v>792</v>
      </c>
      <c r="C1060" s="83" t="s">
        <v>19</v>
      </c>
      <c r="D1060" s="83" t="s">
        <v>161</v>
      </c>
      <c r="E1060" s="83" t="s">
        <v>231</v>
      </c>
      <c r="F1060" s="83"/>
      <c r="G1060" s="86">
        <f t="shared" si="253"/>
        <v>11937631</v>
      </c>
      <c r="H1060" s="86">
        <f t="shared" si="253"/>
        <v>11893631.499999998</v>
      </c>
      <c r="I1060" s="171"/>
      <c r="J1060" s="213"/>
      <c r="K1060" s="213"/>
      <c r="L1060" s="213"/>
      <c r="M1060" s="213"/>
      <c r="N1060" s="213"/>
      <c r="O1060" s="213"/>
      <c r="P1060" s="213"/>
      <c r="Q1060" s="213"/>
    </row>
    <row r="1061" spans="1:17" s="46" customFormat="1" ht="27.75" customHeight="1">
      <c r="A1061" s="81" t="s">
        <v>76</v>
      </c>
      <c r="B1061" s="145">
        <v>792</v>
      </c>
      <c r="C1061" s="83" t="s">
        <v>19</v>
      </c>
      <c r="D1061" s="83" t="s">
        <v>161</v>
      </c>
      <c r="E1061" s="83" t="s">
        <v>232</v>
      </c>
      <c r="F1061" s="83"/>
      <c r="G1061" s="86">
        <f>G1062+G1064+G1066</f>
        <v>11937631</v>
      </c>
      <c r="H1061" s="86">
        <f t="shared" ref="H1061" si="254">H1062+H1064+H1066</f>
        <v>11893631.499999998</v>
      </c>
      <c r="I1061" s="171"/>
      <c r="J1061" s="213"/>
      <c r="K1061" s="213"/>
      <c r="L1061" s="213"/>
      <c r="M1061" s="213"/>
      <c r="N1061" s="213"/>
      <c r="O1061" s="213"/>
      <c r="P1061" s="213"/>
      <c r="Q1061" s="213"/>
    </row>
    <row r="1062" spans="1:17" s="46" customFormat="1" ht="51" customHeight="1">
      <c r="A1062" s="81" t="s">
        <v>55</v>
      </c>
      <c r="B1062" s="145">
        <v>792</v>
      </c>
      <c r="C1062" s="83" t="s">
        <v>19</v>
      </c>
      <c r="D1062" s="83" t="s">
        <v>161</v>
      </c>
      <c r="E1062" s="83" t="s">
        <v>232</v>
      </c>
      <c r="F1062" s="83" t="s">
        <v>58</v>
      </c>
      <c r="G1062" s="86">
        <f>G1063</f>
        <v>10609115</v>
      </c>
      <c r="H1062" s="86">
        <f>H1063</f>
        <v>10592953.869999999</v>
      </c>
      <c r="I1062" s="171"/>
      <c r="J1062" s="213"/>
      <c r="K1062" s="213"/>
      <c r="L1062" s="213"/>
      <c r="M1062" s="213"/>
      <c r="N1062" s="213"/>
      <c r="O1062" s="213"/>
      <c r="P1062" s="213"/>
      <c r="Q1062" s="213"/>
    </row>
    <row r="1063" spans="1:17" s="46" customFormat="1" ht="25.5">
      <c r="A1063" s="81" t="s">
        <v>56</v>
      </c>
      <c r="B1063" s="145">
        <v>792</v>
      </c>
      <c r="C1063" s="83" t="s">
        <v>19</v>
      </c>
      <c r="D1063" s="83" t="s">
        <v>161</v>
      </c>
      <c r="E1063" s="83" t="s">
        <v>232</v>
      </c>
      <c r="F1063" s="83" t="s">
        <v>59</v>
      </c>
      <c r="G1063" s="86">
        <f>10759115-150000</f>
        <v>10609115</v>
      </c>
      <c r="H1063" s="86">
        <v>10592953.869999999</v>
      </c>
      <c r="I1063" s="171"/>
      <c r="J1063" s="213"/>
      <c r="K1063" s="213"/>
      <c r="L1063" s="213"/>
      <c r="M1063" s="213"/>
      <c r="N1063" s="213"/>
      <c r="O1063" s="213"/>
      <c r="P1063" s="213"/>
      <c r="Q1063" s="213"/>
    </row>
    <row r="1064" spans="1:17" s="46" customFormat="1" ht="25.5">
      <c r="A1064" s="81" t="s">
        <v>36</v>
      </c>
      <c r="B1064" s="145">
        <v>792</v>
      </c>
      <c r="C1064" s="83" t="s">
        <v>19</v>
      </c>
      <c r="D1064" s="83" t="s">
        <v>161</v>
      </c>
      <c r="E1064" s="83" t="s">
        <v>232</v>
      </c>
      <c r="F1064" s="83" t="s">
        <v>37</v>
      </c>
      <c r="G1064" s="86">
        <f>G1065</f>
        <v>1302516</v>
      </c>
      <c r="H1064" s="86">
        <f>H1065</f>
        <v>1275346.93</v>
      </c>
      <c r="I1064" s="171"/>
      <c r="J1064" s="213"/>
      <c r="K1064" s="213"/>
      <c r="L1064" s="213"/>
      <c r="M1064" s="213"/>
      <c r="N1064" s="213"/>
      <c r="O1064" s="213"/>
      <c r="P1064" s="213"/>
      <c r="Q1064" s="213"/>
    </row>
    <row r="1065" spans="1:17" s="46" customFormat="1" ht="25.5">
      <c r="A1065" s="81" t="s">
        <v>38</v>
      </c>
      <c r="B1065" s="145">
        <v>792</v>
      </c>
      <c r="C1065" s="83" t="s">
        <v>19</v>
      </c>
      <c r="D1065" s="83" t="s">
        <v>161</v>
      </c>
      <c r="E1065" s="83" t="s">
        <v>232</v>
      </c>
      <c r="F1065" s="83" t="s">
        <v>39</v>
      </c>
      <c r="G1065" s="86">
        <f>1152516+150000</f>
        <v>1302516</v>
      </c>
      <c r="H1065" s="86">
        <v>1275346.93</v>
      </c>
      <c r="I1065" s="171"/>
      <c r="J1065" s="213"/>
      <c r="K1065" s="213"/>
      <c r="L1065" s="213"/>
      <c r="M1065" s="213"/>
      <c r="N1065" s="213"/>
      <c r="O1065" s="213"/>
      <c r="P1065" s="213"/>
      <c r="Q1065" s="213"/>
    </row>
    <row r="1066" spans="1:17" s="46" customFormat="1">
      <c r="A1066" s="132" t="s">
        <v>63</v>
      </c>
      <c r="B1066" s="145">
        <v>792</v>
      </c>
      <c r="C1066" s="83" t="s">
        <v>19</v>
      </c>
      <c r="D1066" s="83" t="s">
        <v>161</v>
      </c>
      <c r="E1066" s="83" t="s">
        <v>232</v>
      </c>
      <c r="F1066" s="83" t="s">
        <v>64</v>
      </c>
      <c r="G1066" s="86">
        <f>G1067</f>
        <v>26000</v>
      </c>
      <c r="H1066" s="86">
        <f>H1067</f>
        <v>25330.7</v>
      </c>
      <c r="I1066" s="171"/>
      <c r="J1066" s="213"/>
      <c r="K1066" s="213"/>
      <c r="L1066" s="213"/>
      <c r="M1066" s="213"/>
      <c r="N1066" s="213"/>
      <c r="O1066" s="213"/>
      <c r="P1066" s="213"/>
      <c r="Q1066" s="213"/>
    </row>
    <row r="1067" spans="1:17" s="46" customFormat="1">
      <c r="A1067" s="132" t="s">
        <v>144</v>
      </c>
      <c r="B1067" s="145">
        <v>792</v>
      </c>
      <c r="C1067" s="83" t="s">
        <v>19</v>
      </c>
      <c r="D1067" s="83" t="s">
        <v>161</v>
      </c>
      <c r="E1067" s="83" t="s">
        <v>232</v>
      </c>
      <c r="F1067" s="83" t="s">
        <v>67</v>
      </c>
      <c r="G1067" s="86">
        <v>26000</v>
      </c>
      <c r="H1067" s="86">
        <v>25330.7</v>
      </c>
      <c r="I1067" s="171"/>
      <c r="J1067" s="213"/>
      <c r="K1067" s="213"/>
      <c r="L1067" s="213"/>
      <c r="M1067" s="213"/>
      <c r="N1067" s="213"/>
      <c r="O1067" s="213"/>
      <c r="P1067" s="213"/>
      <c r="Q1067" s="213"/>
    </row>
    <row r="1068" spans="1:17">
      <c r="A1068" s="133" t="s">
        <v>22</v>
      </c>
      <c r="B1068" s="145">
        <v>792</v>
      </c>
      <c r="C1068" s="83" t="s">
        <v>19</v>
      </c>
      <c r="D1068" s="83" t="s">
        <v>23</v>
      </c>
      <c r="E1068" s="83"/>
      <c r="F1068" s="83"/>
      <c r="G1068" s="86">
        <f>G1069</f>
        <v>1313105.77</v>
      </c>
      <c r="H1068" s="86">
        <f t="shared" ref="H1068" si="255">H1069</f>
        <v>0</v>
      </c>
      <c r="I1068" s="171"/>
    </row>
    <row r="1069" spans="1:17" s="33" customFormat="1" ht="31.5" customHeight="1">
      <c r="A1069" s="81" t="s">
        <v>98</v>
      </c>
      <c r="B1069" s="145">
        <v>792</v>
      </c>
      <c r="C1069" s="83" t="s">
        <v>19</v>
      </c>
      <c r="D1069" s="83" t="s">
        <v>23</v>
      </c>
      <c r="E1069" s="145" t="s">
        <v>210</v>
      </c>
      <c r="F1069" s="83"/>
      <c r="G1069" s="86">
        <f>G1070</f>
        <v>1313105.77</v>
      </c>
      <c r="H1069" s="86">
        <f t="shared" ref="H1069" si="256">H1070</f>
        <v>0</v>
      </c>
      <c r="I1069" s="171"/>
      <c r="J1069" s="202"/>
      <c r="K1069" s="202"/>
      <c r="L1069" s="202"/>
      <c r="M1069" s="202"/>
      <c r="N1069" s="202"/>
      <c r="O1069" s="202"/>
      <c r="P1069" s="202"/>
      <c r="Q1069" s="202"/>
    </row>
    <row r="1070" spans="1:17" ht="18.75" customHeight="1">
      <c r="A1070" s="81" t="s">
        <v>333</v>
      </c>
      <c r="B1070" s="145">
        <v>792</v>
      </c>
      <c r="C1070" s="83" t="s">
        <v>19</v>
      </c>
      <c r="D1070" s="83" t="s">
        <v>23</v>
      </c>
      <c r="E1070" s="83" t="s">
        <v>211</v>
      </c>
      <c r="F1070" s="83"/>
      <c r="G1070" s="86">
        <f>G1071</f>
        <v>1313105.77</v>
      </c>
      <c r="H1070" s="86">
        <f t="shared" ref="H1070" si="257">H1071</f>
        <v>0</v>
      </c>
      <c r="I1070" s="171"/>
    </row>
    <row r="1071" spans="1:17" ht="18.75" customHeight="1">
      <c r="A1071" s="81" t="s">
        <v>63</v>
      </c>
      <c r="B1071" s="145">
        <v>792</v>
      </c>
      <c r="C1071" s="83" t="s">
        <v>19</v>
      </c>
      <c r="D1071" s="83" t="s">
        <v>23</v>
      </c>
      <c r="E1071" s="83" t="s">
        <v>211</v>
      </c>
      <c r="F1071" s="83" t="s">
        <v>64</v>
      </c>
      <c r="G1071" s="86">
        <f>G1072</f>
        <v>1313105.77</v>
      </c>
      <c r="H1071" s="86">
        <f>H1072</f>
        <v>0</v>
      </c>
      <c r="I1071" s="171"/>
    </row>
    <row r="1072" spans="1:17" ht="18.75" customHeight="1">
      <c r="A1072" s="81" t="s">
        <v>328</v>
      </c>
      <c r="B1072" s="145">
        <v>792</v>
      </c>
      <c r="C1072" s="83" t="s">
        <v>19</v>
      </c>
      <c r="D1072" s="83" t="s">
        <v>23</v>
      </c>
      <c r="E1072" s="83" t="s">
        <v>211</v>
      </c>
      <c r="F1072" s="83" t="s">
        <v>327</v>
      </c>
      <c r="G1072" s="86">
        <v>1313105.77</v>
      </c>
      <c r="H1072" s="86">
        <v>0</v>
      </c>
      <c r="I1072" s="171"/>
    </row>
    <row r="1073" spans="1:17">
      <c r="A1073" s="134" t="s">
        <v>165</v>
      </c>
      <c r="B1073" s="257">
        <v>792</v>
      </c>
      <c r="C1073" s="158" t="s">
        <v>28</v>
      </c>
      <c r="D1073" s="158"/>
      <c r="E1073" s="158"/>
      <c r="F1073" s="158"/>
      <c r="G1073" s="95">
        <f t="shared" ref="G1073:H1074" si="258">G1074</f>
        <v>3750613.11</v>
      </c>
      <c r="H1073" s="95">
        <f t="shared" si="258"/>
        <v>3750613.11</v>
      </c>
      <c r="I1073" s="183"/>
    </row>
    <row r="1074" spans="1:17">
      <c r="A1074" s="133" t="s">
        <v>166</v>
      </c>
      <c r="B1074" s="145">
        <v>792</v>
      </c>
      <c r="C1074" s="83" t="s">
        <v>28</v>
      </c>
      <c r="D1074" s="83" t="s">
        <v>70</v>
      </c>
      <c r="E1074" s="83"/>
      <c r="F1074" s="83"/>
      <c r="G1074" s="86">
        <f t="shared" si="258"/>
        <v>3750613.11</v>
      </c>
      <c r="H1074" s="86">
        <f t="shared" si="258"/>
        <v>3750613.11</v>
      </c>
      <c r="I1074" s="171"/>
    </row>
    <row r="1075" spans="1:17" s="28" customFormat="1" ht="38.25">
      <c r="A1075" s="81" t="s">
        <v>439</v>
      </c>
      <c r="B1075" s="145">
        <v>792</v>
      </c>
      <c r="C1075" s="83" t="s">
        <v>28</v>
      </c>
      <c r="D1075" s="83" t="s">
        <v>70</v>
      </c>
      <c r="E1075" s="83" t="s">
        <v>229</v>
      </c>
      <c r="F1075" s="163"/>
      <c r="G1075" s="86">
        <f>G1077</f>
        <v>3750613.11</v>
      </c>
      <c r="H1075" s="86">
        <f>H1077</f>
        <v>3750613.11</v>
      </c>
      <c r="I1075" s="171"/>
      <c r="J1075" s="195"/>
      <c r="K1075" s="195"/>
      <c r="L1075" s="195"/>
      <c r="M1075" s="195"/>
      <c r="N1075" s="195"/>
      <c r="O1075" s="195"/>
      <c r="P1075" s="195"/>
      <c r="Q1075" s="195"/>
    </row>
    <row r="1076" spans="1:17" s="46" customFormat="1" ht="41.25" customHeight="1">
      <c r="A1076" s="81" t="s">
        <v>155</v>
      </c>
      <c r="B1076" s="145">
        <v>792</v>
      </c>
      <c r="C1076" s="83" t="s">
        <v>28</v>
      </c>
      <c r="D1076" s="83" t="s">
        <v>70</v>
      </c>
      <c r="E1076" s="83" t="s">
        <v>230</v>
      </c>
      <c r="F1076" s="83"/>
      <c r="G1076" s="86">
        <f t="shared" ref="G1076" si="259">G1077</f>
        <v>3750613.11</v>
      </c>
      <c r="H1076" s="86">
        <f t="shared" ref="H1076" si="260">H1077</f>
        <v>3750613.11</v>
      </c>
      <c r="I1076" s="171"/>
      <c r="J1076" s="213"/>
      <c r="K1076" s="213"/>
      <c r="L1076" s="213"/>
      <c r="M1076" s="213"/>
      <c r="N1076" s="213"/>
      <c r="O1076" s="213"/>
      <c r="P1076" s="213"/>
      <c r="Q1076" s="213"/>
    </row>
    <row r="1077" spans="1:17" s="28" customFormat="1" ht="25.5">
      <c r="A1077" s="81" t="s">
        <v>167</v>
      </c>
      <c r="B1077" s="145">
        <v>792</v>
      </c>
      <c r="C1077" s="83" t="s">
        <v>28</v>
      </c>
      <c r="D1077" s="83" t="s">
        <v>70</v>
      </c>
      <c r="E1077" s="83" t="s">
        <v>384</v>
      </c>
      <c r="F1077" s="163"/>
      <c r="G1077" s="86">
        <f t="shared" ref="G1077:H1078" si="261">G1078</f>
        <v>3750613.11</v>
      </c>
      <c r="H1077" s="86">
        <f t="shared" si="261"/>
        <v>3750613.11</v>
      </c>
      <c r="I1077" s="171"/>
      <c r="J1077" s="195"/>
      <c r="K1077" s="195"/>
      <c r="L1077" s="195"/>
      <c r="M1077" s="195"/>
      <c r="N1077" s="195"/>
      <c r="O1077" s="195"/>
      <c r="P1077" s="195"/>
      <c r="Q1077" s="195"/>
    </row>
    <row r="1078" spans="1:17" ht="22.5" customHeight="1">
      <c r="A1078" s="81" t="s">
        <v>156</v>
      </c>
      <c r="B1078" s="145">
        <v>792</v>
      </c>
      <c r="C1078" s="83" t="s">
        <v>28</v>
      </c>
      <c r="D1078" s="83" t="s">
        <v>70</v>
      </c>
      <c r="E1078" s="83" t="s">
        <v>384</v>
      </c>
      <c r="F1078" s="83" t="s">
        <v>157</v>
      </c>
      <c r="G1078" s="86">
        <f t="shared" si="261"/>
        <v>3750613.11</v>
      </c>
      <c r="H1078" s="86">
        <f t="shared" si="261"/>
        <v>3750613.11</v>
      </c>
      <c r="I1078" s="171"/>
    </row>
    <row r="1079" spans="1:17">
      <c r="A1079" s="81" t="s">
        <v>158</v>
      </c>
      <c r="B1079" s="145">
        <v>792</v>
      </c>
      <c r="C1079" s="83" t="s">
        <v>28</v>
      </c>
      <c r="D1079" s="83" t="s">
        <v>70</v>
      </c>
      <c r="E1079" s="83" t="s">
        <v>384</v>
      </c>
      <c r="F1079" s="83" t="s">
        <v>159</v>
      </c>
      <c r="G1079" s="86">
        <v>3750613.11</v>
      </c>
      <c r="H1079" s="86">
        <v>3750613.11</v>
      </c>
      <c r="I1079" s="171"/>
    </row>
    <row r="1080" spans="1:17" hidden="1">
      <c r="A1080" s="131" t="s">
        <v>175</v>
      </c>
      <c r="B1080" s="145">
        <v>792</v>
      </c>
      <c r="C1080" s="83" t="s">
        <v>173</v>
      </c>
      <c r="D1080" s="83" t="s">
        <v>28</v>
      </c>
      <c r="E1080" s="83"/>
      <c r="F1080" s="83"/>
      <c r="G1080" s="86">
        <f>G1082</f>
        <v>0</v>
      </c>
      <c r="H1080" s="86">
        <f t="shared" ref="H1080" si="262">H1082</f>
        <v>0</v>
      </c>
      <c r="I1080" s="171"/>
    </row>
    <row r="1081" spans="1:17" ht="68.25" hidden="1" customHeight="1">
      <c r="A1081" s="131" t="s">
        <v>799</v>
      </c>
      <c r="B1081" s="145">
        <v>792</v>
      </c>
      <c r="C1081" s="83" t="s">
        <v>173</v>
      </c>
      <c r="D1081" s="83" t="s">
        <v>28</v>
      </c>
      <c r="E1081" s="83" t="s">
        <v>693</v>
      </c>
      <c r="F1081" s="83"/>
      <c r="G1081" s="86">
        <f>G1082</f>
        <v>0</v>
      </c>
      <c r="H1081" s="86">
        <f t="shared" ref="H1081" si="263">H1082</f>
        <v>0</v>
      </c>
      <c r="I1081" s="171"/>
      <c r="J1081" s="171"/>
      <c r="K1081" s="171"/>
      <c r="L1081" s="171"/>
      <c r="M1081" s="171"/>
      <c r="N1081" s="171"/>
    </row>
    <row r="1082" spans="1:17" hidden="1">
      <c r="A1082" s="81" t="s">
        <v>694</v>
      </c>
      <c r="B1082" s="145">
        <v>792</v>
      </c>
      <c r="C1082" s="83" t="s">
        <v>173</v>
      </c>
      <c r="D1082" s="83" t="s">
        <v>28</v>
      </c>
      <c r="E1082" s="83" t="s">
        <v>693</v>
      </c>
      <c r="F1082" s="83"/>
      <c r="G1082" s="86">
        <f t="shared" ref="G1082:H1083" si="264">G1083</f>
        <v>0</v>
      </c>
      <c r="H1082" s="86">
        <f t="shared" si="264"/>
        <v>0</v>
      </c>
      <c r="I1082" s="171"/>
    </row>
    <row r="1083" spans="1:17" ht="25.5" hidden="1">
      <c r="A1083" s="81" t="s">
        <v>36</v>
      </c>
      <c r="B1083" s="145">
        <v>792</v>
      </c>
      <c r="C1083" s="83" t="s">
        <v>173</v>
      </c>
      <c r="D1083" s="83" t="s">
        <v>28</v>
      </c>
      <c r="E1083" s="83" t="s">
        <v>693</v>
      </c>
      <c r="F1083" s="83" t="s">
        <v>37</v>
      </c>
      <c r="G1083" s="86">
        <f t="shared" si="264"/>
        <v>0</v>
      </c>
      <c r="H1083" s="86">
        <f t="shared" si="264"/>
        <v>0</v>
      </c>
      <c r="I1083" s="171"/>
    </row>
    <row r="1084" spans="1:17" ht="25.5" hidden="1">
      <c r="A1084" s="81" t="s">
        <v>38</v>
      </c>
      <c r="B1084" s="145">
        <v>792</v>
      </c>
      <c r="C1084" s="83" t="s">
        <v>173</v>
      </c>
      <c r="D1084" s="83" t="s">
        <v>28</v>
      </c>
      <c r="E1084" s="83" t="s">
        <v>693</v>
      </c>
      <c r="F1084" s="83" t="s">
        <v>39</v>
      </c>
      <c r="G1084" s="86"/>
      <c r="H1084" s="86"/>
      <c r="I1084" s="171"/>
    </row>
    <row r="1085" spans="1:17">
      <c r="A1085" s="252" t="s">
        <v>145</v>
      </c>
      <c r="B1085" s="158" t="s">
        <v>780</v>
      </c>
      <c r="C1085" s="254" t="s">
        <v>69</v>
      </c>
      <c r="D1085" s="254"/>
      <c r="E1085" s="254"/>
      <c r="F1085" s="254"/>
      <c r="G1085" s="251">
        <f>G1086</f>
        <v>144516</v>
      </c>
      <c r="H1085" s="251">
        <f t="shared" ref="H1085" si="265">H1086</f>
        <v>140568.06</v>
      </c>
      <c r="I1085" s="182"/>
    </row>
    <row r="1086" spans="1:17">
      <c r="A1086" s="81" t="s">
        <v>146</v>
      </c>
      <c r="B1086" s="145">
        <v>792</v>
      </c>
      <c r="C1086" s="83" t="s">
        <v>69</v>
      </c>
      <c r="D1086" s="83" t="s">
        <v>19</v>
      </c>
      <c r="E1086" s="83"/>
      <c r="F1086" s="83"/>
      <c r="G1086" s="86">
        <f>G1087</f>
        <v>144516</v>
      </c>
      <c r="H1086" s="86">
        <f>H1087</f>
        <v>140568.06</v>
      </c>
      <c r="I1086" s="171"/>
    </row>
    <row r="1087" spans="1:17" s="43" customFormat="1" ht="30.75" customHeight="1">
      <c r="A1087" s="81" t="s">
        <v>481</v>
      </c>
      <c r="B1087" s="145">
        <v>792</v>
      </c>
      <c r="C1087" s="83" t="s">
        <v>69</v>
      </c>
      <c r="D1087" s="83" t="s">
        <v>19</v>
      </c>
      <c r="E1087" s="83" t="s">
        <v>286</v>
      </c>
      <c r="F1087" s="163"/>
      <c r="G1087" s="86">
        <f t="shared" ref="G1087:H1089" si="266">G1088</f>
        <v>144516</v>
      </c>
      <c r="H1087" s="86">
        <f t="shared" si="266"/>
        <v>140568.06</v>
      </c>
      <c r="I1087" s="171"/>
      <c r="J1087" s="209"/>
      <c r="K1087" s="209"/>
      <c r="L1087" s="209"/>
      <c r="M1087" s="209"/>
      <c r="N1087" s="209"/>
      <c r="O1087" s="209"/>
      <c r="P1087" s="209"/>
      <c r="Q1087" s="209"/>
    </row>
    <row r="1088" spans="1:17" s="43" customFormat="1">
      <c r="A1088" s="81" t="s">
        <v>147</v>
      </c>
      <c r="B1088" s="145">
        <v>792</v>
      </c>
      <c r="C1088" s="83" t="s">
        <v>69</v>
      </c>
      <c r="D1088" s="83" t="s">
        <v>19</v>
      </c>
      <c r="E1088" s="83" t="s">
        <v>290</v>
      </c>
      <c r="F1088" s="163"/>
      <c r="G1088" s="86">
        <f t="shared" si="266"/>
        <v>144516</v>
      </c>
      <c r="H1088" s="86">
        <f t="shared" si="266"/>
        <v>140568.06</v>
      </c>
      <c r="I1088" s="171"/>
      <c r="J1088" s="209"/>
      <c r="K1088" s="209"/>
      <c r="L1088" s="209"/>
      <c r="M1088" s="209"/>
      <c r="N1088" s="209"/>
      <c r="O1088" s="209"/>
      <c r="P1088" s="209"/>
      <c r="Q1088" s="209"/>
    </row>
    <row r="1089" spans="1:17" s="43" customFormat="1">
      <c r="A1089" s="81" t="s">
        <v>148</v>
      </c>
      <c r="B1089" s="145">
        <v>792</v>
      </c>
      <c r="C1089" s="83" t="s">
        <v>69</v>
      </c>
      <c r="D1089" s="83" t="s">
        <v>19</v>
      </c>
      <c r="E1089" s="83" t="s">
        <v>290</v>
      </c>
      <c r="F1089" s="83" t="s">
        <v>149</v>
      </c>
      <c r="G1089" s="86">
        <f t="shared" si="266"/>
        <v>144516</v>
      </c>
      <c r="H1089" s="86">
        <f t="shared" si="266"/>
        <v>140568.06</v>
      </c>
      <c r="I1089" s="171"/>
      <c r="J1089" s="209"/>
      <c r="K1089" s="209"/>
      <c r="L1089" s="209"/>
      <c r="M1089" s="209"/>
      <c r="N1089" s="209"/>
      <c r="O1089" s="209"/>
      <c r="P1089" s="209"/>
      <c r="Q1089" s="209"/>
    </row>
    <row r="1090" spans="1:17" s="44" customFormat="1" ht="25.5">
      <c r="A1090" s="81" t="s">
        <v>354</v>
      </c>
      <c r="B1090" s="145">
        <v>792</v>
      </c>
      <c r="C1090" s="83" t="s">
        <v>69</v>
      </c>
      <c r="D1090" s="83" t="s">
        <v>19</v>
      </c>
      <c r="E1090" s="83" t="s">
        <v>290</v>
      </c>
      <c r="F1090" s="83" t="s">
        <v>355</v>
      </c>
      <c r="G1090" s="86">
        <v>144516</v>
      </c>
      <c r="H1090" s="86">
        <v>140568.06</v>
      </c>
      <c r="I1090" s="171"/>
      <c r="J1090" s="210"/>
      <c r="K1090" s="210"/>
      <c r="L1090" s="210"/>
      <c r="M1090" s="210"/>
      <c r="N1090" s="210"/>
      <c r="O1090" s="210"/>
      <c r="P1090" s="210"/>
      <c r="Q1090" s="210"/>
    </row>
    <row r="1091" spans="1:17" ht="25.5">
      <c r="A1091" s="130" t="s">
        <v>300</v>
      </c>
      <c r="B1091" s="257">
        <v>792</v>
      </c>
      <c r="C1091" s="254" t="s">
        <v>23</v>
      </c>
      <c r="D1091" s="254"/>
      <c r="E1091" s="254"/>
      <c r="F1091" s="254"/>
      <c r="G1091" s="251">
        <f t="shared" ref="G1091:G1096" si="267">G1092</f>
        <v>90000</v>
      </c>
      <c r="H1091" s="251">
        <f t="shared" ref="H1091:H1096" si="268">H1092</f>
        <v>27123.29</v>
      </c>
      <c r="I1091" s="182"/>
    </row>
    <row r="1092" spans="1:17" ht="28.5" customHeight="1">
      <c r="A1092" s="131" t="s">
        <v>301</v>
      </c>
      <c r="B1092" s="145">
        <v>792</v>
      </c>
      <c r="C1092" s="83" t="s">
        <v>23</v>
      </c>
      <c r="D1092" s="83" t="s">
        <v>19</v>
      </c>
      <c r="E1092" s="152"/>
      <c r="F1092" s="152"/>
      <c r="G1092" s="86">
        <f t="shared" si="267"/>
        <v>90000</v>
      </c>
      <c r="H1092" s="86">
        <f t="shared" si="268"/>
        <v>27123.29</v>
      </c>
      <c r="I1092" s="171"/>
    </row>
    <row r="1093" spans="1:17" s="28" customFormat="1" ht="38.25">
      <c r="A1093" s="81" t="s">
        <v>439</v>
      </c>
      <c r="B1093" s="145">
        <v>792</v>
      </c>
      <c r="C1093" s="83" t="s">
        <v>23</v>
      </c>
      <c r="D1093" s="83" t="s">
        <v>19</v>
      </c>
      <c r="E1093" s="83" t="s">
        <v>229</v>
      </c>
      <c r="F1093" s="163"/>
      <c r="G1093" s="86">
        <f t="shared" si="267"/>
        <v>90000</v>
      </c>
      <c r="H1093" s="86">
        <f t="shared" si="268"/>
        <v>27123.29</v>
      </c>
      <c r="I1093" s="171"/>
      <c r="J1093" s="195"/>
      <c r="K1093" s="195"/>
      <c r="L1093" s="195"/>
      <c r="M1093" s="195"/>
      <c r="N1093" s="195"/>
      <c r="O1093" s="195"/>
      <c r="P1093" s="195"/>
      <c r="Q1093" s="195"/>
    </row>
    <row r="1094" spans="1:17" s="28" customFormat="1" ht="25.5">
      <c r="A1094" s="81" t="s">
        <v>302</v>
      </c>
      <c r="B1094" s="145">
        <v>792</v>
      </c>
      <c r="C1094" s="83" t="s">
        <v>23</v>
      </c>
      <c r="D1094" s="83" t="s">
        <v>19</v>
      </c>
      <c r="E1094" s="83" t="s">
        <v>235</v>
      </c>
      <c r="F1094" s="163"/>
      <c r="G1094" s="86">
        <f t="shared" si="267"/>
        <v>90000</v>
      </c>
      <c r="H1094" s="86">
        <f t="shared" si="268"/>
        <v>27123.29</v>
      </c>
      <c r="I1094" s="171"/>
      <c r="J1094" s="195"/>
      <c r="K1094" s="195"/>
      <c r="L1094" s="195"/>
      <c r="M1094" s="195"/>
      <c r="N1094" s="195"/>
      <c r="O1094" s="195"/>
      <c r="P1094" s="195"/>
      <c r="Q1094" s="195"/>
    </row>
    <row r="1095" spans="1:17">
      <c r="A1095" s="81" t="s">
        <v>303</v>
      </c>
      <c r="B1095" s="145">
        <v>792</v>
      </c>
      <c r="C1095" s="83" t="s">
        <v>23</v>
      </c>
      <c r="D1095" s="83" t="s">
        <v>19</v>
      </c>
      <c r="E1095" s="83" t="s">
        <v>236</v>
      </c>
      <c r="F1095" s="83"/>
      <c r="G1095" s="86">
        <f t="shared" si="267"/>
        <v>90000</v>
      </c>
      <c r="H1095" s="86">
        <f t="shared" si="268"/>
        <v>27123.29</v>
      </c>
      <c r="I1095" s="171"/>
    </row>
    <row r="1096" spans="1:17" ht="25.5">
      <c r="A1096" s="81" t="s">
        <v>304</v>
      </c>
      <c r="B1096" s="145">
        <v>792</v>
      </c>
      <c r="C1096" s="83" t="s">
        <v>23</v>
      </c>
      <c r="D1096" s="83" t="s">
        <v>19</v>
      </c>
      <c r="E1096" s="83" t="s">
        <v>236</v>
      </c>
      <c r="F1096" s="83" t="s">
        <v>305</v>
      </c>
      <c r="G1096" s="86">
        <f t="shared" si="267"/>
        <v>90000</v>
      </c>
      <c r="H1096" s="86">
        <f t="shared" si="268"/>
        <v>27123.29</v>
      </c>
      <c r="I1096" s="171"/>
    </row>
    <row r="1097" spans="1:17">
      <c r="A1097" s="81" t="s">
        <v>306</v>
      </c>
      <c r="B1097" s="145">
        <v>792</v>
      </c>
      <c r="C1097" s="83" t="s">
        <v>23</v>
      </c>
      <c r="D1097" s="83" t="s">
        <v>19</v>
      </c>
      <c r="E1097" s="83" t="s">
        <v>236</v>
      </c>
      <c r="F1097" s="83" t="s">
        <v>307</v>
      </c>
      <c r="G1097" s="86">
        <v>90000</v>
      </c>
      <c r="H1097" s="86">
        <v>27123.29</v>
      </c>
      <c r="I1097" s="171"/>
    </row>
    <row r="1098" spans="1:17" s="46" customFormat="1" ht="38.25">
      <c r="A1098" s="128" t="s">
        <v>308</v>
      </c>
      <c r="B1098" s="82">
        <v>792</v>
      </c>
      <c r="C1098" s="149" t="s">
        <v>309</v>
      </c>
      <c r="D1098" s="149"/>
      <c r="E1098" s="149"/>
      <c r="F1098" s="149"/>
      <c r="G1098" s="93">
        <f>G1100+G1113+G1108</f>
        <v>43817170.5</v>
      </c>
      <c r="H1098" s="93">
        <f t="shared" ref="H1098" si="269">H1100+H1113+H1108</f>
        <v>43817170.5</v>
      </c>
      <c r="I1098" s="185"/>
      <c r="J1098" s="213"/>
      <c r="K1098" s="213"/>
      <c r="L1098" s="213"/>
      <c r="M1098" s="213"/>
      <c r="N1098" s="213"/>
      <c r="O1098" s="213"/>
      <c r="P1098" s="213"/>
      <c r="Q1098" s="213"/>
    </row>
    <row r="1099" spans="1:17" s="28" customFormat="1" ht="35.25" customHeight="1">
      <c r="A1099" s="131" t="s">
        <v>310</v>
      </c>
      <c r="B1099" s="145">
        <v>792</v>
      </c>
      <c r="C1099" s="83" t="s">
        <v>309</v>
      </c>
      <c r="D1099" s="83" t="s">
        <v>19</v>
      </c>
      <c r="E1099" s="163"/>
      <c r="F1099" s="163"/>
      <c r="G1099" s="86">
        <f>G1100</f>
        <v>20147049.5</v>
      </c>
      <c r="H1099" s="86">
        <f>H1100</f>
        <v>20147049.5</v>
      </c>
      <c r="I1099" s="171"/>
      <c r="J1099" s="195"/>
      <c r="K1099" s="195"/>
      <c r="L1099" s="195"/>
      <c r="M1099" s="195"/>
      <c r="N1099" s="195"/>
      <c r="O1099" s="195"/>
      <c r="P1099" s="195"/>
      <c r="Q1099" s="195"/>
    </row>
    <row r="1100" spans="1:17" s="18" customFormat="1" ht="38.25">
      <c r="A1100" s="81" t="s">
        <v>439</v>
      </c>
      <c r="B1100" s="145">
        <v>792</v>
      </c>
      <c r="C1100" s="83" t="s">
        <v>309</v>
      </c>
      <c r="D1100" s="83" t="s">
        <v>19</v>
      </c>
      <c r="E1100" s="83" t="s">
        <v>229</v>
      </c>
      <c r="F1100" s="83"/>
      <c r="G1100" s="86">
        <f>G1101</f>
        <v>20147049.5</v>
      </c>
      <c r="H1100" s="86">
        <f t="shared" ref="H1100" si="270">H1101</f>
        <v>20147049.5</v>
      </c>
      <c r="I1100" s="171"/>
      <c r="J1100" s="191"/>
      <c r="K1100" s="191"/>
      <c r="L1100" s="191"/>
      <c r="M1100" s="191"/>
      <c r="N1100" s="191"/>
      <c r="O1100" s="191"/>
      <c r="P1100" s="191"/>
      <c r="Q1100" s="191"/>
    </row>
    <row r="1101" spans="1:17" s="18" customFormat="1" ht="38.25">
      <c r="A1101" s="81" t="s">
        <v>155</v>
      </c>
      <c r="B1101" s="145">
        <v>792</v>
      </c>
      <c r="C1101" s="83" t="s">
        <v>309</v>
      </c>
      <c r="D1101" s="83" t="s">
        <v>19</v>
      </c>
      <c r="E1101" s="83" t="s">
        <v>230</v>
      </c>
      <c r="F1101" s="83"/>
      <c r="G1101" s="86">
        <f>G1102+G1105</f>
        <v>20147049.5</v>
      </c>
      <c r="H1101" s="86">
        <f>H1102+H1105</f>
        <v>20147049.5</v>
      </c>
      <c r="I1101" s="171"/>
      <c r="J1101" s="191"/>
      <c r="K1101" s="191"/>
      <c r="L1101" s="191"/>
      <c r="M1101" s="191"/>
      <c r="N1101" s="191"/>
      <c r="O1101" s="191"/>
      <c r="P1101" s="191"/>
      <c r="Q1101" s="191"/>
    </row>
    <row r="1102" spans="1:17" s="18" customFormat="1" ht="25.5">
      <c r="A1102" s="81" t="s">
        <v>311</v>
      </c>
      <c r="B1102" s="145">
        <v>792</v>
      </c>
      <c r="C1102" s="83" t="s">
        <v>309</v>
      </c>
      <c r="D1102" s="83" t="s">
        <v>19</v>
      </c>
      <c r="E1102" s="83" t="s">
        <v>283</v>
      </c>
      <c r="F1102" s="83"/>
      <c r="G1102" s="86">
        <f t="shared" ref="G1102:H1103" si="271">G1103</f>
        <v>13832299</v>
      </c>
      <c r="H1102" s="86">
        <f t="shared" si="271"/>
        <v>13832299</v>
      </c>
      <c r="I1102" s="171"/>
      <c r="J1102" s="191"/>
      <c r="K1102" s="191"/>
      <c r="L1102" s="191"/>
      <c r="M1102" s="191"/>
      <c r="N1102" s="191"/>
      <c r="O1102" s="191"/>
      <c r="P1102" s="191"/>
      <c r="Q1102" s="191"/>
    </row>
    <row r="1103" spans="1:17" s="18" customFormat="1">
      <c r="A1103" s="81" t="s">
        <v>156</v>
      </c>
      <c r="B1103" s="145">
        <v>792</v>
      </c>
      <c r="C1103" s="83" t="s">
        <v>309</v>
      </c>
      <c r="D1103" s="83" t="s">
        <v>19</v>
      </c>
      <c r="E1103" s="83" t="s">
        <v>283</v>
      </c>
      <c r="F1103" s="83" t="s">
        <v>157</v>
      </c>
      <c r="G1103" s="86">
        <f t="shared" si="271"/>
        <v>13832299</v>
      </c>
      <c r="H1103" s="86">
        <f t="shared" si="271"/>
        <v>13832299</v>
      </c>
      <c r="I1103" s="171"/>
      <c r="J1103" s="191"/>
      <c r="K1103" s="191"/>
      <c r="L1103" s="191"/>
      <c r="M1103" s="191"/>
      <c r="N1103" s="191"/>
      <c r="O1103" s="191"/>
      <c r="P1103" s="191"/>
      <c r="Q1103" s="191"/>
    </row>
    <row r="1104" spans="1:17" s="18" customFormat="1">
      <c r="A1104" s="81" t="s">
        <v>312</v>
      </c>
      <c r="B1104" s="145">
        <v>792</v>
      </c>
      <c r="C1104" s="83" t="s">
        <v>309</v>
      </c>
      <c r="D1104" s="83" t="s">
        <v>19</v>
      </c>
      <c r="E1104" s="83" t="s">
        <v>283</v>
      </c>
      <c r="F1104" s="83" t="s">
        <v>313</v>
      </c>
      <c r="G1104" s="86">
        <v>13832299</v>
      </c>
      <c r="H1104" s="86">
        <v>13832299</v>
      </c>
      <c r="I1104" s="171"/>
      <c r="J1104" s="191"/>
      <c r="K1104" s="191"/>
      <c r="L1104" s="191"/>
      <c r="M1104" s="191"/>
      <c r="N1104" s="191"/>
      <c r="O1104" s="191"/>
      <c r="P1104" s="191"/>
      <c r="Q1104" s="191"/>
    </row>
    <row r="1105" spans="1:17" s="28" customFormat="1" ht="23.25" customHeight="1">
      <c r="A1105" s="81" t="s">
        <v>314</v>
      </c>
      <c r="B1105" s="145">
        <v>792</v>
      </c>
      <c r="C1105" s="83" t="s">
        <v>309</v>
      </c>
      <c r="D1105" s="83" t="s">
        <v>19</v>
      </c>
      <c r="E1105" s="83" t="s">
        <v>237</v>
      </c>
      <c r="F1105" s="83"/>
      <c r="G1105" s="86">
        <f t="shared" ref="G1105:H1106" si="272">G1106</f>
        <v>6314750.5</v>
      </c>
      <c r="H1105" s="86">
        <f t="shared" si="272"/>
        <v>6314750.5</v>
      </c>
      <c r="I1105" s="171"/>
      <c r="J1105" s="195"/>
      <c r="K1105" s="195"/>
      <c r="L1105" s="195"/>
      <c r="M1105" s="195"/>
      <c r="N1105" s="195"/>
      <c r="O1105" s="195"/>
      <c r="P1105" s="195"/>
      <c r="Q1105" s="195"/>
    </row>
    <row r="1106" spans="1:17" s="28" customFormat="1">
      <c r="A1106" s="81" t="s">
        <v>156</v>
      </c>
      <c r="B1106" s="145">
        <v>792</v>
      </c>
      <c r="C1106" s="83" t="s">
        <v>309</v>
      </c>
      <c r="D1106" s="83" t="s">
        <v>19</v>
      </c>
      <c r="E1106" s="83" t="s">
        <v>237</v>
      </c>
      <c r="F1106" s="83" t="s">
        <v>157</v>
      </c>
      <c r="G1106" s="86">
        <f t="shared" si="272"/>
        <v>6314750.5</v>
      </c>
      <c r="H1106" s="86">
        <f t="shared" si="272"/>
        <v>6314750.5</v>
      </c>
      <c r="I1106" s="171"/>
      <c r="J1106" s="195"/>
      <c r="K1106" s="195"/>
      <c r="L1106" s="195"/>
      <c r="M1106" s="195"/>
      <c r="N1106" s="195"/>
      <c r="O1106" s="195"/>
      <c r="P1106" s="195"/>
      <c r="Q1106" s="195"/>
    </row>
    <row r="1107" spans="1:17" s="3" customFormat="1">
      <c r="A1107" s="81" t="s">
        <v>312</v>
      </c>
      <c r="B1107" s="145">
        <v>792</v>
      </c>
      <c r="C1107" s="83" t="s">
        <v>309</v>
      </c>
      <c r="D1107" s="83" t="s">
        <v>19</v>
      </c>
      <c r="E1107" s="83" t="s">
        <v>237</v>
      </c>
      <c r="F1107" s="83" t="s">
        <v>313</v>
      </c>
      <c r="G1107" s="86">
        <v>6314750.5</v>
      </c>
      <c r="H1107" s="86">
        <v>6314750.5</v>
      </c>
      <c r="I1107" s="171"/>
      <c r="J1107" s="190"/>
      <c r="K1107" s="190"/>
      <c r="L1107" s="190"/>
      <c r="M1107" s="190"/>
      <c r="N1107" s="190"/>
      <c r="O1107" s="190"/>
      <c r="P1107" s="190"/>
      <c r="Q1107" s="190"/>
    </row>
    <row r="1108" spans="1:17" s="28" customFormat="1" ht="16.5" customHeight="1">
      <c r="A1108" s="131" t="s">
        <v>1085</v>
      </c>
      <c r="B1108" s="145">
        <v>792</v>
      </c>
      <c r="C1108" s="83" t="s">
        <v>309</v>
      </c>
      <c r="D1108" s="83" t="s">
        <v>28</v>
      </c>
      <c r="E1108" s="163"/>
      <c r="F1108" s="163"/>
      <c r="G1108" s="86">
        <f>G1109</f>
        <v>449460</v>
      </c>
      <c r="H1108" s="86">
        <f>H1109</f>
        <v>449460</v>
      </c>
      <c r="I1108" s="171"/>
      <c r="J1108" s="195"/>
      <c r="K1108" s="195"/>
      <c r="L1108" s="195"/>
      <c r="M1108" s="195"/>
      <c r="N1108" s="195"/>
      <c r="O1108" s="195"/>
      <c r="P1108" s="195"/>
      <c r="Q1108" s="195"/>
    </row>
    <row r="1109" spans="1:17" s="18" customFormat="1" ht="25.5">
      <c r="A1109" s="81" t="s">
        <v>98</v>
      </c>
      <c r="B1109" s="145">
        <v>792</v>
      </c>
      <c r="C1109" s="83" t="s">
        <v>309</v>
      </c>
      <c r="D1109" s="83" t="s">
        <v>28</v>
      </c>
      <c r="E1109" s="83" t="s">
        <v>210</v>
      </c>
      <c r="F1109" s="83"/>
      <c r="G1109" s="86">
        <f>G1110</f>
        <v>449460</v>
      </c>
      <c r="H1109" s="86">
        <f t="shared" ref="H1109" si="273">H1110</f>
        <v>449460</v>
      </c>
      <c r="I1109" s="171"/>
      <c r="J1109" s="191"/>
      <c r="K1109" s="191"/>
      <c r="L1109" s="191"/>
      <c r="M1109" s="191"/>
      <c r="N1109" s="191"/>
      <c r="O1109" s="191"/>
      <c r="P1109" s="191"/>
      <c r="Q1109" s="191"/>
    </row>
    <row r="1110" spans="1:17" s="18" customFormat="1" ht="25.5">
      <c r="A1110" s="81" t="s">
        <v>1087</v>
      </c>
      <c r="B1110" s="145">
        <v>792</v>
      </c>
      <c r="C1110" s="83" t="s">
        <v>309</v>
      </c>
      <c r="D1110" s="83" t="s">
        <v>28</v>
      </c>
      <c r="E1110" s="83" t="s">
        <v>1086</v>
      </c>
      <c r="F1110" s="83"/>
      <c r="G1110" s="86">
        <f t="shared" ref="G1110:H1111" si="274">G1111</f>
        <v>449460</v>
      </c>
      <c r="H1110" s="86">
        <f t="shared" si="274"/>
        <v>449460</v>
      </c>
      <c r="I1110" s="171"/>
      <c r="J1110" s="191"/>
      <c r="K1110" s="191"/>
      <c r="L1110" s="191"/>
      <c r="M1110" s="191"/>
      <c r="N1110" s="191"/>
      <c r="O1110" s="191"/>
      <c r="P1110" s="191"/>
      <c r="Q1110" s="191"/>
    </row>
    <row r="1111" spans="1:17" s="18" customFormat="1">
      <c r="A1111" s="81" t="s">
        <v>156</v>
      </c>
      <c r="B1111" s="145">
        <v>792</v>
      </c>
      <c r="C1111" s="83" t="s">
        <v>309</v>
      </c>
      <c r="D1111" s="83" t="s">
        <v>28</v>
      </c>
      <c r="E1111" s="83" t="s">
        <v>1086</v>
      </c>
      <c r="F1111" s="83" t="s">
        <v>157</v>
      </c>
      <c r="G1111" s="86">
        <f t="shared" si="274"/>
        <v>449460</v>
      </c>
      <c r="H1111" s="86">
        <f t="shared" si="274"/>
        <v>449460</v>
      </c>
      <c r="I1111" s="171"/>
      <c r="J1111" s="191"/>
      <c r="K1111" s="191"/>
      <c r="L1111" s="191"/>
      <c r="M1111" s="191"/>
      <c r="N1111" s="191"/>
      <c r="O1111" s="191"/>
      <c r="P1111" s="191"/>
      <c r="Q1111" s="191"/>
    </row>
    <row r="1112" spans="1:17" s="18" customFormat="1">
      <c r="A1112" s="81" t="s">
        <v>312</v>
      </c>
      <c r="B1112" s="145">
        <v>792</v>
      </c>
      <c r="C1112" s="83" t="s">
        <v>309</v>
      </c>
      <c r="D1112" s="83" t="s">
        <v>28</v>
      </c>
      <c r="E1112" s="83" t="s">
        <v>1086</v>
      </c>
      <c r="F1112" s="83" t="s">
        <v>313</v>
      </c>
      <c r="G1112" s="86">
        <v>449460</v>
      </c>
      <c r="H1112" s="86">
        <v>449460</v>
      </c>
      <c r="I1112" s="171"/>
      <c r="J1112" s="191"/>
      <c r="K1112" s="191"/>
      <c r="L1112" s="191"/>
      <c r="M1112" s="191"/>
      <c r="N1112" s="191"/>
      <c r="O1112" s="191"/>
      <c r="P1112" s="191"/>
      <c r="Q1112" s="191"/>
    </row>
    <row r="1113" spans="1:17" ht="18.75" customHeight="1">
      <c r="A1113" s="131" t="s">
        <v>315</v>
      </c>
      <c r="B1113" s="145">
        <v>792</v>
      </c>
      <c r="C1113" s="83" t="s">
        <v>309</v>
      </c>
      <c r="D1113" s="83" t="s">
        <v>70</v>
      </c>
      <c r="E1113" s="83"/>
      <c r="F1113" s="83"/>
      <c r="G1113" s="86">
        <f>G1114</f>
        <v>23220661</v>
      </c>
      <c r="H1113" s="86">
        <f>H1114</f>
        <v>23220661</v>
      </c>
      <c r="I1113" s="171"/>
    </row>
    <row r="1114" spans="1:17" s="28" customFormat="1" ht="27.75" customHeight="1">
      <c r="A1114" s="81" t="s">
        <v>439</v>
      </c>
      <c r="B1114" s="145">
        <v>792</v>
      </c>
      <c r="C1114" s="83" t="s">
        <v>309</v>
      </c>
      <c r="D1114" s="83" t="s">
        <v>70</v>
      </c>
      <c r="E1114" s="83" t="s">
        <v>229</v>
      </c>
      <c r="F1114" s="83"/>
      <c r="G1114" s="86">
        <f>G1115</f>
        <v>23220661</v>
      </c>
      <c r="H1114" s="86">
        <f t="shared" ref="H1114:H1115" si="275">H1115</f>
        <v>23220661</v>
      </c>
      <c r="I1114" s="171"/>
      <c r="J1114" s="195"/>
      <c r="K1114" s="195"/>
      <c r="L1114" s="195"/>
      <c r="M1114" s="195"/>
      <c r="N1114" s="195"/>
      <c r="O1114" s="195"/>
      <c r="P1114" s="195"/>
      <c r="Q1114" s="195"/>
    </row>
    <row r="1115" spans="1:17" s="3" customFormat="1" ht="38.25">
      <c r="A1115" s="81" t="s">
        <v>155</v>
      </c>
      <c r="B1115" s="145">
        <v>792</v>
      </c>
      <c r="C1115" s="83" t="s">
        <v>309</v>
      </c>
      <c r="D1115" s="83" t="s">
        <v>70</v>
      </c>
      <c r="E1115" s="83" t="s">
        <v>230</v>
      </c>
      <c r="F1115" s="83"/>
      <c r="G1115" s="86">
        <f>G1116</f>
        <v>23220661</v>
      </c>
      <c r="H1115" s="86">
        <f t="shared" si="275"/>
        <v>23220661</v>
      </c>
      <c r="I1115" s="171"/>
      <c r="J1115" s="190"/>
      <c r="K1115" s="190"/>
      <c r="L1115" s="190"/>
      <c r="M1115" s="190"/>
      <c r="N1115" s="190"/>
      <c r="O1115" s="190"/>
      <c r="P1115" s="190"/>
      <c r="Q1115" s="190"/>
    </row>
    <row r="1116" spans="1:17" s="3" customFormat="1" ht="25.5">
      <c r="A1116" s="81" t="s">
        <v>471</v>
      </c>
      <c r="B1116" s="145">
        <v>792</v>
      </c>
      <c r="C1116" s="83" t="s">
        <v>309</v>
      </c>
      <c r="D1116" s="83" t="s">
        <v>70</v>
      </c>
      <c r="E1116" s="83" t="s">
        <v>238</v>
      </c>
      <c r="F1116" s="83"/>
      <c r="G1116" s="86">
        <f t="shared" ref="G1116:H1117" si="276">G1117</f>
        <v>23220661</v>
      </c>
      <c r="H1116" s="86">
        <f t="shared" si="276"/>
        <v>23220661</v>
      </c>
      <c r="I1116" s="171"/>
      <c r="J1116" s="190"/>
      <c r="K1116" s="190"/>
      <c r="L1116" s="190"/>
      <c r="M1116" s="190"/>
      <c r="N1116" s="190"/>
      <c r="O1116" s="190"/>
      <c r="P1116" s="190"/>
      <c r="Q1116" s="190"/>
    </row>
    <row r="1117" spans="1:17" s="3" customFormat="1">
      <c r="A1117" s="81" t="s">
        <v>156</v>
      </c>
      <c r="B1117" s="145">
        <v>792</v>
      </c>
      <c r="C1117" s="83" t="s">
        <v>309</v>
      </c>
      <c r="D1117" s="83" t="s">
        <v>70</v>
      </c>
      <c r="E1117" s="83" t="s">
        <v>238</v>
      </c>
      <c r="F1117" s="83" t="s">
        <v>157</v>
      </c>
      <c r="G1117" s="86">
        <f t="shared" si="276"/>
        <v>23220661</v>
      </c>
      <c r="H1117" s="86">
        <f t="shared" si="276"/>
        <v>23220661</v>
      </c>
      <c r="I1117" s="171"/>
      <c r="J1117" s="190"/>
      <c r="K1117" s="190"/>
      <c r="L1117" s="190"/>
      <c r="M1117" s="190"/>
      <c r="N1117" s="190"/>
      <c r="O1117" s="190"/>
      <c r="P1117" s="190"/>
      <c r="Q1117" s="190"/>
    </row>
    <row r="1118" spans="1:17" s="3" customFormat="1">
      <c r="A1118" s="81" t="s">
        <v>178</v>
      </c>
      <c r="B1118" s="145">
        <v>792</v>
      </c>
      <c r="C1118" s="83" t="s">
        <v>309</v>
      </c>
      <c r="D1118" s="83" t="s">
        <v>70</v>
      </c>
      <c r="E1118" s="83" t="s">
        <v>238</v>
      </c>
      <c r="F1118" s="83" t="s">
        <v>179</v>
      </c>
      <c r="G1118" s="86">
        <v>23220661</v>
      </c>
      <c r="H1118" s="86">
        <v>23220661</v>
      </c>
      <c r="I1118" s="171"/>
      <c r="J1118" s="171"/>
      <c r="K1118" s="171"/>
      <c r="L1118" s="190"/>
      <c r="M1118" s="190"/>
      <c r="N1118" s="190"/>
      <c r="O1118" s="190"/>
      <c r="P1118" s="190"/>
      <c r="Q1118" s="190"/>
    </row>
    <row r="1119" spans="1:17" s="3" customFormat="1" ht="47.25" hidden="1" customHeight="1">
      <c r="A1119" s="81" t="s">
        <v>176</v>
      </c>
      <c r="B1119" s="145">
        <v>792</v>
      </c>
      <c r="C1119" s="83" t="s">
        <v>309</v>
      </c>
      <c r="D1119" s="83" t="s">
        <v>70</v>
      </c>
      <c r="E1119" s="83" t="s">
        <v>238</v>
      </c>
      <c r="F1119" s="83" t="s">
        <v>177</v>
      </c>
      <c r="G1119" s="86"/>
      <c r="H1119" s="86"/>
      <c r="I1119" s="171"/>
      <c r="J1119" s="190"/>
      <c r="K1119" s="190"/>
      <c r="L1119" s="190"/>
      <c r="M1119" s="190"/>
      <c r="N1119" s="190"/>
      <c r="O1119" s="190"/>
      <c r="P1119" s="190"/>
      <c r="Q1119" s="190"/>
    </row>
    <row r="1120" spans="1:17" s="18" customFormat="1" hidden="1">
      <c r="A1120" s="81"/>
      <c r="B1120" s="145"/>
      <c r="C1120" s="83"/>
      <c r="D1120" s="83"/>
      <c r="E1120" s="83"/>
      <c r="F1120" s="83"/>
      <c r="G1120" s="86"/>
      <c r="H1120" s="86"/>
      <c r="I1120" s="171"/>
      <c r="J1120" s="191"/>
      <c r="K1120" s="191"/>
      <c r="L1120" s="191"/>
      <c r="M1120" s="191"/>
      <c r="N1120" s="191"/>
      <c r="O1120" s="191"/>
      <c r="P1120" s="191"/>
      <c r="Q1120" s="191"/>
    </row>
    <row r="1121" spans="1:17" s="120" customFormat="1">
      <c r="A1121" s="266" t="s">
        <v>74</v>
      </c>
      <c r="B1121" s="257"/>
      <c r="C1121" s="158"/>
      <c r="D1121" s="158"/>
      <c r="E1121" s="158"/>
      <c r="F1121" s="158"/>
      <c r="G1121" s="95">
        <f>G1050+G1073+G1091+G1098+G1085+G1080</f>
        <v>62383036.379999995</v>
      </c>
      <c r="H1121" s="95">
        <f>H1050+H1073+H1091+H1098+H1085+H1080</f>
        <v>60959106.460000001</v>
      </c>
      <c r="I1121" s="183"/>
      <c r="J1121" s="198"/>
      <c r="K1121" s="198"/>
      <c r="L1121" s="198"/>
      <c r="M1121" s="198"/>
      <c r="N1121" s="198"/>
      <c r="O1121" s="198"/>
      <c r="P1121" s="198"/>
      <c r="Q1121" s="198"/>
    </row>
    <row r="1122" spans="1:17" s="89" customFormat="1" ht="39" customHeight="1">
      <c r="A1122" s="302" t="s">
        <v>974</v>
      </c>
      <c r="B1122" s="303">
        <v>793</v>
      </c>
      <c r="C1122" s="303"/>
      <c r="D1122" s="303"/>
      <c r="E1122" s="303"/>
      <c r="F1122" s="303"/>
      <c r="G1122" s="305"/>
      <c r="H1122" s="305"/>
      <c r="I1122" s="188"/>
      <c r="J1122" s="177"/>
      <c r="K1122" s="177"/>
      <c r="L1122" s="177"/>
      <c r="M1122" s="177"/>
      <c r="N1122" s="177"/>
      <c r="O1122" s="177"/>
      <c r="P1122" s="177"/>
      <c r="Q1122" s="177"/>
    </row>
    <row r="1123" spans="1:17">
      <c r="A1123" s="259" t="s">
        <v>18</v>
      </c>
      <c r="B1123" s="257">
        <v>793</v>
      </c>
      <c r="C1123" s="254" t="s">
        <v>19</v>
      </c>
      <c r="D1123" s="254"/>
      <c r="E1123" s="254"/>
      <c r="F1123" s="254"/>
      <c r="G1123" s="251">
        <f>G1124+G1133+G1183+G1187+G1172+G1177</f>
        <v>78630881.969999999</v>
      </c>
      <c r="H1123" s="251">
        <f>H1124+H1133+H1183+H1187+H1172+H1177</f>
        <v>77192147.090000004</v>
      </c>
      <c r="I1123" s="182"/>
      <c r="O1123" s="200"/>
      <c r="P1123" s="200"/>
    </row>
    <row r="1124" spans="1:17" ht="25.5">
      <c r="A1124" s="81" t="s">
        <v>316</v>
      </c>
      <c r="B1124" s="145">
        <v>793</v>
      </c>
      <c r="C1124" s="83" t="s">
        <v>19</v>
      </c>
      <c r="D1124" s="83" t="s">
        <v>28</v>
      </c>
      <c r="E1124" s="83"/>
      <c r="F1124" s="83"/>
      <c r="G1124" s="86">
        <f t="shared" ref="G1124:H1131" si="277">G1125</f>
        <v>2484412.7399999998</v>
      </c>
      <c r="H1124" s="86">
        <f t="shared" si="277"/>
        <v>2484412.7399999998</v>
      </c>
      <c r="I1124" s="171"/>
    </row>
    <row r="1125" spans="1:17" s="18" customFormat="1" ht="25.5">
      <c r="A1125" s="81" t="s">
        <v>317</v>
      </c>
      <c r="B1125" s="145">
        <v>793</v>
      </c>
      <c r="C1125" s="83" t="s">
        <v>19</v>
      </c>
      <c r="D1125" s="83" t="s">
        <v>28</v>
      </c>
      <c r="E1125" s="83" t="s">
        <v>239</v>
      </c>
      <c r="F1125" s="83"/>
      <c r="G1125" s="86">
        <f t="shared" si="277"/>
        <v>2484412.7399999998</v>
      </c>
      <c r="H1125" s="86">
        <f t="shared" si="277"/>
        <v>2484412.7399999998</v>
      </c>
      <c r="I1125" s="171"/>
      <c r="J1125" s="191"/>
      <c r="K1125" s="191"/>
      <c r="L1125" s="191"/>
      <c r="M1125" s="191"/>
      <c r="N1125" s="191"/>
      <c r="O1125" s="191"/>
      <c r="P1125" s="191"/>
      <c r="Q1125" s="191"/>
    </row>
    <row r="1126" spans="1:17">
      <c r="A1126" s="81" t="s">
        <v>318</v>
      </c>
      <c r="B1126" s="145">
        <v>793</v>
      </c>
      <c r="C1126" s="83" t="s">
        <v>19</v>
      </c>
      <c r="D1126" s="83" t="s">
        <v>28</v>
      </c>
      <c r="E1126" s="83" t="s">
        <v>240</v>
      </c>
      <c r="F1126" s="83"/>
      <c r="G1126" s="86">
        <f>G1130+G1127</f>
        <v>2484412.7399999998</v>
      </c>
      <c r="H1126" s="86">
        <f>H1130+H1127</f>
        <v>2484412.7399999998</v>
      </c>
      <c r="I1126" s="171"/>
    </row>
    <row r="1127" spans="1:17" ht="79.5" customHeight="1">
      <c r="A1127" s="81" t="s">
        <v>1056</v>
      </c>
      <c r="B1127" s="145">
        <v>793</v>
      </c>
      <c r="C1127" s="83" t="s">
        <v>19</v>
      </c>
      <c r="D1127" s="83" t="s">
        <v>28</v>
      </c>
      <c r="E1127" s="83" t="s">
        <v>1055</v>
      </c>
      <c r="F1127" s="83"/>
      <c r="G1127" s="86">
        <f t="shared" si="277"/>
        <v>297422.42</v>
      </c>
      <c r="H1127" s="86">
        <f t="shared" si="277"/>
        <v>297422.42</v>
      </c>
      <c r="I1127" s="171"/>
    </row>
    <row r="1128" spans="1:17" ht="51">
      <c r="A1128" s="81" t="s">
        <v>319</v>
      </c>
      <c r="B1128" s="145">
        <v>793</v>
      </c>
      <c r="C1128" s="83" t="s">
        <v>19</v>
      </c>
      <c r="D1128" s="83" t="s">
        <v>28</v>
      </c>
      <c r="E1128" s="83" t="s">
        <v>1055</v>
      </c>
      <c r="F1128" s="83" t="s">
        <v>58</v>
      </c>
      <c r="G1128" s="86">
        <f t="shared" si="277"/>
        <v>297422.42</v>
      </c>
      <c r="H1128" s="86">
        <f t="shared" si="277"/>
        <v>297422.42</v>
      </c>
      <c r="I1128" s="171"/>
    </row>
    <row r="1129" spans="1:17" ht="25.5">
      <c r="A1129" s="81" t="s">
        <v>56</v>
      </c>
      <c r="B1129" s="145">
        <v>793</v>
      </c>
      <c r="C1129" s="83" t="s">
        <v>19</v>
      </c>
      <c r="D1129" s="83" t="s">
        <v>28</v>
      </c>
      <c r="E1129" s="83" t="s">
        <v>1055</v>
      </c>
      <c r="F1129" s="83" t="s">
        <v>59</v>
      </c>
      <c r="G1129" s="86">
        <v>297422.42</v>
      </c>
      <c r="H1129" s="86">
        <v>297422.42</v>
      </c>
      <c r="I1129" s="171"/>
    </row>
    <row r="1130" spans="1:17" ht="25.5">
      <c r="A1130" s="81" t="s">
        <v>76</v>
      </c>
      <c r="B1130" s="145">
        <v>793</v>
      </c>
      <c r="C1130" s="83" t="s">
        <v>19</v>
      </c>
      <c r="D1130" s="83" t="s">
        <v>28</v>
      </c>
      <c r="E1130" s="83" t="s">
        <v>241</v>
      </c>
      <c r="F1130" s="83"/>
      <c r="G1130" s="86">
        <f t="shared" si="277"/>
        <v>2186990.3199999998</v>
      </c>
      <c r="H1130" s="86">
        <f t="shared" si="277"/>
        <v>2186990.3199999998</v>
      </c>
      <c r="I1130" s="171"/>
    </row>
    <row r="1131" spans="1:17" ht="51">
      <c r="A1131" s="81" t="s">
        <v>319</v>
      </c>
      <c r="B1131" s="145">
        <v>793</v>
      </c>
      <c r="C1131" s="83" t="s">
        <v>19</v>
      </c>
      <c r="D1131" s="83" t="s">
        <v>28</v>
      </c>
      <c r="E1131" s="83" t="s">
        <v>241</v>
      </c>
      <c r="F1131" s="83" t="s">
        <v>58</v>
      </c>
      <c r="G1131" s="86">
        <f t="shared" si="277"/>
        <v>2186990.3199999998</v>
      </c>
      <c r="H1131" s="86">
        <f t="shared" si="277"/>
        <v>2186990.3199999998</v>
      </c>
      <c r="I1131" s="171"/>
    </row>
    <row r="1132" spans="1:17" ht="25.5">
      <c r="A1132" s="81" t="s">
        <v>56</v>
      </c>
      <c r="B1132" s="145">
        <v>793</v>
      </c>
      <c r="C1132" s="83" t="s">
        <v>19</v>
      </c>
      <c r="D1132" s="83" t="s">
        <v>28</v>
      </c>
      <c r="E1132" s="83" t="s">
        <v>241</v>
      </c>
      <c r="F1132" s="83" t="s">
        <v>59</v>
      </c>
      <c r="G1132" s="86">
        <f>1870740+316250.32</f>
        <v>2186990.3199999998</v>
      </c>
      <c r="H1132" s="86">
        <v>2186990.3199999998</v>
      </c>
      <c r="I1132" s="171"/>
    </row>
    <row r="1133" spans="1:17" ht="51">
      <c r="A1133" s="81" t="s">
        <v>75</v>
      </c>
      <c r="B1133" s="145">
        <v>793</v>
      </c>
      <c r="C1133" s="83" t="s">
        <v>19</v>
      </c>
      <c r="D1133" s="83" t="s">
        <v>54</v>
      </c>
      <c r="E1133" s="83"/>
      <c r="F1133" s="83"/>
      <c r="G1133" s="86">
        <f>G1138+G1134</f>
        <v>48108926.07</v>
      </c>
      <c r="H1133" s="86">
        <f>H1138+H1134</f>
        <v>47411598.980000004</v>
      </c>
      <c r="I1133" s="171"/>
    </row>
    <row r="1134" spans="1:17" ht="27" customHeight="1">
      <c r="A1134" s="135" t="s">
        <v>708</v>
      </c>
      <c r="B1134" s="145">
        <v>793</v>
      </c>
      <c r="C1134" s="83" t="s">
        <v>19</v>
      </c>
      <c r="D1134" s="83" t="s">
        <v>54</v>
      </c>
      <c r="E1134" s="145" t="s">
        <v>242</v>
      </c>
      <c r="F1134" s="145"/>
      <c r="G1134" s="86">
        <f>G1137</f>
        <v>35000</v>
      </c>
      <c r="H1134" s="86">
        <f>H1137</f>
        <v>35000</v>
      </c>
      <c r="I1134" s="171"/>
      <c r="P1134" s="200"/>
    </row>
    <row r="1135" spans="1:17" ht="25.5">
      <c r="A1135" s="81" t="s">
        <v>322</v>
      </c>
      <c r="B1135" s="145">
        <v>793</v>
      </c>
      <c r="C1135" s="83" t="s">
        <v>19</v>
      </c>
      <c r="D1135" s="83" t="s">
        <v>54</v>
      </c>
      <c r="E1135" s="83" t="s">
        <v>243</v>
      </c>
      <c r="F1135" s="83"/>
      <c r="G1135" s="86">
        <f t="shared" ref="G1135:H1136" si="278">G1136</f>
        <v>35000</v>
      </c>
      <c r="H1135" s="86">
        <f t="shared" si="278"/>
        <v>35000</v>
      </c>
      <c r="I1135" s="171"/>
    </row>
    <row r="1136" spans="1:17" ht="19.5" customHeight="1">
      <c r="A1136" s="81" t="s">
        <v>323</v>
      </c>
      <c r="B1136" s="145">
        <v>793</v>
      </c>
      <c r="C1136" s="83" t="s">
        <v>19</v>
      </c>
      <c r="D1136" s="83" t="s">
        <v>54</v>
      </c>
      <c r="E1136" s="83" t="s">
        <v>243</v>
      </c>
      <c r="F1136" s="83" t="s">
        <v>37</v>
      </c>
      <c r="G1136" s="86">
        <f t="shared" si="278"/>
        <v>35000</v>
      </c>
      <c r="H1136" s="86">
        <f t="shared" si="278"/>
        <v>35000</v>
      </c>
      <c r="I1136" s="171"/>
      <c r="P1136" s="200"/>
    </row>
    <row r="1137" spans="1:17" ht="25.5">
      <c r="A1137" s="81" t="s">
        <v>38</v>
      </c>
      <c r="B1137" s="145">
        <v>793</v>
      </c>
      <c r="C1137" s="83" t="s">
        <v>19</v>
      </c>
      <c r="D1137" s="83" t="s">
        <v>54</v>
      </c>
      <c r="E1137" s="83" t="s">
        <v>243</v>
      </c>
      <c r="F1137" s="83" t="s">
        <v>39</v>
      </c>
      <c r="G1137" s="86">
        <v>35000</v>
      </c>
      <c r="H1137" s="86">
        <v>35000</v>
      </c>
      <c r="I1137" s="171"/>
    </row>
    <row r="1138" spans="1:17" s="46" customFormat="1" ht="25.5">
      <c r="A1138" s="81" t="s">
        <v>317</v>
      </c>
      <c r="B1138" s="145">
        <v>793</v>
      </c>
      <c r="C1138" s="83" t="s">
        <v>19</v>
      </c>
      <c r="D1138" s="83" t="s">
        <v>54</v>
      </c>
      <c r="E1138" s="83" t="s">
        <v>239</v>
      </c>
      <c r="F1138" s="83"/>
      <c r="G1138" s="86">
        <f>G1139</f>
        <v>48073926.07</v>
      </c>
      <c r="H1138" s="86">
        <f>H1139</f>
        <v>47376598.980000004</v>
      </c>
      <c r="I1138" s="171"/>
      <c r="J1138" s="213"/>
      <c r="K1138" s="213"/>
      <c r="L1138" s="213"/>
      <c r="M1138" s="213"/>
      <c r="N1138" s="213"/>
      <c r="O1138" s="213"/>
      <c r="P1138" s="213"/>
      <c r="Q1138" s="213"/>
    </row>
    <row r="1139" spans="1:17" s="46" customFormat="1">
      <c r="A1139" s="142" t="s">
        <v>324</v>
      </c>
      <c r="B1139" s="145">
        <v>793</v>
      </c>
      <c r="C1139" s="83" t="s">
        <v>19</v>
      </c>
      <c r="D1139" s="83" t="s">
        <v>54</v>
      </c>
      <c r="E1139" s="83" t="s">
        <v>244</v>
      </c>
      <c r="F1139" s="83"/>
      <c r="G1139" s="86">
        <f>G1140+G1166+G1149+G1161+G1154+G1169</f>
        <v>48073926.07</v>
      </c>
      <c r="H1139" s="86">
        <f t="shared" ref="H1139" si="279">H1140+H1166+H1149+H1161+H1154</f>
        <v>47376598.980000004</v>
      </c>
      <c r="I1139" s="171"/>
      <c r="J1139" s="213"/>
      <c r="K1139" s="213"/>
      <c r="L1139" s="213"/>
      <c r="M1139" s="213"/>
      <c r="N1139" s="213"/>
      <c r="O1139" s="213"/>
      <c r="P1139" s="213"/>
      <c r="Q1139" s="213"/>
    </row>
    <row r="1140" spans="1:17" s="46" customFormat="1" ht="25.5">
      <c r="A1140" s="81" t="s">
        <v>76</v>
      </c>
      <c r="B1140" s="145">
        <v>793</v>
      </c>
      <c r="C1140" s="83" t="s">
        <v>19</v>
      </c>
      <c r="D1140" s="83" t="s">
        <v>54</v>
      </c>
      <c r="E1140" s="83" t="s">
        <v>245</v>
      </c>
      <c r="F1140" s="83"/>
      <c r="G1140" s="86">
        <f>G1141+G1143+G1147+G1145</f>
        <v>41343772</v>
      </c>
      <c r="H1140" s="86">
        <f t="shared" ref="H1140" si="280">H1141+H1143+H1147+H1145</f>
        <v>40790331.740000002</v>
      </c>
      <c r="I1140" s="171"/>
      <c r="J1140" s="213"/>
      <c r="K1140" s="213"/>
      <c r="L1140" s="213"/>
      <c r="M1140" s="213"/>
      <c r="N1140" s="213"/>
      <c r="O1140" s="213"/>
      <c r="P1140" s="213"/>
      <c r="Q1140" s="213"/>
    </row>
    <row r="1141" spans="1:17" s="46" customFormat="1" ht="51">
      <c r="A1141" s="81" t="s">
        <v>319</v>
      </c>
      <c r="B1141" s="145">
        <v>793</v>
      </c>
      <c r="C1141" s="83" t="s">
        <v>19</v>
      </c>
      <c r="D1141" s="83" t="s">
        <v>54</v>
      </c>
      <c r="E1141" s="83" t="s">
        <v>245</v>
      </c>
      <c r="F1141" s="83" t="s">
        <v>58</v>
      </c>
      <c r="G1141" s="86">
        <f>G1142</f>
        <v>38593613</v>
      </c>
      <c r="H1141" s="86">
        <f>H1142</f>
        <v>38407762.450000003</v>
      </c>
      <c r="I1141" s="171"/>
      <c r="J1141" s="213"/>
      <c r="K1141" s="213"/>
      <c r="L1141" s="213"/>
      <c r="M1141" s="213"/>
      <c r="N1141" s="213"/>
      <c r="O1141" s="213"/>
      <c r="P1141" s="213"/>
      <c r="Q1141" s="213"/>
    </row>
    <row r="1142" spans="1:17" s="46" customFormat="1" ht="25.5">
      <c r="A1142" s="81" t="s">
        <v>56</v>
      </c>
      <c r="B1142" s="145">
        <v>793</v>
      </c>
      <c r="C1142" s="83" t="s">
        <v>19</v>
      </c>
      <c r="D1142" s="83" t="s">
        <v>54</v>
      </c>
      <c r="E1142" s="83" t="s">
        <v>245</v>
      </c>
      <c r="F1142" s="83" t="s">
        <v>59</v>
      </c>
      <c r="G1142" s="86">
        <f>30598649+9240792+273000+144000+175000-1403173-584655+150000</f>
        <v>38593613</v>
      </c>
      <c r="H1142" s="86">
        <v>38407762.450000003</v>
      </c>
      <c r="I1142" s="171"/>
      <c r="J1142" s="213"/>
      <c r="K1142" s="213"/>
      <c r="L1142" s="213"/>
      <c r="M1142" s="213"/>
      <c r="N1142" s="213"/>
      <c r="O1142" s="213"/>
      <c r="P1142" s="205"/>
      <c r="Q1142" s="213"/>
    </row>
    <row r="1143" spans="1:17" s="46" customFormat="1" ht="34.5" customHeight="1">
      <c r="A1143" s="81" t="s">
        <v>323</v>
      </c>
      <c r="B1143" s="145">
        <v>793</v>
      </c>
      <c r="C1143" s="83" t="s">
        <v>19</v>
      </c>
      <c r="D1143" s="83" t="s">
        <v>54</v>
      </c>
      <c r="E1143" s="83" t="s">
        <v>245</v>
      </c>
      <c r="F1143" s="83" t="s">
        <v>37</v>
      </c>
      <c r="G1143" s="86">
        <f>G1144</f>
        <v>2525565.7200000002</v>
      </c>
      <c r="H1143" s="86">
        <f>H1144</f>
        <v>2161600.0099999998</v>
      </c>
      <c r="I1143" s="171"/>
      <c r="J1143" s="213"/>
      <c r="K1143" s="213"/>
      <c r="L1143" s="213"/>
      <c r="M1143" s="213"/>
      <c r="N1143" s="213"/>
      <c r="O1143" s="213"/>
      <c r="P1143" s="213"/>
      <c r="Q1143" s="213"/>
    </row>
    <row r="1144" spans="1:17" s="46" customFormat="1" ht="25.5">
      <c r="A1144" s="81" t="s">
        <v>38</v>
      </c>
      <c r="B1144" s="145">
        <v>793</v>
      </c>
      <c r="C1144" s="83" t="s">
        <v>19</v>
      </c>
      <c r="D1144" s="83" t="s">
        <v>54</v>
      </c>
      <c r="E1144" s="83" t="s">
        <v>245</v>
      </c>
      <c r="F1144" s="83" t="s">
        <v>39</v>
      </c>
      <c r="G1144" s="86">
        <v>2525565.7200000002</v>
      </c>
      <c r="H1144" s="86">
        <v>2161600.0099999998</v>
      </c>
      <c r="I1144" s="171"/>
      <c r="J1144" s="213"/>
      <c r="K1144" s="213"/>
      <c r="L1144" s="213"/>
      <c r="M1144" s="213"/>
      <c r="N1144" s="213"/>
      <c r="O1144" s="213"/>
      <c r="P1144" s="213"/>
      <c r="Q1144" s="213"/>
    </row>
    <row r="1145" spans="1:17" s="46" customFormat="1">
      <c r="A1145" s="81" t="s">
        <v>148</v>
      </c>
      <c r="B1145" s="145">
        <v>793</v>
      </c>
      <c r="C1145" s="83" t="s">
        <v>19</v>
      </c>
      <c r="D1145" s="83" t="s">
        <v>54</v>
      </c>
      <c r="E1145" s="83" t="s">
        <v>245</v>
      </c>
      <c r="F1145" s="83" t="s">
        <v>149</v>
      </c>
      <c r="G1145" s="86">
        <f>G1146</f>
        <v>200196.82</v>
      </c>
      <c r="H1145" s="86">
        <f>H1146</f>
        <v>200196.82</v>
      </c>
      <c r="I1145" s="171"/>
      <c r="J1145" s="213"/>
      <c r="K1145" s="213"/>
      <c r="L1145" s="213"/>
      <c r="M1145" s="213"/>
      <c r="N1145" s="213"/>
      <c r="O1145" s="213"/>
      <c r="P1145" s="213"/>
      <c r="Q1145" s="213"/>
    </row>
    <row r="1146" spans="1:17" s="46" customFormat="1" ht="25.5">
      <c r="A1146" s="81" t="s">
        <v>150</v>
      </c>
      <c r="B1146" s="145">
        <v>793</v>
      </c>
      <c r="C1146" s="83" t="s">
        <v>19</v>
      </c>
      <c r="D1146" s="83" t="s">
        <v>54</v>
      </c>
      <c r="E1146" s="83" t="s">
        <v>245</v>
      </c>
      <c r="F1146" s="83" t="s">
        <v>151</v>
      </c>
      <c r="G1146" s="86">
        <v>200196.82</v>
      </c>
      <c r="H1146" s="86">
        <v>200196.82</v>
      </c>
      <c r="I1146" s="171"/>
      <c r="J1146" s="213"/>
      <c r="K1146" s="213"/>
      <c r="L1146" s="213"/>
      <c r="M1146" s="213"/>
      <c r="N1146" s="213"/>
      <c r="O1146" s="213"/>
      <c r="P1146" s="213"/>
      <c r="Q1146" s="213"/>
    </row>
    <row r="1147" spans="1:17" s="46" customFormat="1" ht="17.25" customHeight="1">
      <c r="A1147" s="81" t="s">
        <v>63</v>
      </c>
      <c r="B1147" s="145">
        <v>793</v>
      </c>
      <c r="C1147" s="83" t="s">
        <v>19</v>
      </c>
      <c r="D1147" s="83" t="s">
        <v>54</v>
      </c>
      <c r="E1147" s="83" t="s">
        <v>245</v>
      </c>
      <c r="F1147" s="83" t="s">
        <v>64</v>
      </c>
      <c r="G1147" s="86">
        <f>G1148</f>
        <v>24396.46</v>
      </c>
      <c r="H1147" s="86">
        <f t="shared" ref="H1147" si="281">H1148</f>
        <v>20772.46</v>
      </c>
      <c r="I1147" s="171"/>
      <c r="J1147" s="213"/>
      <c r="K1147" s="213"/>
      <c r="L1147" s="213"/>
      <c r="M1147" s="213"/>
      <c r="N1147" s="213"/>
      <c r="O1147" s="213"/>
      <c r="P1147" s="213"/>
      <c r="Q1147" s="213"/>
    </row>
    <row r="1148" spans="1:17" s="46" customFormat="1">
      <c r="A1148" s="81" t="s">
        <v>144</v>
      </c>
      <c r="B1148" s="145">
        <v>793</v>
      </c>
      <c r="C1148" s="83" t="s">
        <v>19</v>
      </c>
      <c r="D1148" s="83" t="s">
        <v>54</v>
      </c>
      <c r="E1148" s="83" t="s">
        <v>245</v>
      </c>
      <c r="F1148" s="83" t="s">
        <v>67</v>
      </c>
      <c r="G1148" s="86">
        <v>24396.46</v>
      </c>
      <c r="H1148" s="86">
        <v>20772.46</v>
      </c>
      <c r="I1148" s="171"/>
      <c r="J1148" s="213"/>
      <c r="K1148" s="213"/>
      <c r="L1148" s="213"/>
      <c r="M1148" s="213"/>
      <c r="N1148" s="213"/>
      <c r="O1148" s="213"/>
      <c r="P1148" s="213"/>
      <c r="Q1148" s="213"/>
    </row>
    <row r="1149" spans="1:17" s="3" customFormat="1" ht="80.25" customHeight="1">
      <c r="A1149" s="81" t="s">
        <v>677</v>
      </c>
      <c r="B1149" s="145">
        <v>793</v>
      </c>
      <c r="C1149" s="83" t="s">
        <v>19</v>
      </c>
      <c r="D1149" s="83" t="s">
        <v>54</v>
      </c>
      <c r="E1149" s="83" t="s">
        <v>675</v>
      </c>
      <c r="F1149" s="83"/>
      <c r="G1149" s="86">
        <f>G1150+G1152</f>
        <v>4776569.55</v>
      </c>
      <c r="H1149" s="86">
        <f>H1150+H1152</f>
        <v>4765441.8099999996</v>
      </c>
      <c r="I1149" s="171"/>
      <c r="J1149" s="190"/>
      <c r="K1149" s="190"/>
      <c r="L1149" s="190"/>
      <c r="M1149" s="190"/>
      <c r="N1149" s="190"/>
      <c r="O1149" s="190"/>
      <c r="P1149" s="190"/>
      <c r="Q1149" s="190"/>
    </row>
    <row r="1150" spans="1:17" s="3" customFormat="1" ht="51">
      <c r="A1150" s="81" t="s">
        <v>319</v>
      </c>
      <c r="B1150" s="145">
        <v>793</v>
      </c>
      <c r="C1150" s="83" t="s">
        <v>19</v>
      </c>
      <c r="D1150" s="83" t="s">
        <v>54</v>
      </c>
      <c r="E1150" s="83" t="s">
        <v>675</v>
      </c>
      <c r="F1150" s="83" t="s">
        <v>58</v>
      </c>
      <c r="G1150" s="86">
        <f>G1151</f>
        <v>4461641.42</v>
      </c>
      <c r="H1150" s="86">
        <f>H1151</f>
        <v>4456141.92</v>
      </c>
      <c r="I1150" s="171"/>
      <c r="J1150" s="190"/>
      <c r="K1150" s="190"/>
      <c r="L1150" s="190"/>
      <c r="M1150" s="190"/>
      <c r="N1150" s="190"/>
      <c r="O1150" s="190"/>
      <c r="P1150" s="190"/>
      <c r="Q1150" s="190"/>
    </row>
    <row r="1151" spans="1:17" s="3" customFormat="1" ht="25.5">
      <c r="A1151" s="81" t="s">
        <v>56</v>
      </c>
      <c r="B1151" s="145">
        <v>793</v>
      </c>
      <c r="C1151" s="83" t="s">
        <v>19</v>
      </c>
      <c r="D1151" s="83" t="s">
        <v>54</v>
      </c>
      <c r="E1151" s="83" t="s">
        <v>675</v>
      </c>
      <c r="F1151" s="83" t="s">
        <v>59</v>
      </c>
      <c r="G1151" s="86">
        <v>4461641.42</v>
      </c>
      <c r="H1151" s="86">
        <v>4456141.92</v>
      </c>
      <c r="I1151" s="171"/>
      <c r="J1151" s="190"/>
      <c r="K1151" s="190"/>
      <c r="L1151" s="211"/>
      <c r="M1151" s="190"/>
      <c r="N1151" s="190"/>
      <c r="O1151" s="190"/>
      <c r="P1151" s="190"/>
      <c r="Q1151" s="190"/>
    </row>
    <row r="1152" spans="1:17" s="3" customFormat="1" ht="21.75" customHeight="1">
      <c r="A1152" s="81" t="s">
        <v>323</v>
      </c>
      <c r="B1152" s="145">
        <v>793</v>
      </c>
      <c r="C1152" s="83" t="s">
        <v>19</v>
      </c>
      <c r="D1152" s="83" t="s">
        <v>54</v>
      </c>
      <c r="E1152" s="83" t="s">
        <v>675</v>
      </c>
      <c r="F1152" s="83" t="s">
        <v>37</v>
      </c>
      <c r="G1152" s="86">
        <f>G1153</f>
        <v>314928.13</v>
      </c>
      <c r="H1152" s="86">
        <f>H1153</f>
        <v>309299.89</v>
      </c>
      <c r="I1152" s="171"/>
      <c r="J1152" s="190"/>
      <c r="K1152" s="190"/>
      <c r="L1152" s="190"/>
      <c r="M1152" s="190"/>
      <c r="N1152" s="190"/>
      <c r="O1152" s="190"/>
      <c r="P1152" s="190"/>
      <c r="Q1152" s="190"/>
    </row>
    <row r="1153" spans="1:17" s="3" customFormat="1" ht="25.5">
      <c r="A1153" s="81" t="s">
        <v>38</v>
      </c>
      <c r="B1153" s="145">
        <v>793</v>
      </c>
      <c r="C1153" s="83" t="s">
        <v>19</v>
      </c>
      <c r="D1153" s="83" t="s">
        <v>54</v>
      </c>
      <c r="E1153" s="83" t="s">
        <v>675</v>
      </c>
      <c r="F1153" s="83" t="s">
        <v>39</v>
      </c>
      <c r="G1153" s="86">
        <v>314928.13</v>
      </c>
      <c r="H1153" s="86">
        <v>309299.89</v>
      </c>
      <c r="I1153" s="171"/>
      <c r="J1153" s="190"/>
      <c r="K1153" s="190"/>
      <c r="L1153" s="190"/>
      <c r="M1153" s="190"/>
      <c r="N1153" s="190"/>
      <c r="O1153" s="190"/>
      <c r="P1153" s="190"/>
      <c r="Q1153" s="190"/>
    </row>
    <row r="1154" spans="1:17" s="3" customFormat="1" ht="76.5">
      <c r="A1154" s="81" t="s">
        <v>678</v>
      </c>
      <c r="B1154" s="145">
        <v>793</v>
      </c>
      <c r="C1154" s="83" t="s">
        <v>19</v>
      </c>
      <c r="D1154" s="83" t="s">
        <v>54</v>
      </c>
      <c r="E1154" s="83" t="s">
        <v>679</v>
      </c>
      <c r="F1154" s="83"/>
      <c r="G1154" s="86">
        <f>G1155+G1159</f>
        <v>1502406.02</v>
      </c>
      <c r="H1154" s="86">
        <f>H1155+H1159</f>
        <v>1502406.02</v>
      </c>
      <c r="I1154" s="171"/>
      <c r="J1154" s="190"/>
      <c r="K1154" s="190"/>
      <c r="L1154" s="190"/>
      <c r="M1154" s="190"/>
      <c r="N1154" s="190"/>
      <c r="O1154" s="190"/>
      <c r="P1154" s="190"/>
      <c r="Q1154" s="190"/>
    </row>
    <row r="1155" spans="1:17" s="3" customFormat="1" ht="51">
      <c r="A1155" s="81" t="s">
        <v>319</v>
      </c>
      <c r="B1155" s="145">
        <v>793</v>
      </c>
      <c r="C1155" s="83" t="s">
        <v>19</v>
      </c>
      <c r="D1155" s="83" t="s">
        <v>54</v>
      </c>
      <c r="E1155" s="83" t="s">
        <v>679</v>
      </c>
      <c r="F1155" s="83" t="s">
        <v>58</v>
      </c>
      <c r="G1155" s="86">
        <f>G1156</f>
        <v>1445792.76</v>
      </c>
      <c r="H1155" s="86">
        <f>H1156</f>
        <v>1445792.76</v>
      </c>
      <c r="I1155" s="171"/>
      <c r="J1155" s="190"/>
      <c r="K1155" s="190"/>
      <c r="L1155" s="190"/>
      <c r="M1155" s="190"/>
      <c r="N1155" s="190"/>
      <c r="O1155" s="190"/>
      <c r="P1155" s="190"/>
      <c r="Q1155" s="190"/>
    </row>
    <row r="1156" spans="1:17" s="3" customFormat="1" ht="25.5">
      <c r="A1156" s="81" t="s">
        <v>56</v>
      </c>
      <c r="B1156" s="145">
        <v>793</v>
      </c>
      <c r="C1156" s="83" t="s">
        <v>19</v>
      </c>
      <c r="D1156" s="83" t="s">
        <v>54</v>
      </c>
      <c r="E1156" s="83" t="s">
        <v>679</v>
      </c>
      <c r="F1156" s="83" t="s">
        <v>59</v>
      </c>
      <c r="G1156" s="86">
        <v>1445792.76</v>
      </c>
      <c r="H1156" s="86">
        <v>1445792.76</v>
      </c>
      <c r="I1156" s="171"/>
      <c r="J1156" s="190"/>
      <c r="K1156" s="190"/>
      <c r="L1156" s="190"/>
      <c r="M1156" s="190"/>
      <c r="N1156" s="190"/>
      <c r="O1156" s="190"/>
      <c r="P1156" s="190"/>
      <c r="Q1156" s="190"/>
    </row>
    <row r="1157" spans="1:17" s="3" customFormat="1" ht="38.25" hidden="1">
      <c r="A1157" s="81" t="s">
        <v>57</v>
      </c>
      <c r="B1157" s="145">
        <v>793</v>
      </c>
      <c r="C1157" s="83" t="s">
        <v>19</v>
      </c>
      <c r="D1157" s="83" t="s">
        <v>54</v>
      </c>
      <c r="E1157" s="83" t="s">
        <v>679</v>
      </c>
      <c r="F1157" s="83" t="s">
        <v>60</v>
      </c>
      <c r="G1157" s="86"/>
      <c r="H1157" s="86"/>
      <c r="I1157" s="171"/>
      <c r="J1157" s="190"/>
      <c r="K1157" s="190"/>
      <c r="L1157" s="190"/>
      <c r="M1157" s="190"/>
      <c r="N1157" s="190"/>
      <c r="O1157" s="190"/>
      <c r="P1157" s="190"/>
      <c r="Q1157" s="190"/>
    </row>
    <row r="1158" spans="1:17" s="3" customFormat="1" ht="38.25" hidden="1">
      <c r="A1158" s="81" t="s">
        <v>61</v>
      </c>
      <c r="B1158" s="145">
        <v>793</v>
      </c>
      <c r="C1158" s="83" t="s">
        <v>19</v>
      </c>
      <c r="D1158" s="83" t="s">
        <v>54</v>
      </c>
      <c r="E1158" s="83" t="s">
        <v>679</v>
      </c>
      <c r="F1158" s="83" t="s">
        <v>62</v>
      </c>
      <c r="G1158" s="86"/>
      <c r="H1158" s="86"/>
      <c r="I1158" s="171"/>
      <c r="J1158" s="190"/>
      <c r="K1158" s="190"/>
      <c r="L1158" s="190"/>
      <c r="M1158" s="190"/>
      <c r="N1158" s="190"/>
      <c r="O1158" s="190"/>
      <c r="P1158" s="190"/>
      <c r="Q1158" s="190"/>
    </row>
    <row r="1159" spans="1:17" s="3" customFormat="1" ht="20.25" customHeight="1">
      <c r="A1159" s="81" t="s">
        <v>323</v>
      </c>
      <c r="B1159" s="145">
        <v>793</v>
      </c>
      <c r="C1159" s="83" t="s">
        <v>19</v>
      </c>
      <c r="D1159" s="83" t="s">
        <v>54</v>
      </c>
      <c r="E1159" s="83" t="s">
        <v>679</v>
      </c>
      <c r="F1159" s="83" t="s">
        <v>37</v>
      </c>
      <c r="G1159" s="86">
        <f>G1160</f>
        <v>56613.26</v>
      </c>
      <c r="H1159" s="86">
        <f>H1160</f>
        <v>56613.26</v>
      </c>
      <c r="I1159" s="171"/>
      <c r="J1159" s="190"/>
      <c r="K1159" s="190"/>
      <c r="L1159" s="190"/>
      <c r="M1159" s="190"/>
      <c r="N1159" s="190"/>
      <c r="O1159" s="190"/>
      <c r="P1159" s="190"/>
      <c r="Q1159" s="190"/>
    </row>
    <row r="1160" spans="1:17" s="3" customFormat="1" ht="25.5">
      <c r="A1160" s="81" t="s">
        <v>38</v>
      </c>
      <c r="B1160" s="145">
        <v>793</v>
      </c>
      <c r="C1160" s="83" t="s">
        <v>19</v>
      </c>
      <c r="D1160" s="83" t="s">
        <v>54</v>
      </c>
      <c r="E1160" s="83" t="s">
        <v>679</v>
      </c>
      <c r="F1160" s="83" t="s">
        <v>39</v>
      </c>
      <c r="G1160" s="86">
        <v>56613.26</v>
      </c>
      <c r="H1160" s="86">
        <v>56613.26</v>
      </c>
      <c r="I1160" s="171"/>
      <c r="J1160" s="190"/>
      <c r="K1160" s="190"/>
      <c r="L1160" s="190"/>
      <c r="M1160" s="190"/>
      <c r="N1160" s="190"/>
      <c r="O1160" s="190"/>
      <c r="P1160" s="190"/>
      <c r="Q1160" s="190"/>
    </row>
    <row r="1161" spans="1:17" ht="13.5" customHeight="1">
      <c r="A1161" s="267" t="s">
        <v>329</v>
      </c>
      <c r="B1161" s="145">
        <v>793</v>
      </c>
      <c r="C1161" s="83" t="s">
        <v>19</v>
      </c>
      <c r="D1161" s="83" t="s">
        <v>54</v>
      </c>
      <c r="E1161" s="83" t="s">
        <v>246</v>
      </c>
      <c r="F1161" s="83"/>
      <c r="G1161" s="86">
        <f>G1162+G1164</f>
        <v>369351.5</v>
      </c>
      <c r="H1161" s="86">
        <f>H1162+H1164</f>
        <v>315478.41000000003</v>
      </c>
      <c r="I1161" s="171"/>
    </row>
    <row r="1162" spans="1:17" s="3" customFormat="1" ht="51">
      <c r="A1162" s="81" t="s">
        <v>319</v>
      </c>
      <c r="B1162" s="145">
        <v>793</v>
      </c>
      <c r="C1162" s="83" t="s">
        <v>19</v>
      </c>
      <c r="D1162" s="83" t="s">
        <v>54</v>
      </c>
      <c r="E1162" s="83" t="s">
        <v>246</v>
      </c>
      <c r="F1162" s="83" t="s">
        <v>58</v>
      </c>
      <c r="G1162" s="86">
        <f>G1163</f>
        <v>305782</v>
      </c>
      <c r="H1162" s="86">
        <f>H1163</f>
        <v>251908.91</v>
      </c>
      <c r="I1162" s="171"/>
      <c r="J1162" s="190"/>
      <c r="K1162" s="190"/>
      <c r="L1162" s="190"/>
      <c r="M1162" s="190"/>
      <c r="N1162" s="190"/>
      <c r="O1162" s="190"/>
      <c r="P1162" s="190"/>
      <c r="Q1162" s="190"/>
    </row>
    <row r="1163" spans="1:17" s="3" customFormat="1" ht="25.5">
      <c r="A1163" s="81" t="s">
        <v>56</v>
      </c>
      <c r="B1163" s="145">
        <v>793</v>
      </c>
      <c r="C1163" s="83" t="s">
        <v>19</v>
      </c>
      <c r="D1163" s="83" t="s">
        <v>54</v>
      </c>
      <c r="E1163" s="83" t="s">
        <v>246</v>
      </c>
      <c r="F1163" s="83" t="s">
        <v>59</v>
      </c>
      <c r="G1163" s="86">
        <v>305782</v>
      </c>
      <c r="H1163" s="86">
        <v>251908.91</v>
      </c>
      <c r="I1163" s="171"/>
      <c r="J1163" s="190"/>
      <c r="K1163" s="190"/>
      <c r="L1163" s="190"/>
      <c r="M1163" s="190"/>
      <c r="N1163" s="190"/>
      <c r="O1163" s="190"/>
      <c r="P1163" s="190"/>
      <c r="Q1163" s="190"/>
    </row>
    <row r="1164" spans="1:17" ht="19.5" customHeight="1">
      <c r="A1164" s="81" t="s">
        <v>323</v>
      </c>
      <c r="B1164" s="145">
        <v>793</v>
      </c>
      <c r="C1164" s="83" t="s">
        <v>19</v>
      </c>
      <c r="D1164" s="83" t="s">
        <v>54</v>
      </c>
      <c r="E1164" s="83" t="s">
        <v>246</v>
      </c>
      <c r="F1164" s="83" t="s">
        <v>37</v>
      </c>
      <c r="G1164" s="86">
        <f>G1165</f>
        <v>63569.5</v>
      </c>
      <c r="H1164" s="86">
        <f>H1165</f>
        <v>63569.5</v>
      </c>
      <c r="I1164" s="171"/>
    </row>
    <row r="1165" spans="1:17" ht="25.5" customHeight="1">
      <c r="A1165" s="81" t="s">
        <v>38</v>
      </c>
      <c r="B1165" s="145">
        <v>793</v>
      </c>
      <c r="C1165" s="83" t="s">
        <v>19</v>
      </c>
      <c r="D1165" s="83" t="s">
        <v>54</v>
      </c>
      <c r="E1165" s="83" t="s">
        <v>246</v>
      </c>
      <c r="F1165" s="83" t="s">
        <v>39</v>
      </c>
      <c r="G1165" s="86">
        <v>63569.5</v>
      </c>
      <c r="H1165" s="86">
        <v>63569.5</v>
      </c>
      <c r="I1165" s="171"/>
    </row>
    <row r="1166" spans="1:17" s="46" customFormat="1" ht="63.75">
      <c r="A1166" s="81" t="s">
        <v>330</v>
      </c>
      <c r="B1166" s="145">
        <v>793</v>
      </c>
      <c r="C1166" s="83" t="s">
        <v>19</v>
      </c>
      <c r="D1166" s="83" t="s">
        <v>54</v>
      </c>
      <c r="E1166" s="83" t="s">
        <v>385</v>
      </c>
      <c r="F1166" s="83"/>
      <c r="G1166" s="86">
        <f t="shared" ref="G1166:H1166" si="282">G1167</f>
        <v>14000</v>
      </c>
      <c r="H1166" s="86">
        <f t="shared" si="282"/>
        <v>2941</v>
      </c>
      <c r="I1166" s="171"/>
      <c r="J1166" s="213"/>
      <c r="K1166" s="213"/>
      <c r="L1166" s="213"/>
      <c r="M1166" s="213"/>
      <c r="N1166" s="213"/>
      <c r="O1166" s="213"/>
      <c r="P1166" s="213"/>
      <c r="Q1166" s="213"/>
    </row>
    <row r="1167" spans="1:17" s="46" customFormat="1" ht="25.5">
      <c r="A1167" s="81" t="s">
        <v>323</v>
      </c>
      <c r="B1167" s="145">
        <v>793</v>
      </c>
      <c r="C1167" s="83" t="s">
        <v>19</v>
      </c>
      <c r="D1167" s="83" t="s">
        <v>54</v>
      </c>
      <c r="E1167" s="83" t="s">
        <v>385</v>
      </c>
      <c r="F1167" s="83" t="s">
        <v>37</v>
      </c>
      <c r="G1167" s="86">
        <f>G1168</f>
        <v>14000</v>
      </c>
      <c r="H1167" s="86">
        <f>H1168</f>
        <v>2941</v>
      </c>
      <c r="I1167" s="171"/>
      <c r="J1167" s="213"/>
      <c r="K1167" s="213"/>
      <c r="L1167" s="213"/>
      <c r="M1167" s="213"/>
      <c r="N1167" s="213"/>
      <c r="O1167" s="213"/>
      <c r="P1167" s="213"/>
      <c r="Q1167" s="213"/>
    </row>
    <row r="1168" spans="1:17" s="46" customFormat="1" ht="25.5">
      <c r="A1168" s="81" t="s">
        <v>38</v>
      </c>
      <c r="B1168" s="145">
        <v>793</v>
      </c>
      <c r="C1168" s="83" t="s">
        <v>19</v>
      </c>
      <c r="D1168" s="83" t="s">
        <v>54</v>
      </c>
      <c r="E1168" s="83" t="s">
        <v>385</v>
      </c>
      <c r="F1168" s="83" t="s">
        <v>39</v>
      </c>
      <c r="G1168" s="86">
        <v>14000</v>
      </c>
      <c r="H1168" s="86">
        <v>2941</v>
      </c>
      <c r="I1168" s="171"/>
      <c r="J1168" s="213"/>
      <c r="K1168" s="213"/>
      <c r="L1168" s="213"/>
      <c r="M1168" s="213"/>
      <c r="N1168" s="213"/>
      <c r="O1168" s="213"/>
      <c r="P1168" s="213"/>
      <c r="Q1168" s="213"/>
    </row>
    <row r="1169" spans="1:17" s="46" customFormat="1" ht="102" customHeight="1">
      <c r="A1169" s="81" t="s">
        <v>934</v>
      </c>
      <c r="B1169" s="145">
        <v>793</v>
      </c>
      <c r="C1169" s="83" t="s">
        <v>19</v>
      </c>
      <c r="D1169" s="83" t="s">
        <v>54</v>
      </c>
      <c r="E1169" s="83" t="s">
        <v>933</v>
      </c>
      <c r="F1169" s="83"/>
      <c r="G1169" s="86">
        <f t="shared" ref="G1169:H1170" si="283">G1170</f>
        <v>67827</v>
      </c>
      <c r="H1169" s="86">
        <f t="shared" si="283"/>
        <v>0</v>
      </c>
      <c r="I1169" s="171"/>
      <c r="J1169" s="213"/>
      <c r="K1169" s="213"/>
      <c r="L1169" s="213"/>
      <c r="M1169" s="213"/>
      <c r="N1169" s="213"/>
      <c r="O1169" s="213"/>
      <c r="P1169" s="213"/>
      <c r="Q1169" s="213"/>
    </row>
    <row r="1170" spans="1:17" s="46" customFormat="1" ht="27" customHeight="1">
      <c r="A1170" s="81" t="s">
        <v>323</v>
      </c>
      <c r="B1170" s="145">
        <v>793</v>
      </c>
      <c r="C1170" s="83" t="s">
        <v>19</v>
      </c>
      <c r="D1170" s="83" t="s">
        <v>54</v>
      </c>
      <c r="E1170" s="83" t="s">
        <v>933</v>
      </c>
      <c r="F1170" s="83" t="s">
        <v>37</v>
      </c>
      <c r="G1170" s="86">
        <f t="shared" si="283"/>
        <v>67827</v>
      </c>
      <c r="H1170" s="86">
        <f t="shared" si="283"/>
        <v>0</v>
      </c>
      <c r="I1170" s="171"/>
      <c r="J1170" s="213"/>
      <c r="K1170" s="213"/>
      <c r="L1170" s="213"/>
      <c r="M1170" s="213"/>
      <c r="N1170" s="213"/>
      <c r="O1170" s="213"/>
      <c r="P1170" s="213"/>
      <c r="Q1170" s="213"/>
    </row>
    <row r="1171" spans="1:17" s="46" customFormat="1" ht="25.5">
      <c r="A1171" s="81" t="s">
        <v>38</v>
      </c>
      <c r="B1171" s="145">
        <v>793</v>
      </c>
      <c r="C1171" s="83" t="s">
        <v>19</v>
      </c>
      <c r="D1171" s="83" t="s">
        <v>54</v>
      </c>
      <c r="E1171" s="83" t="s">
        <v>933</v>
      </c>
      <c r="F1171" s="83" t="s">
        <v>39</v>
      </c>
      <c r="G1171" s="86">
        <f>62888+4939</f>
        <v>67827</v>
      </c>
      <c r="H1171" s="86">
        <v>0</v>
      </c>
      <c r="I1171" s="171"/>
      <c r="J1171" s="213"/>
      <c r="K1171" s="213"/>
      <c r="L1171" s="213"/>
      <c r="M1171" s="213"/>
      <c r="N1171" s="213"/>
      <c r="O1171" s="213"/>
      <c r="P1171" s="213"/>
      <c r="Q1171" s="213"/>
    </row>
    <row r="1172" spans="1:17" s="46" customFormat="1">
      <c r="A1172" s="81" t="s">
        <v>276</v>
      </c>
      <c r="B1172" s="145">
        <v>793</v>
      </c>
      <c r="C1172" s="83" t="s">
        <v>19</v>
      </c>
      <c r="D1172" s="83" t="s">
        <v>173</v>
      </c>
      <c r="E1172" s="83"/>
      <c r="F1172" s="83"/>
      <c r="G1172" s="86">
        <f t="shared" ref="G1172:H1180" si="284">G1173</f>
        <v>124287.62999999999</v>
      </c>
      <c r="H1172" s="86">
        <f t="shared" si="284"/>
        <v>124287.63</v>
      </c>
      <c r="I1172" s="171"/>
      <c r="J1172" s="213"/>
      <c r="K1172" s="213"/>
      <c r="L1172" s="213"/>
      <c r="M1172" s="213"/>
      <c r="N1172" s="213"/>
      <c r="O1172" s="213"/>
      <c r="P1172" s="213"/>
      <c r="Q1172" s="213"/>
    </row>
    <row r="1173" spans="1:17" s="46" customFormat="1">
      <c r="A1173" s="81" t="s">
        <v>277</v>
      </c>
      <c r="B1173" s="145">
        <v>793</v>
      </c>
      <c r="C1173" s="83" t="s">
        <v>19</v>
      </c>
      <c r="D1173" s="83" t="s">
        <v>173</v>
      </c>
      <c r="E1173" s="83" t="s">
        <v>278</v>
      </c>
      <c r="F1173" s="83"/>
      <c r="G1173" s="86">
        <f t="shared" si="284"/>
        <v>124287.62999999999</v>
      </c>
      <c r="H1173" s="86">
        <f t="shared" si="284"/>
        <v>124287.63</v>
      </c>
      <c r="I1173" s="171"/>
      <c r="J1173" s="213"/>
      <c r="K1173" s="213"/>
      <c r="L1173" s="213"/>
      <c r="M1173" s="213"/>
      <c r="N1173" s="213"/>
      <c r="O1173" s="213"/>
      <c r="P1173" s="213"/>
      <c r="Q1173" s="213"/>
    </row>
    <row r="1174" spans="1:17" s="46" customFormat="1" ht="51">
      <c r="A1174" s="81" t="s">
        <v>280</v>
      </c>
      <c r="B1174" s="145">
        <v>793</v>
      </c>
      <c r="C1174" s="83" t="s">
        <v>19</v>
      </c>
      <c r="D1174" s="83" t="s">
        <v>173</v>
      </c>
      <c r="E1174" s="83" t="s">
        <v>373</v>
      </c>
      <c r="F1174" s="83"/>
      <c r="G1174" s="86">
        <f t="shared" si="284"/>
        <v>124287.62999999999</v>
      </c>
      <c r="H1174" s="86">
        <f t="shared" si="284"/>
        <v>124287.63</v>
      </c>
      <c r="I1174" s="171"/>
      <c r="J1174" s="213"/>
      <c r="K1174" s="213"/>
      <c r="L1174" s="213"/>
      <c r="M1174" s="213"/>
      <c r="N1174" s="213"/>
      <c r="O1174" s="213"/>
      <c r="P1174" s="213"/>
      <c r="Q1174" s="213"/>
    </row>
    <row r="1175" spans="1:17" s="46" customFormat="1" ht="27.75" customHeight="1">
      <c r="A1175" s="81" t="s">
        <v>323</v>
      </c>
      <c r="B1175" s="145">
        <v>793</v>
      </c>
      <c r="C1175" s="83" t="s">
        <v>19</v>
      </c>
      <c r="D1175" s="83" t="s">
        <v>173</v>
      </c>
      <c r="E1175" s="83" t="s">
        <v>373</v>
      </c>
      <c r="F1175" s="83" t="s">
        <v>37</v>
      </c>
      <c r="G1175" s="86">
        <f t="shared" si="284"/>
        <v>124287.62999999999</v>
      </c>
      <c r="H1175" s="86">
        <f t="shared" si="284"/>
        <v>124287.63</v>
      </c>
      <c r="I1175" s="171"/>
      <c r="J1175" s="213"/>
      <c r="K1175" s="213"/>
      <c r="L1175" s="213"/>
      <c r="M1175" s="213"/>
      <c r="N1175" s="213"/>
      <c r="O1175" s="213"/>
      <c r="P1175" s="213"/>
      <c r="Q1175" s="213"/>
    </row>
    <row r="1176" spans="1:17" s="46" customFormat="1" ht="25.5">
      <c r="A1176" s="81" t="s">
        <v>38</v>
      </c>
      <c r="B1176" s="145">
        <v>793</v>
      </c>
      <c r="C1176" s="83" t="s">
        <v>19</v>
      </c>
      <c r="D1176" s="83" t="s">
        <v>173</v>
      </c>
      <c r="E1176" s="83" t="s">
        <v>373</v>
      </c>
      <c r="F1176" s="83" t="s">
        <v>39</v>
      </c>
      <c r="G1176" s="86">
        <f>132378.4-8090.77</f>
        <v>124287.62999999999</v>
      </c>
      <c r="H1176" s="86">
        <v>124287.63</v>
      </c>
      <c r="I1176" s="171"/>
      <c r="J1176" s="213"/>
      <c r="K1176" s="213"/>
      <c r="L1176" s="213"/>
      <c r="M1176" s="213"/>
      <c r="N1176" s="213"/>
      <c r="O1176" s="213"/>
      <c r="P1176" s="213"/>
      <c r="Q1176" s="213"/>
    </row>
    <row r="1177" spans="1:17" s="46" customFormat="1">
      <c r="A1177" s="81" t="s">
        <v>804</v>
      </c>
      <c r="B1177" s="145">
        <v>793</v>
      </c>
      <c r="C1177" s="83" t="s">
        <v>19</v>
      </c>
      <c r="D1177" s="83" t="s">
        <v>26</v>
      </c>
      <c r="E1177" s="83"/>
      <c r="F1177" s="83"/>
      <c r="G1177" s="86">
        <f>G1178</f>
        <v>4829049.2</v>
      </c>
      <c r="H1177" s="86">
        <f t="shared" ref="H1177" si="285">H1178</f>
        <v>4659430.8</v>
      </c>
      <c r="I1177" s="171"/>
      <c r="J1177" s="213"/>
      <c r="K1177" s="213"/>
      <c r="L1177" s="213"/>
      <c r="M1177" s="213"/>
      <c r="N1177" s="213"/>
      <c r="O1177" s="213"/>
      <c r="P1177" s="213"/>
      <c r="Q1177" s="213"/>
    </row>
    <row r="1178" spans="1:17" s="46" customFormat="1" ht="25.5">
      <c r="A1178" s="81" t="s">
        <v>98</v>
      </c>
      <c r="B1178" s="145">
        <v>793</v>
      </c>
      <c r="C1178" s="83" t="s">
        <v>19</v>
      </c>
      <c r="D1178" s="83" t="s">
        <v>26</v>
      </c>
      <c r="E1178" s="83" t="s">
        <v>210</v>
      </c>
      <c r="F1178" s="83"/>
      <c r="G1178" s="86">
        <f t="shared" si="284"/>
        <v>4829049.2</v>
      </c>
      <c r="H1178" s="86">
        <f t="shared" si="284"/>
        <v>4659430.8</v>
      </c>
      <c r="I1178" s="171"/>
      <c r="J1178" s="213"/>
      <c r="K1178" s="213"/>
      <c r="L1178" s="213"/>
      <c r="M1178" s="213"/>
      <c r="N1178" s="213"/>
      <c r="O1178" s="213"/>
      <c r="P1178" s="213"/>
      <c r="Q1178" s="213"/>
    </row>
    <row r="1179" spans="1:17" s="46" customFormat="1" ht="48" customHeight="1">
      <c r="A1179" s="81" t="s">
        <v>803</v>
      </c>
      <c r="B1179" s="145">
        <v>793</v>
      </c>
      <c r="C1179" s="83" t="s">
        <v>19</v>
      </c>
      <c r="D1179" s="83" t="s">
        <v>26</v>
      </c>
      <c r="E1179" s="83" t="s">
        <v>801</v>
      </c>
      <c r="F1179" s="83"/>
      <c r="G1179" s="86">
        <f t="shared" si="284"/>
        <v>4829049.2</v>
      </c>
      <c r="H1179" s="86">
        <f t="shared" si="284"/>
        <v>4659430.8</v>
      </c>
      <c r="I1179" s="171"/>
      <c r="J1179" s="213"/>
      <c r="K1179" s="213"/>
      <c r="L1179" s="213"/>
      <c r="M1179" s="213"/>
      <c r="N1179" s="213"/>
      <c r="O1179" s="213"/>
      <c r="P1179" s="213"/>
      <c r="Q1179" s="213"/>
    </row>
    <row r="1180" spans="1:17" s="46" customFormat="1" ht="29.25" customHeight="1">
      <c r="A1180" s="81" t="s">
        <v>63</v>
      </c>
      <c r="B1180" s="145">
        <v>793</v>
      </c>
      <c r="C1180" s="83" t="s">
        <v>19</v>
      </c>
      <c r="D1180" s="83" t="s">
        <v>26</v>
      </c>
      <c r="E1180" s="83" t="s">
        <v>801</v>
      </c>
      <c r="F1180" s="83" t="s">
        <v>64</v>
      </c>
      <c r="G1180" s="86">
        <f t="shared" si="284"/>
        <v>4829049.2</v>
      </c>
      <c r="H1180" s="86">
        <f t="shared" si="284"/>
        <v>4659430.8</v>
      </c>
      <c r="I1180" s="171"/>
      <c r="J1180" s="213"/>
      <c r="K1180" s="213"/>
      <c r="L1180" s="213"/>
      <c r="M1180" s="213"/>
      <c r="N1180" s="213"/>
      <c r="O1180" s="213"/>
      <c r="P1180" s="213"/>
      <c r="Q1180" s="213"/>
    </row>
    <row r="1181" spans="1:17" s="46" customFormat="1">
      <c r="A1181" s="81" t="s">
        <v>802</v>
      </c>
      <c r="B1181" s="145">
        <v>793</v>
      </c>
      <c r="C1181" s="83" t="s">
        <v>19</v>
      </c>
      <c r="D1181" s="83" t="s">
        <v>26</v>
      </c>
      <c r="E1181" s="83" t="s">
        <v>801</v>
      </c>
      <c r="F1181" s="83" t="s">
        <v>800</v>
      </c>
      <c r="G1181" s="86">
        <v>4829049.2</v>
      </c>
      <c r="H1181" s="86">
        <v>4659430.8</v>
      </c>
      <c r="I1181" s="171"/>
      <c r="J1181" s="213"/>
      <c r="K1181" s="213"/>
      <c r="L1181" s="213"/>
      <c r="M1181" s="213"/>
      <c r="N1181" s="213"/>
      <c r="O1181" s="213"/>
      <c r="P1181" s="213"/>
      <c r="Q1181" s="213"/>
    </row>
    <row r="1182" spans="1:17" s="18" customFormat="1">
      <c r="A1182" s="133" t="s">
        <v>331</v>
      </c>
      <c r="B1182" s="145">
        <v>793</v>
      </c>
      <c r="C1182" s="83" t="s">
        <v>19</v>
      </c>
      <c r="D1182" s="83" t="s">
        <v>72</v>
      </c>
      <c r="E1182" s="83"/>
      <c r="F1182" s="83"/>
      <c r="G1182" s="86">
        <f t="shared" ref="G1182:H1185" si="286">G1183</f>
        <v>4954.46</v>
      </c>
      <c r="H1182" s="86">
        <f t="shared" si="286"/>
        <v>0</v>
      </c>
      <c r="I1182" s="171"/>
      <c r="J1182" s="191"/>
      <c r="K1182" s="191"/>
      <c r="L1182" s="191"/>
      <c r="M1182" s="191"/>
      <c r="N1182" s="191"/>
      <c r="O1182" s="191"/>
      <c r="P1182" s="191"/>
      <c r="Q1182" s="191"/>
    </row>
    <row r="1183" spans="1:17" s="28" customFormat="1" ht="24.75" customHeight="1">
      <c r="A1183" s="135" t="s">
        <v>169</v>
      </c>
      <c r="B1183" s="145">
        <v>793</v>
      </c>
      <c r="C1183" s="83" t="s">
        <v>19</v>
      </c>
      <c r="D1183" s="83" t="s">
        <v>72</v>
      </c>
      <c r="E1183" s="83" t="s">
        <v>233</v>
      </c>
      <c r="F1183" s="163"/>
      <c r="G1183" s="86">
        <f t="shared" si="286"/>
        <v>4954.46</v>
      </c>
      <c r="H1183" s="86">
        <f t="shared" si="286"/>
        <v>0</v>
      </c>
      <c r="I1183" s="171"/>
      <c r="J1183" s="195"/>
      <c r="K1183" s="195"/>
      <c r="L1183" s="195"/>
      <c r="M1183" s="195"/>
      <c r="N1183" s="195"/>
      <c r="O1183" s="195"/>
      <c r="P1183" s="195"/>
      <c r="Q1183" s="195"/>
    </row>
    <row r="1184" spans="1:17" ht="25.5">
      <c r="A1184" s="135" t="s">
        <v>169</v>
      </c>
      <c r="B1184" s="145">
        <v>793</v>
      </c>
      <c r="C1184" s="83" t="s">
        <v>19</v>
      </c>
      <c r="D1184" s="83" t="s">
        <v>72</v>
      </c>
      <c r="E1184" s="83" t="s">
        <v>275</v>
      </c>
      <c r="F1184" s="145"/>
      <c r="G1184" s="86">
        <f t="shared" si="286"/>
        <v>4954.46</v>
      </c>
      <c r="H1184" s="86">
        <f t="shared" si="286"/>
        <v>0</v>
      </c>
      <c r="I1184" s="171"/>
    </row>
    <row r="1185" spans="1:17">
      <c r="A1185" s="81" t="s">
        <v>63</v>
      </c>
      <c r="B1185" s="145">
        <v>793</v>
      </c>
      <c r="C1185" s="83" t="s">
        <v>19</v>
      </c>
      <c r="D1185" s="83" t="s">
        <v>72</v>
      </c>
      <c r="E1185" s="83" t="s">
        <v>275</v>
      </c>
      <c r="F1185" s="83" t="s">
        <v>64</v>
      </c>
      <c r="G1185" s="86">
        <f t="shared" si="286"/>
        <v>4954.46</v>
      </c>
      <c r="H1185" s="86">
        <f t="shared" si="286"/>
        <v>0</v>
      </c>
      <c r="I1185" s="171"/>
    </row>
    <row r="1186" spans="1:17">
      <c r="A1186" s="81" t="s">
        <v>180</v>
      </c>
      <c r="B1186" s="145">
        <v>793</v>
      </c>
      <c r="C1186" s="83" t="s">
        <v>19</v>
      </c>
      <c r="D1186" s="83" t="s">
        <v>72</v>
      </c>
      <c r="E1186" s="83" t="s">
        <v>275</v>
      </c>
      <c r="F1186" s="83" t="s">
        <v>181</v>
      </c>
      <c r="G1186" s="86">
        <v>4954.46</v>
      </c>
      <c r="H1186" s="86">
        <v>0</v>
      </c>
      <c r="I1186" s="171"/>
    </row>
    <row r="1187" spans="1:17">
      <c r="A1187" s="133" t="s">
        <v>22</v>
      </c>
      <c r="B1187" s="145">
        <v>793</v>
      </c>
      <c r="C1187" s="83" t="s">
        <v>19</v>
      </c>
      <c r="D1187" s="83" t="s">
        <v>23</v>
      </c>
      <c r="E1187" s="83"/>
      <c r="F1187" s="83"/>
      <c r="G1187" s="86">
        <f>G1188+G1235+G1250+G1219+G1212+G1272+G1246</f>
        <v>23079251.870000001</v>
      </c>
      <c r="H1187" s="86">
        <f>H1188+H1235+H1250+H1219+H1212+H1272+H1246</f>
        <v>22512416.940000001</v>
      </c>
      <c r="I1187" s="171"/>
    </row>
    <row r="1188" spans="1:17" s="33" customFormat="1" ht="51">
      <c r="A1188" s="81" t="s">
        <v>468</v>
      </c>
      <c r="B1188" s="145">
        <v>793</v>
      </c>
      <c r="C1188" s="83" t="s">
        <v>19</v>
      </c>
      <c r="D1188" s="83" t="s">
        <v>23</v>
      </c>
      <c r="E1188" s="145" t="s">
        <v>247</v>
      </c>
      <c r="F1188" s="83"/>
      <c r="G1188" s="86">
        <f>G1189+G1192+G1202+G1209+G1197</f>
        <v>3135495.99</v>
      </c>
      <c r="H1188" s="86">
        <f>H1189+H1192+H1202+H1209+H1197</f>
        <v>3119229.29</v>
      </c>
      <c r="I1188" s="171"/>
      <c r="J1188" s="202"/>
      <c r="K1188" s="202"/>
      <c r="L1188" s="202"/>
      <c r="M1188" s="202"/>
      <c r="N1188" s="202"/>
      <c r="O1188" s="202"/>
      <c r="P1188" s="202"/>
      <c r="Q1188" s="202"/>
    </row>
    <row r="1189" spans="1:17" s="33" customFormat="1" ht="41.25" customHeight="1">
      <c r="A1189" s="81" t="s">
        <v>188</v>
      </c>
      <c r="B1189" s="145">
        <v>793</v>
      </c>
      <c r="C1189" s="83" t="s">
        <v>19</v>
      </c>
      <c r="D1189" s="83" t="s">
        <v>23</v>
      </c>
      <c r="E1189" s="83" t="s">
        <v>381</v>
      </c>
      <c r="F1189" s="83"/>
      <c r="G1189" s="86">
        <f t="shared" ref="G1189:H1190" si="287">G1190</f>
        <v>1048486</v>
      </c>
      <c r="H1189" s="86">
        <f>H1190</f>
        <v>1048486</v>
      </c>
      <c r="I1189" s="171"/>
      <c r="J1189" s="202"/>
      <c r="K1189" s="202"/>
      <c r="L1189" s="202"/>
      <c r="M1189" s="202"/>
      <c r="N1189" s="202"/>
      <c r="O1189" s="202"/>
      <c r="P1189" s="202"/>
      <c r="Q1189" s="202"/>
    </row>
    <row r="1190" spans="1:17" s="33" customFormat="1" ht="28.5" customHeight="1">
      <c r="A1190" s="81" t="s">
        <v>30</v>
      </c>
      <c r="B1190" s="145">
        <v>793</v>
      </c>
      <c r="C1190" s="83" t="s">
        <v>19</v>
      </c>
      <c r="D1190" s="83" t="s">
        <v>23</v>
      </c>
      <c r="E1190" s="83" t="s">
        <v>381</v>
      </c>
      <c r="F1190" s="83" t="s">
        <v>31</v>
      </c>
      <c r="G1190" s="86">
        <f t="shared" si="287"/>
        <v>1048486</v>
      </c>
      <c r="H1190" s="86">
        <f t="shared" si="287"/>
        <v>1048486</v>
      </c>
      <c r="I1190" s="171"/>
      <c r="J1190" s="202"/>
      <c r="K1190" s="202"/>
      <c r="L1190" s="202"/>
      <c r="M1190" s="202"/>
      <c r="N1190" s="202"/>
      <c r="O1190" s="202"/>
      <c r="P1190" s="202"/>
      <c r="Q1190" s="202"/>
    </row>
    <row r="1191" spans="1:17" s="33" customFormat="1" ht="45.75" customHeight="1">
      <c r="A1191" s="81" t="s">
        <v>9</v>
      </c>
      <c r="B1191" s="145">
        <v>793</v>
      </c>
      <c r="C1191" s="83" t="s">
        <v>19</v>
      </c>
      <c r="D1191" s="83" t="s">
        <v>23</v>
      </c>
      <c r="E1191" s="83" t="s">
        <v>381</v>
      </c>
      <c r="F1191" s="83" t="s">
        <v>8</v>
      </c>
      <c r="G1191" s="86">
        <f>500000+548486</f>
        <v>1048486</v>
      </c>
      <c r="H1191" s="86">
        <v>1048486</v>
      </c>
      <c r="I1191" s="171"/>
      <c r="J1191" s="202"/>
      <c r="K1191" s="202"/>
      <c r="L1191" s="202"/>
      <c r="M1191" s="202"/>
      <c r="N1191" s="202"/>
      <c r="O1191" s="202"/>
      <c r="P1191" s="202"/>
      <c r="Q1191" s="202"/>
    </row>
    <row r="1192" spans="1:17" ht="27.75" customHeight="1">
      <c r="A1192" s="268" t="s">
        <v>432</v>
      </c>
      <c r="B1192" s="145">
        <v>793</v>
      </c>
      <c r="C1192" s="83" t="s">
        <v>19</v>
      </c>
      <c r="D1192" s="83" t="s">
        <v>23</v>
      </c>
      <c r="E1192" s="83" t="s">
        <v>382</v>
      </c>
      <c r="F1192" s="83"/>
      <c r="G1192" s="86">
        <f>G1193+G1195</f>
        <v>1976013.29</v>
      </c>
      <c r="H1192" s="86">
        <f t="shared" ref="H1192" si="288">H1193+H1195</f>
        <v>1976013.29</v>
      </c>
      <c r="I1192" s="171"/>
    </row>
    <row r="1193" spans="1:17" ht="19.5" customHeight="1">
      <c r="A1193" s="81" t="s">
        <v>156</v>
      </c>
      <c r="B1193" s="145">
        <v>793</v>
      </c>
      <c r="C1193" s="83" t="s">
        <v>19</v>
      </c>
      <c r="D1193" s="83" t="s">
        <v>23</v>
      </c>
      <c r="E1193" s="83" t="s">
        <v>382</v>
      </c>
      <c r="F1193" s="83" t="s">
        <v>157</v>
      </c>
      <c r="G1193" s="86">
        <f>G1194</f>
        <v>1976013.29</v>
      </c>
      <c r="H1193" s="86">
        <f t="shared" ref="H1193:H1195" si="289">H1194</f>
        <v>1976013.29</v>
      </c>
      <c r="I1193" s="171"/>
    </row>
    <row r="1194" spans="1:17" ht="12" customHeight="1">
      <c r="A1194" s="81" t="s">
        <v>178</v>
      </c>
      <c r="B1194" s="145">
        <v>793</v>
      </c>
      <c r="C1194" s="83" t="s">
        <v>19</v>
      </c>
      <c r="D1194" s="83" t="s">
        <v>23</v>
      </c>
      <c r="E1194" s="83" t="s">
        <v>382</v>
      </c>
      <c r="F1194" s="83" t="s">
        <v>179</v>
      </c>
      <c r="G1194" s="86">
        <v>1976013.29</v>
      </c>
      <c r="H1194" s="86">
        <v>1976013.29</v>
      </c>
      <c r="I1194" s="171"/>
    </row>
    <row r="1195" spans="1:17" ht="16.5" customHeight="1">
      <c r="A1195" s="81" t="s">
        <v>63</v>
      </c>
      <c r="B1195" s="145">
        <v>793</v>
      </c>
      <c r="C1195" s="83" t="s">
        <v>19</v>
      </c>
      <c r="D1195" s="83" t="s">
        <v>23</v>
      </c>
      <c r="E1195" s="83" t="s">
        <v>382</v>
      </c>
      <c r="F1195" s="83" t="s">
        <v>64</v>
      </c>
      <c r="G1195" s="86">
        <f>G1196</f>
        <v>-4.638422979041934E-11</v>
      </c>
      <c r="H1195" s="86">
        <f t="shared" si="289"/>
        <v>0</v>
      </c>
      <c r="I1195" s="171"/>
    </row>
    <row r="1196" spans="1:17" ht="17.25" customHeight="1">
      <c r="A1196" s="81" t="s">
        <v>180</v>
      </c>
      <c r="B1196" s="145">
        <v>793</v>
      </c>
      <c r="C1196" s="83" t="s">
        <v>19</v>
      </c>
      <c r="D1196" s="83" t="s">
        <v>23</v>
      </c>
      <c r="E1196" s="83" t="s">
        <v>382</v>
      </c>
      <c r="F1196" s="83" t="s">
        <v>181</v>
      </c>
      <c r="G1196" s="86">
        <f>1482009.99+500000-1976013.29-5996.7</f>
        <v>-4.638422979041934E-11</v>
      </c>
      <c r="H1196" s="86">
        <v>0</v>
      </c>
      <c r="I1196" s="171"/>
    </row>
    <row r="1197" spans="1:17" ht="27.75" customHeight="1">
      <c r="A1197" s="268" t="s">
        <v>905</v>
      </c>
      <c r="B1197" s="145">
        <v>793</v>
      </c>
      <c r="C1197" s="83" t="s">
        <v>19</v>
      </c>
      <c r="D1197" s="83" t="s">
        <v>23</v>
      </c>
      <c r="E1197" s="83" t="s">
        <v>866</v>
      </c>
      <c r="F1197" s="83"/>
      <c r="G1197" s="86">
        <f>G1198+G1200</f>
        <v>0</v>
      </c>
      <c r="H1197" s="86">
        <f t="shared" ref="H1197" si="290">H1198+H1200</f>
        <v>0</v>
      </c>
      <c r="I1197" s="171"/>
    </row>
    <row r="1198" spans="1:17" ht="19.5" hidden="1" customHeight="1">
      <c r="A1198" s="81" t="s">
        <v>156</v>
      </c>
      <c r="B1198" s="145">
        <v>793</v>
      </c>
      <c r="C1198" s="83" t="s">
        <v>19</v>
      </c>
      <c r="D1198" s="83" t="s">
        <v>23</v>
      </c>
      <c r="E1198" s="83" t="s">
        <v>382</v>
      </c>
      <c r="F1198" s="83" t="s">
        <v>157</v>
      </c>
      <c r="G1198" s="86">
        <f>G1199</f>
        <v>0</v>
      </c>
      <c r="H1198" s="86">
        <f t="shared" ref="H1198:H1200" si="291">H1199</f>
        <v>0</v>
      </c>
      <c r="I1198" s="171"/>
    </row>
    <row r="1199" spans="1:17" ht="12" hidden="1" customHeight="1">
      <c r="A1199" s="81" t="s">
        <v>178</v>
      </c>
      <c r="B1199" s="145">
        <v>793</v>
      </c>
      <c r="C1199" s="83" t="s">
        <v>19</v>
      </c>
      <c r="D1199" s="83" t="s">
        <v>23</v>
      </c>
      <c r="E1199" s="83" t="s">
        <v>382</v>
      </c>
      <c r="F1199" s="83" t="s">
        <v>179</v>
      </c>
      <c r="G1199" s="86"/>
      <c r="H1199" s="86"/>
      <c r="I1199" s="171"/>
    </row>
    <row r="1200" spans="1:17" ht="16.5" customHeight="1">
      <c r="A1200" s="81" t="s">
        <v>63</v>
      </c>
      <c r="B1200" s="145">
        <v>793</v>
      </c>
      <c r="C1200" s="83" t="s">
        <v>19</v>
      </c>
      <c r="D1200" s="83" t="s">
        <v>23</v>
      </c>
      <c r="E1200" s="83" t="s">
        <v>866</v>
      </c>
      <c r="F1200" s="83" t="s">
        <v>64</v>
      </c>
      <c r="G1200" s="86">
        <f>G1201</f>
        <v>0</v>
      </c>
      <c r="H1200" s="86">
        <f t="shared" si="291"/>
        <v>0</v>
      </c>
      <c r="I1200" s="171"/>
    </row>
    <row r="1201" spans="1:16" ht="17.25" customHeight="1">
      <c r="A1201" s="81" t="s">
        <v>180</v>
      </c>
      <c r="B1201" s="145">
        <v>793</v>
      </c>
      <c r="C1201" s="83" t="s">
        <v>19</v>
      </c>
      <c r="D1201" s="83" t="s">
        <v>23</v>
      </c>
      <c r="E1201" s="83" t="s">
        <v>866</v>
      </c>
      <c r="F1201" s="83" t="s">
        <v>181</v>
      </c>
      <c r="G1201" s="86">
        <f>100000-100000</f>
        <v>0</v>
      </c>
      <c r="H1201" s="86">
        <v>0</v>
      </c>
      <c r="I1201" s="171"/>
    </row>
    <row r="1202" spans="1:16" ht="25.5" customHeight="1">
      <c r="A1202" s="81" t="s">
        <v>120</v>
      </c>
      <c r="B1202" s="145">
        <v>793</v>
      </c>
      <c r="C1202" s="83" t="s">
        <v>19</v>
      </c>
      <c r="D1202" s="83" t="s">
        <v>23</v>
      </c>
      <c r="E1202" s="83" t="s">
        <v>248</v>
      </c>
      <c r="F1202" s="83"/>
      <c r="G1202" s="86">
        <f>G1203+G1207+G1205</f>
        <v>110996.7</v>
      </c>
      <c r="H1202" s="86">
        <f t="shared" ref="H1202" si="292">H1203+H1207+H1205</f>
        <v>94730</v>
      </c>
      <c r="I1202" s="171"/>
    </row>
    <row r="1203" spans="1:16" ht="21.75" customHeight="1">
      <c r="A1203" s="81" t="s">
        <v>323</v>
      </c>
      <c r="B1203" s="145">
        <v>793</v>
      </c>
      <c r="C1203" s="83" t="s">
        <v>19</v>
      </c>
      <c r="D1203" s="83" t="s">
        <v>23</v>
      </c>
      <c r="E1203" s="83" t="s">
        <v>248</v>
      </c>
      <c r="F1203" s="83" t="s">
        <v>37</v>
      </c>
      <c r="G1203" s="86">
        <f>G1204</f>
        <v>75996.7</v>
      </c>
      <c r="H1203" s="86">
        <f>H1204</f>
        <v>59730</v>
      </c>
      <c r="I1203" s="171"/>
    </row>
    <row r="1204" spans="1:16" ht="25.5" customHeight="1">
      <c r="A1204" s="81" t="s">
        <v>38</v>
      </c>
      <c r="B1204" s="145">
        <v>793</v>
      </c>
      <c r="C1204" s="83" t="s">
        <v>19</v>
      </c>
      <c r="D1204" s="83" t="s">
        <v>23</v>
      </c>
      <c r="E1204" s="83" t="s">
        <v>248</v>
      </c>
      <c r="F1204" s="83" t="s">
        <v>39</v>
      </c>
      <c r="G1204" s="86">
        <f>70000+5996.7</f>
        <v>75996.7</v>
      </c>
      <c r="H1204" s="86">
        <v>59730</v>
      </c>
      <c r="I1204" s="171"/>
    </row>
    <row r="1205" spans="1:16" ht="25.5" hidden="1" customHeight="1">
      <c r="A1205" s="81" t="s">
        <v>30</v>
      </c>
      <c r="B1205" s="145">
        <v>793</v>
      </c>
      <c r="C1205" s="83" t="s">
        <v>19</v>
      </c>
      <c r="D1205" s="83" t="s">
        <v>23</v>
      </c>
      <c r="E1205" s="83" t="s">
        <v>248</v>
      </c>
      <c r="F1205" s="83" t="s">
        <v>31</v>
      </c>
      <c r="G1205" s="86">
        <f>G1206</f>
        <v>0</v>
      </c>
      <c r="H1205" s="86"/>
      <c r="I1205" s="171"/>
    </row>
    <row r="1206" spans="1:16" ht="25.5" hidden="1" customHeight="1">
      <c r="A1206" s="81" t="s">
        <v>9</v>
      </c>
      <c r="B1206" s="145">
        <v>793</v>
      </c>
      <c r="C1206" s="83" t="s">
        <v>19</v>
      </c>
      <c r="D1206" s="83" t="s">
        <v>23</v>
      </c>
      <c r="E1206" s="83" t="s">
        <v>248</v>
      </c>
      <c r="F1206" s="83" t="s">
        <v>8</v>
      </c>
      <c r="G1206" s="86"/>
      <c r="H1206" s="86"/>
      <c r="I1206" s="171"/>
    </row>
    <row r="1207" spans="1:16" ht="18.75" customHeight="1">
      <c r="A1207" s="81" t="s">
        <v>63</v>
      </c>
      <c r="B1207" s="145">
        <v>793</v>
      </c>
      <c r="C1207" s="83" t="s">
        <v>19</v>
      </c>
      <c r="D1207" s="83" t="s">
        <v>23</v>
      </c>
      <c r="E1207" s="83" t="s">
        <v>248</v>
      </c>
      <c r="F1207" s="83" t="s">
        <v>64</v>
      </c>
      <c r="G1207" s="86">
        <f>G1208</f>
        <v>35000</v>
      </c>
      <c r="H1207" s="86">
        <f t="shared" ref="H1207" si="293">H1208</f>
        <v>35000</v>
      </c>
      <c r="I1207" s="171"/>
    </row>
    <row r="1208" spans="1:16" ht="19.5" customHeight="1">
      <c r="A1208" s="81" t="s">
        <v>144</v>
      </c>
      <c r="B1208" s="145">
        <v>793</v>
      </c>
      <c r="C1208" s="83" t="s">
        <v>19</v>
      </c>
      <c r="D1208" s="83" t="s">
        <v>23</v>
      </c>
      <c r="E1208" s="83" t="s">
        <v>248</v>
      </c>
      <c r="F1208" s="83" t="s">
        <v>67</v>
      </c>
      <c r="G1208" s="86">
        <v>35000</v>
      </c>
      <c r="H1208" s="86">
        <v>35000</v>
      </c>
      <c r="I1208" s="171"/>
    </row>
    <row r="1209" spans="1:16" ht="16.5" customHeight="1">
      <c r="A1209" s="81" t="s">
        <v>443</v>
      </c>
      <c r="B1209" s="145">
        <v>793</v>
      </c>
      <c r="C1209" s="83" t="s">
        <v>19</v>
      </c>
      <c r="D1209" s="83" t="s">
        <v>23</v>
      </c>
      <c r="E1209" s="83" t="s">
        <v>444</v>
      </c>
      <c r="F1209" s="83"/>
      <c r="G1209" s="86">
        <f>G1210</f>
        <v>0</v>
      </c>
      <c r="H1209" s="86">
        <f t="shared" ref="H1209" si="294">H1210</f>
        <v>0</v>
      </c>
      <c r="I1209" s="171"/>
    </row>
    <row r="1210" spans="1:16" ht="25.5" customHeight="1">
      <c r="A1210" s="81" t="s">
        <v>323</v>
      </c>
      <c r="B1210" s="145">
        <v>793</v>
      </c>
      <c r="C1210" s="83" t="s">
        <v>19</v>
      </c>
      <c r="D1210" s="83" t="s">
        <v>23</v>
      </c>
      <c r="E1210" s="83" t="s">
        <v>444</v>
      </c>
      <c r="F1210" s="83" t="s">
        <v>37</v>
      </c>
      <c r="G1210" s="86">
        <f>G1211</f>
        <v>0</v>
      </c>
      <c r="H1210" s="86">
        <f>H1211</f>
        <v>0</v>
      </c>
      <c r="I1210" s="171"/>
    </row>
    <row r="1211" spans="1:16" ht="25.5" customHeight="1">
      <c r="A1211" s="81" t="s">
        <v>38</v>
      </c>
      <c r="B1211" s="145">
        <v>793</v>
      </c>
      <c r="C1211" s="83" t="s">
        <v>19</v>
      </c>
      <c r="D1211" s="83" t="s">
        <v>23</v>
      </c>
      <c r="E1211" s="83" t="s">
        <v>444</v>
      </c>
      <c r="F1211" s="83" t="s">
        <v>39</v>
      </c>
      <c r="G1211" s="86">
        <v>0</v>
      </c>
      <c r="H1211" s="86">
        <v>0</v>
      </c>
      <c r="I1211" s="171"/>
    </row>
    <row r="1212" spans="1:16" ht="25.5" customHeight="1">
      <c r="A1212" s="81" t="s">
        <v>596</v>
      </c>
      <c r="B1212" s="145">
        <v>793</v>
      </c>
      <c r="C1212" s="83" t="s">
        <v>19</v>
      </c>
      <c r="D1212" s="83" t="s">
        <v>23</v>
      </c>
      <c r="E1212" s="83" t="s">
        <v>193</v>
      </c>
      <c r="F1212" s="83"/>
      <c r="G1212" s="86">
        <f>G1213+G1216</f>
        <v>42300</v>
      </c>
      <c r="H1212" s="86">
        <f t="shared" ref="H1212" si="295">H1213+H1216</f>
        <v>42284</v>
      </c>
      <c r="I1212" s="171"/>
    </row>
    <row r="1213" spans="1:16" ht="30.75" customHeight="1">
      <c r="A1213" s="81" t="s">
        <v>658</v>
      </c>
      <c r="B1213" s="145">
        <v>793</v>
      </c>
      <c r="C1213" s="83" t="s">
        <v>19</v>
      </c>
      <c r="D1213" s="83" t="s">
        <v>23</v>
      </c>
      <c r="E1213" s="83" t="s">
        <v>750</v>
      </c>
      <c r="F1213" s="83"/>
      <c r="G1213" s="86">
        <f>G1214</f>
        <v>42300</v>
      </c>
      <c r="H1213" s="86">
        <f t="shared" ref="H1213" si="296">H1214</f>
        <v>42284</v>
      </c>
      <c r="I1213" s="171"/>
    </row>
    <row r="1214" spans="1:16" ht="19.5" customHeight="1">
      <c r="A1214" s="81" t="s">
        <v>323</v>
      </c>
      <c r="B1214" s="145">
        <v>793</v>
      </c>
      <c r="C1214" s="83" t="s">
        <v>19</v>
      </c>
      <c r="D1214" s="83" t="s">
        <v>23</v>
      </c>
      <c r="E1214" s="83" t="s">
        <v>750</v>
      </c>
      <c r="F1214" s="83" t="s">
        <v>37</v>
      </c>
      <c r="G1214" s="86">
        <f>G1215</f>
        <v>42300</v>
      </c>
      <c r="H1214" s="86">
        <f t="shared" ref="H1214" si="297">H1215</f>
        <v>42284</v>
      </c>
      <c r="I1214" s="171"/>
    </row>
    <row r="1215" spans="1:16" ht="25.5" customHeight="1">
      <c r="A1215" s="81" t="s">
        <v>38</v>
      </c>
      <c r="B1215" s="145">
        <v>793</v>
      </c>
      <c r="C1215" s="83" t="s">
        <v>19</v>
      </c>
      <c r="D1215" s="83" t="s">
        <v>23</v>
      </c>
      <c r="E1215" s="83" t="s">
        <v>750</v>
      </c>
      <c r="F1215" s="83" t="s">
        <v>39</v>
      </c>
      <c r="G1215" s="86">
        <v>42300</v>
      </c>
      <c r="H1215" s="86">
        <v>42284</v>
      </c>
      <c r="I1215" s="171"/>
      <c r="P1215" s="200"/>
    </row>
    <row r="1216" spans="1:16" ht="18" hidden="1" customHeight="1">
      <c r="A1216" s="81" t="s">
        <v>656</v>
      </c>
      <c r="B1216" s="145">
        <v>793</v>
      </c>
      <c r="C1216" s="83" t="s">
        <v>19</v>
      </c>
      <c r="D1216" s="83" t="s">
        <v>23</v>
      </c>
      <c r="E1216" s="83" t="s">
        <v>655</v>
      </c>
      <c r="F1216" s="83"/>
      <c r="G1216" s="86">
        <f>G1217</f>
        <v>0</v>
      </c>
      <c r="H1216" s="86">
        <f t="shared" ref="H1216:H1217" si="298">H1217</f>
        <v>0</v>
      </c>
      <c r="I1216" s="171"/>
    </row>
    <row r="1217" spans="1:9" ht="19.5" hidden="1" customHeight="1">
      <c r="A1217" s="81" t="s">
        <v>323</v>
      </c>
      <c r="B1217" s="145">
        <v>793</v>
      </c>
      <c r="C1217" s="83" t="s">
        <v>19</v>
      </c>
      <c r="D1217" s="83" t="s">
        <v>23</v>
      </c>
      <c r="E1217" s="83" t="s">
        <v>655</v>
      </c>
      <c r="F1217" s="83" t="s">
        <v>37</v>
      </c>
      <c r="G1217" s="86">
        <f>G1218</f>
        <v>0</v>
      </c>
      <c r="H1217" s="86">
        <f t="shared" si="298"/>
        <v>0</v>
      </c>
      <c r="I1217" s="171"/>
    </row>
    <row r="1218" spans="1:9" ht="25.5" hidden="1" customHeight="1">
      <c r="A1218" s="81" t="s">
        <v>38</v>
      </c>
      <c r="B1218" s="145">
        <v>793</v>
      </c>
      <c r="C1218" s="83" t="s">
        <v>19</v>
      </c>
      <c r="D1218" s="83" t="s">
        <v>23</v>
      </c>
      <c r="E1218" s="83" t="s">
        <v>655</v>
      </c>
      <c r="F1218" s="83" t="s">
        <v>39</v>
      </c>
      <c r="G1218" s="86"/>
      <c r="H1218" s="86">
        <v>0</v>
      </c>
      <c r="I1218" s="171"/>
    </row>
    <row r="1219" spans="1:9" ht="38.25">
      <c r="A1219" s="81" t="s">
        <v>440</v>
      </c>
      <c r="B1219" s="145">
        <v>793</v>
      </c>
      <c r="C1219" s="83" t="s">
        <v>19</v>
      </c>
      <c r="D1219" s="83" t="s">
        <v>23</v>
      </c>
      <c r="E1219" s="83" t="s">
        <v>249</v>
      </c>
      <c r="F1219" s="83"/>
      <c r="G1219" s="86">
        <f>G1220+G1226+G1229+G1223+G1232</f>
        <v>3156434.8600000003</v>
      </c>
      <c r="H1219" s="86">
        <f>H1220+H1226+H1229+H1223+H1232</f>
        <v>3156434.8600000003</v>
      </c>
      <c r="I1219" s="171"/>
    </row>
    <row r="1220" spans="1:9" ht="23.25" customHeight="1">
      <c r="A1220" s="133" t="s">
        <v>958</v>
      </c>
      <c r="B1220" s="145">
        <v>793</v>
      </c>
      <c r="C1220" s="83" t="s">
        <v>19</v>
      </c>
      <c r="D1220" s="83" t="s">
        <v>23</v>
      </c>
      <c r="E1220" s="83" t="s">
        <v>399</v>
      </c>
      <c r="F1220" s="83"/>
      <c r="G1220" s="86">
        <f t="shared" ref="G1220:H1224" si="299">G1221</f>
        <v>442418.76</v>
      </c>
      <c r="H1220" s="86">
        <f t="shared" si="299"/>
        <v>442418.76</v>
      </c>
      <c r="I1220" s="171"/>
    </row>
    <row r="1221" spans="1:9" ht="34.5" customHeight="1">
      <c r="A1221" s="81" t="s">
        <v>323</v>
      </c>
      <c r="B1221" s="145">
        <v>793</v>
      </c>
      <c r="C1221" s="83" t="s">
        <v>19</v>
      </c>
      <c r="D1221" s="83" t="s">
        <v>23</v>
      </c>
      <c r="E1221" s="83" t="s">
        <v>399</v>
      </c>
      <c r="F1221" s="83" t="s">
        <v>37</v>
      </c>
      <c r="G1221" s="86">
        <f t="shared" si="299"/>
        <v>442418.76</v>
      </c>
      <c r="H1221" s="86">
        <f t="shared" si="299"/>
        <v>442418.76</v>
      </c>
      <c r="I1221" s="171"/>
    </row>
    <row r="1222" spans="1:9" ht="30.75" customHeight="1">
      <c r="A1222" s="81" t="s">
        <v>38</v>
      </c>
      <c r="B1222" s="145">
        <v>793</v>
      </c>
      <c r="C1222" s="83" t="s">
        <v>19</v>
      </c>
      <c r="D1222" s="83" t="s">
        <v>23</v>
      </c>
      <c r="E1222" s="83" t="s">
        <v>399</v>
      </c>
      <c r="F1222" s="83" t="s">
        <v>39</v>
      </c>
      <c r="G1222" s="86">
        <f>1500000-345764.48-711816.76</f>
        <v>442418.76</v>
      </c>
      <c r="H1222" s="86">
        <v>442418.76</v>
      </c>
      <c r="I1222" s="171"/>
    </row>
    <row r="1223" spans="1:9">
      <c r="A1223" s="133" t="s">
        <v>950</v>
      </c>
      <c r="B1223" s="145">
        <v>793</v>
      </c>
      <c r="C1223" s="83" t="s">
        <v>19</v>
      </c>
      <c r="D1223" s="83" t="s">
        <v>23</v>
      </c>
      <c r="E1223" s="83" t="s">
        <v>949</v>
      </c>
      <c r="F1223" s="83"/>
      <c r="G1223" s="86">
        <f t="shared" si="299"/>
        <v>2345764.48</v>
      </c>
      <c r="H1223" s="86">
        <f t="shared" si="299"/>
        <v>2345764.48</v>
      </c>
      <c r="I1223" s="171"/>
    </row>
    <row r="1224" spans="1:9" ht="34.5" customHeight="1">
      <c r="A1224" s="81" t="s">
        <v>323</v>
      </c>
      <c r="B1224" s="145">
        <v>793</v>
      </c>
      <c r="C1224" s="83" t="s">
        <v>19</v>
      </c>
      <c r="D1224" s="83" t="s">
        <v>23</v>
      </c>
      <c r="E1224" s="83" t="s">
        <v>949</v>
      </c>
      <c r="F1224" s="83" t="s">
        <v>37</v>
      </c>
      <c r="G1224" s="86">
        <f t="shared" si="299"/>
        <v>2345764.48</v>
      </c>
      <c r="H1224" s="86">
        <f t="shared" si="299"/>
        <v>2345764.48</v>
      </c>
      <c r="I1224" s="171"/>
    </row>
    <row r="1225" spans="1:9" ht="30.75" customHeight="1">
      <c r="A1225" s="81" t="s">
        <v>38</v>
      </c>
      <c r="B1225" s="145">
        <v>793</v>
      </c>
      <c r="C1225" s="83" t="s">
        <v>19</v>
      </c>
      <c r="D1225" s="83" t="s">
        <v>23</v>
      </c>
      <c r="E1225" s="83" t="s">
        <v>949</v>
      </c>
      <c r="F1225" s="83" t="s">
        <v>39</v>
      </c>
      <c r="G1225" s="86">
        <f>2000000+345764.48</f>
        <v>2345764.48</v>
      </c>
      <c r="H1225" s="86">
        <v>2345764.48</v>
      </c>
      <c r="I1225" s="171"/>
    </row>
    <row r="1226" spans="1:9" ht="54.75" customHeight="1">
      <c r="A1226" s="133" t="s">
        <v>21</v>
      </c>
      <c r="B1226" s="145">
        <v>793</v>
      </c>
      <c r="C1226" s="83" t="s">
        <v>19</v>
      </c>
      <c r="D1226" s="83" t="s">
        <v>23</v>
      </c>
      <c r="E1226" s="83" t="s">
        <v>20</v>
      </c>
      <c r="F1226" s="83"/>
      <c r="G1226" s="86">
        <f t="shared" ref="G1226:H1227" si="300">G1227</f>
        <v>44000</v>
      </c>
      <c r="H1226" s="86">
        <f t="shared" si="300"/>
        <v>44000</v>
      </c>
      <c r="I1226" s="171"/>
    </row>
    <row r="1227" spans="1:9" ht="18" customHeight="1">
      <c r="A1227" s="81" t="s">
        <v>323</v>
      </c>
      <c r="B1227" s="145">
        <v>793</v>
      </c>
      <c r="C1227" s="83" t="s">
        <v>19</v>
      </c>
      <c r="D1227" s="83" t="s">
        <v>23</v>
      </c>
      <c r="E1227" s="83" t="s">
        <v>20</v>
      </c>
      <c r="F1227" s="83" t="s">
        <v>37</v>
      </c>
      <c r="G1227" s="86">
        <f t="shared" si="300"/>
        <v>44000</v>
      </c>
      <c r="H1227" s="86">
        <f t="shared" si="300"/>
        <v>44000</v>
      </c>
      <c r="I1227" s="171"/>
    </row>
    <row r="1228" spans="1:9" ht="30.75" customHeight="1">
      <c r="A1228" s="81" t="s">
        <v>38</v>
      </c>
      <c r="B1228" s="145">
        <v>793</v>
      </c>
      <c r="C1228" s="83" t="s">
        <v>19</v>
      </c>
      <c r="D1228" s="83" t="s">
        <v>23</v>
      </c>
      <c r="E1228" s="83" t="s">
        <v>20</v>
      </c>
      <c r="F1228" s="83" t="s">
        <v>39</v>
      </c>
      <c r="G1228" s="86">
        <f>45000-1000</f>
        <v>44000</v>
      </c>
      <c r="H1228" s="86">
        <v>44000</v>
      </c>
      <c r="I1228" s="171"/>
    </row>
    <row r="1229" spans="1:9" ht="25.5" hidden="1">
      <c r="A1229" s="133" t="s">
        <v>820</v>
      </c>
      <c r="B1229" s="145">
        <v>793</v>
      </c>
      <c r="C1229" s="83" t="s">
        <v>19</v>
      </c>
      <c r="D1229" s="83" t="s">
        <v>23</v>
      </c>
      <c r="E1229" s="83" t="s">
        <v>819</v>
      </c>
      <c r="F1229" s="83"/>
      <c r="G1229" s="86">
        <f t="shared" ref="G1229:H1230" si="301">G1230</f>
        <v>0</v>
      </c>
      <c r="H1229" s="86">
        <f t="shared" si="301"/>
        <v>0</v>
      </c>
      <c r="I1229" s="171"/>
    </row>
    <row r="1230" spans="1:9" ht="28.5" hidden="1" customHeight="1">
      <c r="A1230" s="81" t="s">
        <v>323</v>
      </c>
      <c r="B1230" s="145">
        <v>793</v>
      </c>
      <c r="C1230" s="83" t="s">
        <v>19</v>
      </c>
      <c r="D1230" s="83" t="s">
        <v>23</v>
      </c>
      <c r="E1230" s="83" t="s">
        <v>819</v>
      </c>
      <c r="F1230" s="83" t="s">
        <v>37</v>
      </c>
      <c r="G1230" s="86">
        <f t="shared" si="301"/>
        <v>0</v>
      </c>
      <c r="H1230" s="86">
        <f t="shared" si="301"/>
        <v>0</v>
      </c>
      <c r="I1230" s="171"/>
    </row>
    <row r="1231" spans="1:9" ht="30.75" hidden="1" customHeight="1">
      <c r="A1231" s="81" t="s">
        <v>38</v>
      </c>
      <c r="B1231" s="145">
        <v>793</v>
      </c>
      <c r="C1231" s="83" t="s">
        <v>19</v>
      </c>
      <c r="D1231" s="83" t="s">
        <v>23</v>
      </c>
      <c r="E1231" s="83" t="s">
        <v>819</v>
      </c>
      <c r="F1231" s="83" t="s">
        <v>39</v>
      </c>
      <c r="G1231" s="86"/>
      <c r="H1231" s="86"/>
      <c r="I1231" s="171"/>
    </row>
    <row r="1232" spans="1:9" ht="30.75" customHeight="1">
      <c r="A1232" s="133" t="s">
        <v>820</v>
      </c>
      <c r="B1232" s="145">
        <v>793</v>
      </c>
      <c r="C1232" s="83" t="s">
        <v>19</v>
      </c>
      <c r="D1232" s="83" t="s">
        <v>23</v>
      </c>
      <c r="E1232" s="83" t="s">
        <v>819</v>
      </c>
      <c r="F1232" s="83"/>
      <c r="G1232" s="86">
        <f>G1233</f>
        <v>324251.62</v>
      </c>
      <c r="H1232" s="86">
        <f>H1233</f>
        <v>324251.62</v>
      </c>
      <c r="I1232" s="171"/>
    </row>
    <row r="1233" spans="1:16" ht="30.75" customHeight="1">
      <c r="A1233" s="81" t="s">
        <v>323</v>
      </c>
      <c r="B1233" s="145">
        <v>793</v>
      </c>
      <c r="C1233" s="83" t="s">
        <v>19</v>
      </c>
      <c r="D1233" s="83" t="s">
        <v>23</v>
      </c>
      <c r="E1233" s="83" t="s">
        <v>819</v>
      </c>
      <c r="F1233" s="83" t="s">
        <v>37</v>
      </c>
      <c r="G1233" s="86">
        <f>G1234</f>
        <v>324251.62</v>
      </c>
      <c r="H1233" s="86">
        <f>H1234</f>
        <v>324251.62</v>
      </c>
      <c r="I1233" s="171"/>
    </row>
    <row r="1234" spans="1:16" ht="30.75" customHeight="1">
      <c r="A1234" s="81" t="s">
        <v>38</v>
      </c>
      <c r="B1234" s="145">
        <v>793</v>
      </c>
      <c r="C1234" s="83" t="s">
        <v>19</v>
      </c>
      <c r="D1234" s="83" t="s">
        <v>23</v>
      </c>
      <c r="E1234" s="83" t="s">
        <v>819</v>
      </c>
      <c r="F1234" s="83" t="s">
        <v>39</v>
      </c>
      <c r="G1234" s="86">
        <v>324251.62</v>
      </c>
      <c r="H1234" s="86">
        <v>324251.62</v>
      </c>
      <c r="I1234" s="171"/>
    </row>
    <row r="1235" spans="1:16" ht="25.5" customHeight="1">
      <c r="A1235" s="81" t="s">
        <v>332</v>
      </c>
      <c r="B1235" s="145">
        <v>793</v>
      </c>
      <c r="C1235" s="83" t="s">
        <v>19</v>
      </c>
      <c r="D1235" s="83" t="s">
        <v>23</v>
      </c>
      <c r="E1235" s="83" t="s">
        <v>250</v>
      </c>
      <c r="F1235" s="83"/>
      <c r="G1235" s="86">
        <f>G1236</f>
        <v>16347013</v>
      </c>
      <c r="H1235" s="86">
        <f>H1236</f>
        <v>15947768.790000001</v>
      </c>
      <c r="I1235" s="171"/>
    </row>
    <row r="1236" spans="1:16" ht="25.5" customHeight="1">
      <c r="A1236" s="81" t="s">
        <v>50</v>
      </c>
      <c r="B1236" s="145">
        <v>793</v>
      </c>
      <c r="C1236" s="83" t="s">
        <v>19</v>
      </c>
      <c r="D1236" s="83" t="s">
        <v>23</v>
      </c>
      <c r="E1236" s="83" t="s">
        <v>292</v>
      </c>
      <c r="F1236" s="83"/>
      <c r="G1236" s="86">
        <f>G1237+G1239+G1243+G1241</f>
        <v>16347013</v>
      </c>
      <c r="H1236" s="86">
        <f>H1237+H1239+H1243+H1241</f>
        <v>15947768.790000001</v>
      </c>
      <c r="I1236" s="171"/>
      <c r="O1236" s="210"/>
      <c r="P1236" s="200"/>
    </row>
    <row r="1237" spans="1:16" ht="51">
      <c r="A1237" s="81" t="s">
        <v>319</v>
      </c>
      <c r="B1237" s="145">
        <v>793</v>
      </c>
      <c r="C1237" s="83" t="s">
        <v>19</v>
      </c>
      <c r="D1237" s="83" t="s">
        <v>23</v>
      </c>
      <c r="E1237" s="83" t="s">
        <v>292</v>
      </c>
      <c r="F1237" s="83" t="s">
        <v>58</v>
      </c>
      <c r="G1237" s="86">
        <f>G1238</f>
        <v>9516493</v>
      </c>
      <c r="H1237" s="86">
        <f t="shared" ref="H1237" si="302">H1238</f>
        <v>9498987.7200000007</v>
      </c>
      <c r="I1237" s="171"/>
    </row>
    <row r="1238" spans="1:16">
      <c r="A1238" s="81" t="s">
        <v>326</v>
      </c>
      <c r="B1238" s="145">
        <v>793</v>
      </c>
      <c r="C1238" s="83" t="s">
        <v>19</v>
      </c>
      <c r="D1238" s="83" t="s">
        <v>23</v>
      </c>
      <c r="E1238" s="83" t="s">
        <v>292</v>
      </c>
      <c r="F1238" s="83" t="s">
        <v>325</v>
      </c>
      <c r="G1238" s="86">
        <v>9516493</v>
      </c>
      <c r="H1238" s="86">
        <v>9498987.7200000007</v>
      </c>
      <c r="I1238" s="171"/>
    </row>
    <row r="1239" spans="1:16" ht="17.25" customHeight="1">
      <c r="A1239" s="81" t="s">
        <v>323</v>
      </c>
      <c r="B1239" s="145">
        <v>793</v>
      </c>
      <c r="C1239" s="83" t="s">
        <v>19</v>
      </c>
      <c r="D1239" s="83" t="s">
        <v>23</v>
      </c>
      <c r="E1239" s="83" t="s">
        <v>292</v>
      </c>
      <c r="F1239" s="83" t="s">
        <v>37</v>
      </c>
      <c r="G1239" s="86">
        <f>G1240</f>
        <v>6781238</v>
      </c>
      <c r="H1239" s="86">
        <f>H1240</f>
        <v>6399499.0700000003</v>
      </c>
      <c r="I1239" s="171"/>
    </row>
    <row r="1240" spans="1:16" ht="24" customHeight="1">
      <c r="A1240" s="81" t="s">
        <v>38</v>
      </c>
      <c r="B1240" s="145">
        <v>793</v>
      </c>
      <c r="C1240" s="83" t="s">
        <v>19</v>
      </c>
      <c r="D1240" s="83" t="s">
        <v>23</v>
      </c>
      <c r="E1240" s="83" t="s">
        <v>292</v>
      </c>
      <c r="F1240" s="83" t="s">
        <v>39</v>
      </c>
      <c r="G1240" s="86">
        <v>6781238</v>
      </c>
      <c r="H1240" s="86">
        <v>6399499.0700000003</v>
      </c>
      <c r="I1240" s="171"/>
    </row>
    <row r="1241" spans="1:16" ht="24" hidden="1" customHeight="1">
      <c r="A1241" s="81" t="s">
        <v>148</v>
      </c>
      <c r="B1241" s="145">
        <v>793</v>
      </c>
      <c r="C1241" s="83" t="s">
        <v>19</v>
      </c>
      <c r="D1241" s="83" t="s">
        <v>23</v>
      </c>
      <c r="E1241" s="83" t="s">
        <v>292</v>
      </c>
      <c r="F1241" s="83" t="s">
        <v>149</v>
      </c>
      <c r="G1241" s="86">
        <f>G1242</f>
        <v>0</v>
      </c>
      <c r="H1241" s="86">
        <f>H1242</f>
        <v>0</v>
      </c>
      <c r="I1241" s="171"/>
    </row>
    <row r="1242" spans="1:16" ht="24" hidden="1" customHeight="1">
      <c r="A1242" s="81" t="s">
        <v>150</v>
      </c>
      <c r="B1242" s="145">
        <v>793</v>
      </c>
      <c r="C1242" s="83" t="s">
        <v>19</v>
      </c>
      <c r="D1242" s="83" t="s">
        <v>23</v>
      </c>
      <c r="E1242" s="83" t="s">
        <v>292</v>
      </c>
      <c r="F1242" s="83" t="s">
        <v>151</v>
      </c>
      <c r="G1242" s="86"/>
      <c r="H1242" s="86"/>
      <c r="I1242" s="171"/>
    </row>
    <row r="1243" spans="1:16" ht="18.75" customHeight="1">
      <c r="A1243" s="81" t="s">
        <v>63</v>
      </c>
      <c r="B1243" s="145">
        <v>793</v>
      </c>
      <c r="C1243" s="83" t="s">
        <v>19</v>
      </c>
      <c r="D1243" s="83" t="s">
        <v>23</v>
      </c>
      <c r="E1243" s="83" t="s">
        <v>292</v>
      </c>
      <c r="F1243" s="83" t="s">
        <v>64</v>
      </c>
      <c r="G1243" s="86">
        <f>G1245+G1244+G1244</f>
        <v>49282</v>
      </c>
      <c r="H1243" s="86">
        <f>H1245+H1244</f>
        <v>49282</v>
      </c>
      <c r="I1243" s="171"/>
    </row>
    <row r="1244" spans="1:16" ht="24" hidden="1" customHeight="1">
      <c r="A1244" s="81" t="s">
        <v>328</v>
      </c>
      <c r="B1244" s="145">
        <v>793</v>
      </c>
      <c r="C1244" s="83" t="s">
        <v>19</v>
      </c>
      <c r="D1244" s="83" t="s">
        <v>23</v>
      </c>
      <c r="E1244" s="83" t="s">
        <v>292</v>
      </c>
      <c r="F1244" s="83" t="s">
        <v>327</v>
      </c>
      <c r="G1244" s="86"/>
      <c r="H1244" s="86"/>
      <c r="I1244" s="171"/>
    </row>
    <row r="1245" spans="1:16" ht="17.25" customHeight="1">
      <c r="A1245" s="81" t="s">
        <v>144</v>
      </c>
      <c r="B1245" s="145">
        <v>793</v>
      </c>
      <c r="C1245" s="83" t="s">
        <v>19</v>
      </c>
      <c r="D1245" s="83" t="s">
        <v>23</v>
      </c>
      <c r="E1245" s="83" t="s">
        <v>292</v>
      </c>
      <c r="F1245" s="83" t="s">
        <v>67</v>
      </c>
      <c r="G1245" s="86">
        <v>49282</v>
      </c>
      <c r="H1245" s="86">
        <v>49282</v>
      </c>
      <c r="I1245" s="171"/>
    </row>
    <row r="1246" spans="1:16" ht="17.25" customHeight="1">
      <c r="A1246" s="81" t="s">
        <v>169</v>
      </c>
      <c r="B1246" s="145">
        <v>793</v>
      </c>
      <c r="C1246" s="83" t="s">
        <v>19</v>
      </c>
      <c r="D1246" s="83" t="s">
        <v>23</v>
      </c>
      <c r="E1246" s="83" t="s">
        <v>233</v>
      </c>
      <c r="F1246" s="83"/>
      <c r="G1246" s="86">
        <f t="shared" ref="G1246:H1248" si="303">G1247</f>
        <v>71700</v>
      </c>
      <c r="H1246" s="86">
        <f t="shared" si="303"/>
        <v>71700</v>
      </c>
      <c r="I1246" s="171"/>
    </row>
    <row r="1247" spans="1:16" ht="17.25" customHeight="1">
      <c r="A1247" s="81" t="s">
        <v>169</v>
      </c>
      <c r="B1247" s="145">
        <v>793</v>
      </c>
      <c r="C1247" s="83" t="s">
        <v>19</v>
      </c>
      <c r="D1247" s="83" t="s">
        <v>23</v>
      </c>
      <c r="E1247" s="83" t="s">
        <v>275</v>
      </c>
      <c r="F1247" s="83"/>
      <c r="G1247" s="86">
        <f t="shared" si="303"/>
        <v>71700</v>
      </c>
      <c r="H1247" s="86">
        <f t="shared" si="303"/>
        <v>71700</v>
      </c>
      <c r="I1247" s="171"/>
    </row>
    <row r="1248" spans="1:16" ht="19.899999999999999" customHeight="1">
      <c r="A1248" s="81" t="s">
        <v>323</v>
      </c>
      <c r="B1248" s="145">
        <v>793</v>
      </c>
      <c r="C1248" s="83" t="s">
        <v>19</v>
      </c>
      <c r="D1248" s="83" t="s">
        <v>23</v>
      </c>
      <c r="E1248" s="83" t="s">
        <v>275</v>
      </c>
      <c r="F1248" s="83" t="s">
        <v>37</v>
      </c>
      <c r="G1248" s="86">
        <f t="shared" si="303"/>
        <v>71700</v>
      </c>
      <c r="H1248" s="86">
        <f t="shared" si="303"/>
        <v>71700</v>
      </c>
      <c r="I1248" s="171"/>
    </row>
    <row r="1249" spans="1:9" ht="32.450000000000003" customHeight="1">
      <c r="A1249" s="81" t="s">
        <v>38</v>
      </c>
      <c r="B1249" s="145">
        <v>793</v>
      </c>
      <c r="C1249" s="83" t="s">
        <v>19</v>
      </c>
      <c r="D1249" s="83" t="s">
        <v>23</v>
      </c>
      <c r="E1249" s="83" t="s">
        <v>275</v>
      </c>
      <c r="F1249" s="83" t="s">
        <v>39</v>
      </c>
      <c r="G1249" s="86">
        <v>71700</v>
      </c>
      <c r="H1249" s="86">
        <v>71700</v>
      </c>
      <c r="I1249" s="171"/>
    </row>
    <row r="1250" spans="1:9" ht="25.5" customHeight="1">
      <c r="A1250" s="81" t="s">
        <v>164</v>
      </c>
      <c r="B1250" s="145">
        <v>793</v>
      </c>
      <c r="C1250" s="83" t="s">
        <v>19</v>
      </c>
      <c r="D1250" s="83" t="s">
        <v>23</v>
      </c>
      <c r="E1250" s="83" t="s">
        <v>210</v>
      </c>
      <c r="F1250" s="83"/>
      <c r="G1250" s="86">
        <f>G1251+G1266+G1269+G1254+G1257+G1260</f>
        <v>326308.02</v>
      </c>
      <c r="H1250" s="86">
        <f>H1251+H1266+H1269+H1254+H1257+H1260</f>
        <v>175000</v>
      </c>
      <c r="I1250" s="171"/>
    </row>
    <row r="1251" spans="1:9" ht="30.75" hidden="1" customHeight="1">
      <c r="A1251" s="81" t="s">
        <v>692</v>
      </c>
      <c r="B1251" s="145">
        <v>793</v>
      </c>
      <c r="C1251" s="83" t="s">
        <v>19</v>
      </c>
      <c r="D1251" s="83" t="s">
        <v>23</v>
      </c>
      <c r="E1251" s="83" t="s">
        <v>691</v>
      </c>
      <c r="F1251" s="83"/>
      <c r="G1251" s="86">
        <f t="shared" ref="G1251:H1252" si="304">G1252</f>
        <v>0</v>
      </c>
      <c r="H1251" s="86">
        <f t="shared" si="304"/>
        <v>0</v>
      </c>
      <c r="I1251" s="171"/>
    </row>
    <row r="1252" spans="1:9" ht="19.5" hidden="1" customHeight="1">
      <c r="A1252" s="81" t="s">
        <v>63</v>
      </c>
      <c r="B1252" s="145">
        <v>793</v>
      </c>
      <c r="C1252" s="83" t="s">
        <v>19</v>
      </c>
      <c r="D1252" s="83" t="s">
        <v>23</v>
      </c>
      <c r="E1252" s="83" t="s">
        <v>691</v>
      </c>
      <c r="F1252" s="83" t="s">
        <v>64</v>
      </c>
      <c r="G1252" s="86">
        <f>G1253</f>
        <v>0</v>
      </c>
      <c r="H1252" s="86">
        <f t="shared" si="304"/>
        <v>0</v>
      </c>
      <c r="I1252" s="171"/>
    </row>
    <row r="1253" spans="1:9" ht="18.75" hidden="1" customHeight="1">
      <c r="A1253" s="81" t="s">
        <v>328</v>
      </c>
      <c r="B1253" s="145">
        <v>793</v>
      </c>
      <c r="C1253" s="83" t="s">
        <v>19</v>
      </c>
      <c r="D1253" s="83" t="s">
        <v>23</v>
      </c>
      <c r="E1253" s="83" t="s">
        <v>691</v>
      </c>
      <c r="F1253" s="83" t="s">
        <v>181</v>
      </c>
      <c r="G1253" s="86"/>
      <c r="H1253" s="86"/>
      <c r="I1253" s="171"/>
    </row>
    <row r="1254" spans="1:9" ht="30.75" customHeight="1">
      <c r="A1254" s="81" t="s">
        <v>333</v>
      </c>
      <c r="B1254" s="145">
        <v>793</v>
      </c>
      <c r="C1254" s="83" t="s">
        <v>19</v>
      </c>
      <c r="D1254" s="83" t="s">
        <v>23</v>
      </c>
      <c r="E1254" s="83" t="s">
        <v>211</v>
      </c>
      <c r="F1254" s="83"/>
      <c r="G1254" s="86">
        <f t="shared" ref="G1254:H1258" si="305">G1255</f>
        <v>151308.01999999999</v>
      </c>
      <c r="H1254" s="86">
        <f t="shared" si="305"/>
        <v>0</v>
      </c>
      <c r="I1254" s="171"/>
    </row>
    <row r="1255" spans="1:9" ht="19.5" customHeight="1">
      <c r="A1255" s="81" t="s">
        <v>63</v>
      </c>
      <c r="B1255" s="145">
        <v>793</v>
      </c>
      <c r="C1255" s="83" t="s">
        <v>19</v>
      </c>
      <c r="D1255" s="83" t="s">
        <v>23</v>
      </c>
      <c r="E1255" s="83" t="s">
        <v>211</v>
      </c>
      <c r="F1255" s="83" t="s">
        <v>64</v>
      </c>
      <c r="G1255" s="86">
        <f>G1256</f>
        <v>151308.01999999999</v>
      </c>
      <c r="H1255" s="86">
        <f t="shared" si="305"/>
        <v>0</v>
      </c>
      <c r="I1255" s="171"/>
    </row>
    <row r="1256" spans="1:9" ht="18.75" customHeight="1">
      <c r="A1256" s="81" t="s">
        <v>1101</v>
      </c>
      <c r="B1256" s="145">
        <v>793</v>
      </c>
      <c r="C1256" s="83" t="s">
        <v>19</v>
      </c>
      <c r="D1256" s="83" t="s">
        <v>23</v>
      </c>
      <c r="E1256" s="83" t="s">
        <v>211</v>
      </c>
      <c r="F1256" s="83" t="s">
        <v>67</v>
      </c>
      <c r="G1256" s="86">
        <v>151308.01999999999</v>
      </c>
      <c r="H1256" s="86">
        <v>0</v>
      </c>
      <c r="I1256" s="171"/>
    </row>
    <row r="1257" spans="1:9" ht="30.75" customHeight="1">
      <c r="A1257" s="81" t="s">
        <v>333</v>
      </c>
      <c r="B1257" s="145">
        <v>793</v>
      </c>
      <c r="C1257" s="83" t="s">
        <v>19</v>
      </c>
      <c r="D1257" s="83" t="s">
        <v>23</v>
      </c>
      <c r="E1257" s="83" t="s">
        <v>826</v>
      </c>
      <c r="F1257" s="83"/>
      <c r="G1257" s="86">
        <f t="shared" si="305"/>
        <v>50000</v>
      </c>
      <c r="H1257" s="86">
        <f t="shared" si="305"/>
        <v>50000</v>
      </c>
      <c r="I1257" s="171"/>
    </row>
    <row r="1258" spans="1:9" ht="19.5" customHeight="1">
      <c r="A1258" s="81" t="s">
        <v>63</v>
      </c>
      <c r="B1258" s="145">
        <v>793</v>
      </c>
      <c r="C1258" s="83" t="s">
        <v>19</v>
      </c>
      <c r="D1258" s="83" t="s">
        <v>23</v>
      </c>
      <c r="E1258" s="83" t="s">
        <v>826</v>
      </c>
      <c r="F1258" s="83" t="s">
        <v>64</v>
      </c>
      <c r="G1258" s="86">
        <f>G1259</f>
        <v>50000</v>
      </c>
      <c r="H1258" s="86">
        <f t="shared" si="305"/>
        <v>50000</v>
      </c>
      <c r="I1258" s="171"/>
    </row>
    <row r="1259" spans="1:9" ht="18.75" customHeight="1">
      <c r="A1259" s="81" t="s">
        <v>1101</v>
      </c>
      <c r="B1259" s="145">
        <v>793</v>
      </c>
      <c r="C1259" s="83" t="s">
        <v>19</v>
      </c>
      <c r="D1259" s="83" t="s">
        <v>23</v>
      </c>
      <c r="E1259" s="83" t="s">
        <v>826</v>
      </c>
      <c r="F1259" s="83" t="s">
        <v>67</v>
      </c>
      <c r="G1259" s="86">
        <v>50000</v>
      </c>
      <c r="H1259" s="86">
        <v>50000</v>
      </c>
      <c r="I1259" s="171"/>
    </row>
    <row r="1260" spans="1:9" ht="18.75" customHeight="1">
      <c r="A1260" s="81" t="s">
        <v>1025</v>
      </c>
      <c r="B1260" s="145">
        <v>793</v>
      </c>
      <c r="C1260" s="83" t="s">
        <v>19</v>
      </c>
      <c r="D1260" s="83" t="s">
        <v>23</v>
      </c>
      <c r="E1260" s="83" t="s">
        <v>1026</v>
      </c>
      <c r="F1260" s="83"/>
      <c r="G1260" s="86">
        <f>G1261</f>
        <v>5000</v>
      </c>
      <c r="H1260" s="86">
        <f>H1261</f>
        <v>5000</v>
      </c>
      <c r="I1260" s="171"/>
    </row>
    <row r="1261" spans="1:9" ht="18.75" customHeight="1">
      <c r="A1261" s="81" t="s">
        <v>63</v>
      </c>
      <c r="B1261" s="145">
        <v>793</v>
      </c>
      <c r="C1261" s="83" t="s">
        <v>19</v>
      </c>
      <c r="D1261" s="83" t="s">
        <v>23</v>
      </c>
      <c r="E1261" s="83" t="s">
        <v>1026</v>
      </c>
      <c r="F1261" s="83" t="s">
        <v>64</v>
      </c>
      <c r="G1261" s="86">
        <f>G1262</f>
        <v>5000</v>
      </c>
      <c r="H1261" s="86">
        <f>H1262</f>
        <v>5000</v>
      </c>
      <c r="I1261" s="171"/>
    </row>
    <row r="1262" spans="1:9" ht="18.75" customHeight="1">
      <c r="A1262" s="81" t="s">
        <v>328</v>
      </c>
      <c r="B1262" s="145">
        <v>793</v>
      </c>
      <c r="C1262" s="83" t="s">
        <v>19</v>
      </c>
      <c r="D1262" s="83" t="s">
        <v>23</v>
      </c>
      <c r="E1262" s="83" t="s">
        <v>1026</v>
      </c>
      <c r="F1262" s="83" t="s">
        <v>327</v>
      </c>
      <c r="G1262" s="86">
        <v>5000</v>
      </c>
      <c r="H1262" s="86">
        <v>5000</v>
      </c>
      <c r="I1262" s="171"/>
    </row>
    <row r="1263" spans="1:9" ht="54" hidden="1" customHeight="1">
      <c r="A1263" s="81" t="s">
        <v>635</v>
      </c>
      <c r="B1263" s="145">
        <v>793</v>
      </c>
      <c r="C1263" s="83" t="s">
        <v>19</v>
      </c>
      <c r="D1263" s="83" t="s">
        <v>23</v>
      </c>
      <c r="E1263" s="83" t="s">
        <v>636</v>
      </c>
      <c r="F1263" s="83"/>
      <c r="G1263" s="86">
        <f>G1264</f>
        <v>0</v>
      </c>
      <c r="H1263" s="86">
        <v>0</v>
      </c>
      <c r="I1263" s="171"/>
    </row>
    <row r="1264" spans="1:9" ht="18.75" hidden="1" customHeight="1">
      <c r="A1264" s="81" t="s">
        <v>323</v>
      </c>
      <c r="B1264" s="145">
        <v>793</v>
      </c>
      <c r="C1264" s="83" t="s">
        <v>19</v>
      </c>
      <c r="D1264" s="83" t="s">
        <v>23</v>
      </c>
      <c r="E1264" s="83" t="s">
        <v>636</v>
      </c>
      <c r="F1264" s="83" t="s">
        <v>37</v>
      </c>
      <c r="G1264" s="86">
        <f>G1265</f>
        <v>0</v>
      </c>
      <c r="H1264" s="86">
        <v>0</v>
      </c>
      <c r="I1264" s="171"/>
    </row>
    <row r="1265" spans="1:17" ht="35.25" hidden="1" customHeight="1">
      <c r="A1265" s="81" t="s">
        <v>38</v>
      </c>
      <c r="B1265" s="145">
        <v>793</v>
      </c>
      <c r="C1265" s="83" t="s">
        <v>19</v>
      </c>
      <c r="D1265" s="83" t="s">
        <v>23</v>
      </c>
      <c r="E1265" s="83" t="s">
        <v>636</v>
      </c>
      <c r="F1265" s="83" t="s">
        <v>39</v>
      </c>
      <c r="G1265" s="86"/>
      <c r="H1265" s="86">
        <v>0</v>
      </c>
      <c r="I1265" s="171"/>
    </row>
    <row r="1266" spans="1:17" ht="31.5" hidden="1" customHeight="1">
      <c r="A1266" s="81" t="s">
        <v>430</v>
      </c>
      <c r="B1266" s="145">
        <v>793</v>
      </c>
      <c r="C1266" s="83" t="s">
        <v>19</v>
      </c>
      <c r="D1266" s="83" t="s">
        <v>23</v>
      </c>
      <c r="E1266" s="83" t="s">
        <v>429</v>
      </c>
      <c r="F1266" s="83"/>
      <c r="G1266" s="86">
        <f>G1267</f>
        <v>0</v>
      </c>
      <c r="H1266" s="86">
        <f t="shared" ref="H1266" si="306">H1267</f>
        <v>0</v>
      </c>
      <c r="I1266" s="171"/>
    </row>
    <row r="1267" spans="1:17" ht="18.75" hidden="1" customHeight="1">
      <c r="A1267" s="81" t="s">
        <v>63</v>
      </c>
      <c r="B1267" s="145">
        <v>793</v>
      </c>
      <c r="C1267" s="83" t="s">
        <v>19</v>
      </c>
      <c r="D1267" s="83" t="s">
        <v>23</v>
      </c>
      <c r="E1267" s="83" t="s">
        <v>429</v>
      </c>
      <c r="F1267" s="83" t="s">
        <v>64</v>
      </c>
      <c r="G1267" s="86">
        <f>G1268</f>
        <v>0</v>
      </c>
      <c r="H1267" s="86">
        <f>H1268</f>
        <v>0</v>
      </c>
      <c r="I1267" s="171"/>
    </row>
    <row r="1268" spans="1:17" ht="18.75" hidden="1" customHeight="1">
      <c r="A1268" s="81" t="s">
        <v>144</v>
      </c>
      <c r="B1268" s="145">
        <v>793</v>
      </c>
      <c r="C1268" s="83" t="s">
        <v>19</v>
      </c>
      <c r="D1268" s="83" t="s">
        <v>23</v>
      </c>
      <c r="E1268" s="83" t="s">
        <v>429</v>
      </c>
      <c r="F1268" s="83" t="s">
        <v>67</v>
      </c>
      <c r="G1268" s="86"/>
      <c r="H1268" s="86"/>
      <c r="I1268" s="171"/>
    </row>
    <row r="1269" spans="1:17" ht="28.5" customHeight="1">
      <c r="A1269" s="81" t="s">
        <v>830</v>
      </c>
      <c r="B1269" s="145">
        <v>793</v>
      </c>
      <c r="C1269" s="83" t="s">
        <v>19</v>
      </c>
      <c r="D1269" s="83" t="s">
        <v>23</v>
      </c>
      <c r="E1269" s="83" t="s">
        <v>829</v>
      </c>
      <c r="F1269" s="83"/>
      <c r="G1269" s="86">
        <f>G1270</f>
        <v>120000</v>
      </c>
      <c r="H1269" s="86">
        <f t="shared" ref="H1269" si="307">H1270</f>
        <v>120000</v>
      </c>
      <c r="I1269" s="171"/>
    </row>
    <row r="1270" spans="1:17" ht="18.75" customHeight="1">
      <c r="A1270" s="81" t="s">
        <v>63</v>
      </c>
      <c r="B1270" s="145">
        <v>793</v>
      </c>
      <c r="C1270" s="83" t="s">
        <v>19</v>
      </c>
      <c r="D1270" s="83" t="s">
        <v>23</v>
      </c>
      <c r="E1270" s="83" t="s">
        <v>829</v>
      </c>
      <c r="F1270" s="83" t="s">
        <v>64</v>
      </c>
      <c r="G1270" s="86">
        <f>G1271</f>
        <v>120000</v>
      </c>
      <c r="H1270" s="86">
        <f>H1271</f>
        <v>120000</v>
      </c>
      <c r="I1270" s="171"/>
    </row>
    <row r="1271" spans="1:17" ht="18.75" customHeight="1">
      <c r="A1271" s="81" t="s">
        <v>144</v>
      </c>
      <c r="B1271" s="145">
        <v>793</v>
      </c>
      <c r="C1271" s="83" t="s">
        <v>19</v>
      </c>
      <c r="D1271" s="83" t="s">
        <v>23</v>
      </c>
      <c r="E1271" s="83" t="s">
        <v>829</v>
      </c>
      <c r="F1271" s="83" t="s">
        <v>67</v>
      </c>
      <c r="G1271" s="86">
        <f>30000+30000+60000</f>
        <v>120000</v>
      </c>
      <c r="H1271" s="86">
        <v>120000</v>
      </c>
      <c r="I1271" s="171"/>
    </row>
    <row r="1272" spans="1:17" s="28" customFormat="1" ht="24.75" customHeight="1">
      <c r="A1272" s="135" t="s">
        <v>169</v>
      </c>
      <c r="B1272" s="145">
        <v>793</v>
      </c>
      <c r="C1272" s="83" t="s">
        <v>19</v>
      </c>
      <c r="D1272" s="83" t="s">
        <v>23</v>
      </c>
      <c r="E1272" s="83" t="s">
        <v>233</v>
      </c>
      <c r="F1272" s="163"/>
      <c r="G1272" s="86">
        <f t="shared" ref="G1272:H1274" si="308">G1273</f>
        <v>0</v>
      </c>
      <c r="H1272" s="86">
        <f t="shared" si="308"/>
        <v>0</v>
      </c>
      <c r="I1272" s="171"/>
      <c r="J1272" s="195"/>
      <c r="K1272" s="195"/>
      <c r="L1272" s="195"/>
      <c r="M1272" s="195"/>
      <c r="N1272" s="195"/>
      <c r="O1272" s="195"/>
      <c r="P1272" s="195"/>
      <c r="Q1272" s="195"/>
    </row>
    <row r="1273" spans="1:17" ht="25.5">
      <c r="A1273" s="135" t="s">
        <v>169</v>
      </c>
      <c r="B1273" s="145">
        <v>793</v>
      </c>
      <c r="C1273" s="83" t="s">
        <v>19</v>
      </c>
      <c r="D1273" s="83" t="s">
        <v>23</v>
      </c>
      <c r="E1273" s="83" t="s">
        <v>275</v>
      </c>
      <c r="F1273" s="145"/>
      <c r="G1273" s="86">
        <f t="shared" si="308"/>
        <v>0</v>
      </c>
      <c r="H1273" s="86">
        <f t="shared" si="308"/>
        <v>0</v>
      </c>
      <c r="I1273" s="171"/>
    </row>
    <row r="1274" spans="1:17">
      <c r="A1274" s="81" t="s">
        <v>156</v>
      </c>
      <c r="B1274" s="145">
        <v>793</v>
      </c>
      <c r="C1274" s="83" t="s">
        <v>19</v>
      </c>
      <c r="D1274" s="83" t="s">
        <v>23</v>
      </c>
      <c r="E1274" s="83" t="s">
        <v>275</v>
      </c>
      <c r="F1274" s="83" t="s">
        <v>157</v>
      </c>
      <c r="G1274" s="86">
        <f t="shared" si="308"/>
        <v>0</v>
      </c>
      <c r="H1274" s="86">
        <f t="shared" si="308"/>
        <v>0</v>
      </c>
      <c r="I1274" s="171"/>
    </row>
    <row r="1275" spans="1:17">
      <c r="A1275" s="81" t="s">
        <v>178</v>
      </c>
      <c r="B1275" s="145">
        <v>793</v>
      </c>
      <c r="C1275" s="83" t="s">
        <v>19</v>
      </c>
      <c r="D1275" s="83" t="s">
        <v>23</v>
      </c>
      <c r="E1275" s="83" t="s">
        <v>275</v>
      </c>
      <c r="F1275" s="83" t="s">
        <v>179</v>
      </c>
      <c r="G1275" s="86">
        <v>0</v>
      </c>
      <c r="H1275" s="86"/>
      <c r="I1275" s="171"/>
    </row>
    <row r="1276" spans="1:17" ht="25.5">
      <c r="A1276" s="252" t="s">
        <v>168</v>
      </c>
      <c r="B1276" s="253">
        <v>793</v>
      </c>
      <c r="C1276" s="254" t="s">
        <v>70</v>
      </c>
      <c r="D1276" s="254"/>
      <c r="E1276" s="254"/>
      <c r="F1276" s="254"/>
      <c r="G1276" s="251">
        <f>G1277+G1342+G1309</f>
        <v>6197555.8799999999</v>
      </c>
      <c r="H1276" s="251">
        <f>H1277+H1342+H1309</f>
        <v>5857629.3100000005</v>
      </c>
      <c r="I1276" s="182"/>
      <c r="O1276" s="200"/>
      <c r="P1276" s="200"/>
    </row>
    <row r="1277" spans="1:17" s="46" customFormat="1" ht="32.25" customHeight="1">
      <c r="A1277" s="133" t="s">
        <v>789</v>
      </c>
      <c r="B1277" s="145">
        <v>793</v>
      </c>
      <c r="C1277" s="83" t="s">
        <v>70</v>
      </c>
      <c r="D1277" s="83" t="s">
        <v>123</v>
      </c>
      <c r="E1277" s="83"/>
      <c r="F1277" s="83"/>
      <c r="G1277" s="86">
        <f>G1278+G1302+G1299</f>
        <v>93500</v>
      </c>
      <c r="H1277" s="86">
        <f t="shared" ref="H1277" si="309">H1278+H1302+H1299</f>
        <v>72000</v>
      </c>
      <c r="I1277" s="171"/>
      <c r="J1277" s="213"/>
      <c r="K1277" s="213"/>
      <c r="L1277" s="213"/>
      <c r="M1277" s="213"/>
      <c r="N1277" s="213"/>
      <c r="O1277" s="213"/>
      <c r="P1277" s="213"/>
      <c r="Q1277" s="213"/>
    </row>
    <row r="1278" spans="1:17" s="28" customFormat="1" ht="51">
      <c r="A1278" s="133" t="s">
        <v>480</v>
      </c>
      <c r="B1278" s="145">
        <v>793</v>
      </c>
      <c r="C1278" s="83" t="s">
        <v>70</v>
      </c>
      <c r="D1278" s="83" t="s">
        <v>123</v>
      </c>
      <c r="E1278" s="83" t="s">
        <v>251</v>
      </c>
      <c r="F1278" s="163"/>
      <c r="G1278" s="86">
        <f>G1282+G1287+G1293+G1296+G1281+G1290+G1306</f>
        <v>67500</v>
      </c>
      <c r="H1278" s="86">
        <f t="shared" ref="H1278" si="310">H1282+H1287+H1293+H1296+H1281</f>
        <v>46000</v>
      </c>
      <c r="I1278" s="171"/>
      <c r="J1278" s="171"/>
      <c r="K1278" s="171"/>
      <c r="L1278" s="171"/>
      <c r="M1278" s="171"/>
      <c r="N1278" s="171"/>
      <c r="O1278" s="195"/>
      <c r="P1278" s="201"/>
      <c r="Q1278" s="195"/>
    </row>
    <row r="1279" spans="1:17" s="28" customFormat="1" ht="67.5" hidden="1" customHeight="1">
      <c r="A1279" s="133" t="s">
        <v>334</v>
      </c>
      <c r="B1279" s="145">
        <v>793</v>
      </c>
      <c r="C1279" s="83" t="s">
        <v>70</v>
      </c>
      <c r="D1279" s="83" t="s">
        <v>123</v>
      </c>
      <c r="E1279" s="83" t="s">
        <v>138</v>
      </c>
      <c r="F1279" s="163"/>
      <c r="G1279" s="86">
        <f>G1280</f>
        <v>0</v>
      </c>
      <c r="H1279" s="86">
        <f t="shared" ref="H1279" si="311">H1280</f>
        <v>0</v>
      </c>
      <c r="I1279" s="171"/>
      <c r="J1279" s="195"/>
      <c r="K1279" s="195"/>
      <c r="L1279" s="195"/>
      <c r="M1279" s="195"/>
      <c r="N1279" s="195"/>
      <c r="O1279" s="195"/>
      <c r="P1279" s="195"/>
      <c r="Q1279" s="195"/>
    </row>
    <row r="1280" spans="1:17" s="28" customFormat="1" ht="25.5" hidden="1">
      <c r="A1280" s="81" t="s">
        <v>323</v>
      </c>
      <c r="B1280" s="145">
        <v>793</v>
      </c>
      <c r="C1280" s="83" t="s">
        <v>70</v>
      </c>
      <c r="D1280" s="83" t="s">
        <v>123</v>
      </c>
      <c r="E1280" s="83" t="s">
        <v>138</v>
      </c>
      <c r="F1280" s="83" t="s">
        <v>37</v>
      </c>
      <c r="G1280" s="86">
        <f>G1281</f>
        <v>0</v>
      </c>
      <c r="H1280" s="86">
        <f t="shared" ref="H1280" si="312">H1281</f>
        <v>0</v>
      </c>
      <c r="I1280" s="171"/>
      <c r="J1280" s="195"/>
      <c r="K1280" s="195"/>
      <c r="L1280" s="195"/>
      <c r="M1280" s="195"/>
      <c r="N1280" s="195"/>
      <c r="O1280" s="195"/>
      <c r="P1280" s="195"/>
      <c r="Q1280" s="195"/>
    </row>
    <row r="1281" spans="1:17" s="28" customFormat="1" ht="25.5" hidden="1">
      <c r="A1281" s="81" t="s">
        <v>38</v>
      </c>
      <c r="B1281" s="145">
        <v>793</v>
      </c>
      <c r="C1281" s="83" t="s">
        <v>70</v>
      </c>
      <c r="D1281" s="83" t="s">
        <v>123</v>
      </c>
      <c r="E1281" s="83" t="s">
        <v>138</v>
      </c>
      <c r="F1281" s="83" t="s">
        <v>39</v>
      </c>
      <c r="G1281" s="86">
        <v>0</v>
      </c>
      <c r="H1281" s="93"/>
      <c r="I1281" s="185"/>
      <c r="J1281" s="195"/>
      <c r="K1281" s="195"/>
      <c r="L1281" s="195"/>
      <c r="M1281" s="195"/>
      <c r="N1281" s="195"/>
      <c r="O1281" s="195"/>
      <c r="P1281" s="195"/>
      <c r="Q1281" s="195"/>
    </row>
    <row r="1282" spans="1:17" ht="53.25" hidden="1" customHeight="1">
      <c r="A1282" s="269" t="s">
        <v>781</v>
      </c>
      <c r="B1282" s="145">
        <v>793</v>
      </c>
      <c r="C1282" s="83" t="s">
        <v>70</v>
      </c>
      <c r="D1282" s="83" t="s">
        <v>123</v>
      </c>
      <c r="E1282" s="83" t="s">
        <v>252</v>
      </c>
      <c r="F1282" s="83"/>
      <c r="G1282" s="86">
        <f>G1283</f>
        <v>0</v>
      </c>
      <c r="H1282" s="86">
        <f>H1283+H1285</f>
        <v>0</v>
      </c>
      <c r="I1282" s="171"/>
    </row>
    <row r="1283" spans="1:17" ht="25.5" hidden="1">
      <c r="A1283" s="81" t="s">
        <v>323</v>
      </c>
      <c r="B1283" s="145">
        <v>793</v>
      </c>
      <c r="C1283" s="83" t="s">
        <v>70</v>
      </c>
      <c r="D1283" s="83" t="s">
        <v>123</v>
      </c>
      <c r="E1283" s="83" t="s">
        <v>252</v>
      </c>
      <c r="F1283" s="83" t="s">
        <v>37</v>
      </c>
      <c r="G1283" s="86">
        <f>G1284</f>
        <v>0</v>
      </c>
      <c r="H1283" s="86">
        <f t="shared" ref="H1283" si="313">H1284</f>
        <v>0</v>
      </c>
      <c r="I1283" s="171"/>
    </row>
    <row r="1284" spans="1:17" ht="25.5" hidden="1">
      <c r="A1284" s="81" t="s">
        <v>38</v>
      </c>
      <c r="B1284" s="145">
        <v>793</v>
      </c>
      <c r="C1284" s="83" t="s">
        <v>70</v>
      </c>
      <c r="D1284" s="83" t="s">
        <v>123</v>
      </c>
      <c r="E1284" s="83" t="s">
        <v>252</v>
      </c>
      <c r="F1284" s="83" t="s">
        <v>39</v>
      </c>
      <c r="G1284" s="86">
        <v>0</v>
      </c>
      <c r="H1284" s="86">
        <v>0</v>
      </c>
      <c r="I1284" s="171"/>
    </row>
    <row r="1285" spans="1:17" ht="17.25" hidden="1" customHeight="1">
      <c r="A1285" s="81" t="s">
        <v>63</v>
      </c>
      <c r="B1285" s="145">
        <v>793</v>
      </c>
      <c r="C1285" s="83" t="s">
        <v>70</v>
      </c>
      <c r="D1285" s="83" t="s">
        <v>123</v>
      </c>
      <c r="E1285" s="83" t="s">
        <v>253</v>
      </c>
      <c r="F1285" s="83" t="s">
        <v>64</v>
      </c>
      <c r="G1285" s="86">
        <f>G1286</f>
        <v>0</v>
      </c>
      <c r="H1285" s="86">
        <f t="shared" ref="H1285" si="314">H1286</f>
        <v>0</v>
      </c>
      <c r="I1285" s="171"/>
    </row>
    <row r="1286" spans="1:17" ht="13.5" hidden="1" customHeight="1">
      <c r="A1286" s="81" t="s">
        <v>180</v>
      </c>
      <c r="B1286" s="145">
        <v>793</v>
      </c>
      <c r="C1286" s="83" t="s">
        <v>70</v>
      </c>
      <c r="D1286" s="83" t="s">
        <v>123</v>
      </c>
      <c r="E1286" s="83" t="s">
        <v>253</v>
      </c>
      <c r="F1286" s="83" t="s">
        <v>181</v>
      </c>
      <c r="G1286" s="86">
        <v>0</v>
      </c>
      <c r="H1286" s="86"/>
      <c r="I1286" s="171"/>
    </row>
    <row r="1287" spans="1:17" ht="38.25" customHeight="1">
      <c r="A1287" s="81" t="s">
        <v>445</v>
      </c>
      <c r="B1287" s="145">
        <v>793</v>
      </c>
      <c r="C1287" s="83" t="s">
        <v>70</v>
      </c>
      <c r="D1287" s="83" t="s">
        <v>123</v>
      </c>
      <c r="E1287" s="83" t="s">
        <v>446</v>
      </c>
      <c r="F1287" s="83"/>
      <c r="G1287" s="86">
        <f>G1288</f>
        <v>67500</v>
      </c>
      <c r="H1287" s="86">
        <f t="shared" ref="H1287" si="315">H1288</f>
        <v>46000</v>
      </c>
      <c r="I1287" s="171"/>
    </row>
    <row r="1288" spans="1:17" ht="28.5" customHeight="1">
      <c r="A1288" s="81" t="s">
        <v>38</v>
      </c>
      <c r="B1288" s="145">
        <v>793</v>
      </c>
      <c r="C1288" s="83" t="s">
        <v>70</v>
      </c>
      <c r="D1288" s="83" t="s">
        <v>123</v>
      </c>
      <c r="E1288" s="83" t="s">
        <v>446</v>
      </c>
      <c r="F1288" s="83" t="s">
        <v>37</v>
      </c>
      <c r="G1288" s="86">
        <f>G1289</f>
        <v>67500</v>
      </c>
      <c r="H1288" s="86">
        <f t="shared" ref="H1288" si="316">H1289</f>
        <v>46000</v>
      </c>
      <c r="I1288" s="171"/>
    </row>
    <row r="1289" spans="1:17" ht="25.5">
      <c r="A1289" s="81" t="s">
        <v>38</v>
      </c>
      <c r="B1289" s="145">
        <v>793</v>
      </c>
      <c r="C1289" s="83" t="s">
        <v>70</v>
      </c>
      <c r="D1289" s="83" t="s">
        <v>123</v>
      </c>
      <c r="E1289" s="83" t="s">
        <v>446</v>
      </c>
      <c r="F1289" s="83" t="s">
        <v>39</v>
      </c>
      <c r="G1289" s="86">
        <v>67500</v>
      </c>
      <c r="H1289" s="86">
        <v>46000</v>
      </c>
      <c r="I1289" s="171"/>
    </row>
    <row r="1290" spans="1:17" ht="38.25" hidden="1" customHeight="1">
      <c r="A1290" s="81" t="s">
        <v>792</v>
      </c>
      <c r="B1290" s="145">
        <v>793</v>
      </c>
      <c r="C1290" s="83" t="s">
        <v>70</v>
      </c>
      <c r="D1290" s="83" t="s">
        <v>123</v>
      </c>
      <c r="E1290" s="83" t="s">
        <v>791</v>
      </c>
      <c r="F1290" s="83"/>
      <c r="G1290" s="86">
        <f>G1291</f>
        <v>0</v>
      </c>
      <c r="H1290" s="86">
        <f t="shared" ref="H1290:H1291" si="317">H1291</f>
        <v>0</v>
      </c>
      <c r="I1290" s="171"/>
    </row>
    <row r="1291" spans="1:17" ht="28.5" hidden="1" customHeight="1">
      <c r="A1291" s="81" t="s">
        <v>38</v>
      </c>
      <c r="B1291" s="145">
        <v>793</v>
      </c>
      <c r="C1291" s="83" t="s">
        <v>70</v>
      </c>
      <c r="D1291" s="83" t="s">
        <v>123</v>
      </c>
      <c r="E1291" s="83" t="s">
        <v>791</v>
      </c>
      <c r="F1291" s="83" t="s">
        <v>37</v>
      </c>
      <c r="G1291" s="86">
        <f>G1292</f>
        <v>0</v>
      </c>
      <c r="H1291" s="86">
        <f t="shared" si="317"/>
        <v>0</v>
      </c>
      <c r="I1291" s="171"/>
    </row>
    <row r="1292" spans="1:17" ht="25.5" hidden="1">
      <c r="A1292" s="81" t="s">
        <v>38</v>
      </c>
      <c r="B1292" s="145">
        <v>793</v>
      </c>
      <c r="C1292" s="83" t="s">
        <v>70</v>
      </c>
      <c r="D1292" s="83" t="s">
        <v>123</v>
      </c>
      <c r="E1292" s="83" t="s">
        <v>791</v>
      </c>
      <c r="F1292" s="83" t="s">
        <v>39</v>
      </c>
      <c r="G1292" s="86"/>
      <c r="H1292" s="86"/>
      <c r="I1292" s="171"/>
    </row>
    <row r="1293" spans="1:17" ht="46.5" hidden="1" customHeight="1">
      <c r="A1293" s="269" t="s">
        <v>492</v>
      </c>
      <c r="B1293" s="145">
        <v>793</v>
      </c>
      <c r="C1293" s="83" t="s">
        <v>70</v>
      </c>
      <c r="D1293" s="83" t="s">
        <v>123</v>
      </c>
      <c r="E1293" s="83" t="s">
        <v>491</v>
      </c>
      <c r="F1293" s="83"/>
      <c r="G1293" s="86">
        <f>G1294</f>
        <v>0</v>
      </c>
      <c r="H1293" s="86">
        <f t="shared" ref="H1293" si="318">H1294</f>
        <v>0</v>
      </c>
      <c r="I1293" s="171"/>
    </row>
    <row r="1294" spans="1:17" ht="25.5" hidden="1" customHeight="1">
      <c r="A1294" s="81" t="s">
        <v>323</v>
      </c>
      <c r="B1294" s="145">
        <v>793</v>
      </c>
      <c r="C1294" s="83" t="s">
        <v>70</v>
      </c>
      <c r="D1294" s="83" t="s">
        <v>123</v>
      </c>
      <c r="E1294" s="83" t="s">
        <v>491</v>
      </c>
      <c r="F1294" s="83" t="s">
        <v>37</v>
      </c>
      <c r="G1294" s="86">
        <f>G1295</f>
        <v>0</v>
      </c>
      <c r="H1294" s="86">
        <f t="shared" ref="H1294" si="319">H1295</f>
        <v>0</v>
      </c>
      <c r="I1294" s="171"/>
    </row>
    <row r="1295" spans="1:17" ht="25.5" hidden="1" customHeight="1">
      <c r="A1295" s="81" t="s">
        <v>38</v>
      </c>
      <c r="B1295" s="145">
        <v>793</v>
      </c>
      <c r="C1295" s="83" t="s">
        <v>70</v>
      </c>
      <c r="D1295" s="83" t="s">
        <v>123</v>
      </c>
      <c r="E1295" s="83" t="s">
        <v>491</v>
      </c>
      <c r="F1295" s="83" t="s">
        <v>39</v>
      </c>
      <c r="G1295" s="86">
        <v>0</v>
      </c>
      <c r="H1295" s="86"/>
      <c r="I1295" s="171"/>
    </row>
    <row r="1296" spans="1:17" ht="46.5" hidden="1" customHeight="1">
      <c r="A1296" s="269" t="s">
        <v>494</v>
      </c>
      <c r="B1296" s="145">
        <v>793</v>
      </c>
      <c r="C1296" s="83" t="s">
        <v>70</v>
      </c>
      <c r="D1296" s="83" t="s">
        <v>123</v>
      </c>
      <c r="E1296" s="83" t="s">
        <v>493</v>
      </c>
      <c r="F1296" s="83"/>
      <c r="G1296" s="86">
        <f>G1297</f>
        <v>0</v>
      </c>
      <c r="H1296" s="86">
        <f t="shared" ref="H1296" si="320">H1297</f>
        <v>0</v>
      </c>
      <c r="I1296" s="171"/>
    </row>
    <row r="1297" spans="1:17" ht="25.5" hidden="1">
      <c r="A1297" s="81" t="s">
        <v>323</v>
      </c>
      <c r="B1297" s="145">
        <v>793</v>
      </c>
      <c r="C1297" s="83" t="s">
        <v>70</v>
      </c>
      <c r="D1297" s="83" t="s">
        <v>123</v>
      </c>
      <c r="E1297" s="83" t="s">
        <v>493</v>
      </c>
      <c r="F1297" s="83" t="s">
        <v>37</v>
      </c>
      <c r="G1297" s="86">
        <f>G1298</f>
        <v>0</v>
      </c>
      <c r="H1297" s="86">
        <f>H1298</f>
        <v>0</v>
      </c>
      <c r="I1297" s="171"/>
    </row>
    <row r="1298" spans="1:17" ht="25.5" hidden="1">
      <c r="A1298" s="81" t="s">
        <v>38</v>
      </c>
      <c r="B1298" s="145">
        <v>793</v>
      </c>
      <c r="C1298" s="83" t="s">
        <v>70</v>
      </c>
      <c r="D1298" s="83" t="s">
        <v>123</v>
      </c>
      <c r="E1298" s="83" t="s">
        <v>493</v>
      </c>
      <c r="F1298" s="83" t="s">
        <v>39</v>
      </c>
      <c r="G1298" s="86">
        <f>60000-60000</f>
        <v>0</v>
      </c>
      <c r="H1298" s="86">
        <f>90000-90000</f>
        <v>0</v>
      </c>
      <c r="I1298" s="171"/>
    </row>
    <row r="1299" spans="1:17" ht="30.75" hidden="1" customHeight="1">
      <c r="A1299" s="81" t="s">
        <v>272</v>
      </c>
      <c r="B1299" s="145">
        <v>793</v>
      </c>
      <c r="C1299" s="83" t="s">
        <v>70</v>
      </c>
      <c r="D1299" s="83" t="s">
        <v>123</v>
      </c>
      <c r="E1299" s="83" t="s">
        <v>566</v>
      </c>
      <c r="F1299" s="83"/>
      <c r="G1299" s="86">
        <f>G1300</f>
        <v>0</v>
      </c>
      <c r="H1299" s="86">
        <v>0</v>
      </c>
      <c r="I1299" s="171"/>
    </row>
    <row r="1300" spans="1:17" ht="30.75" hidden="1" customHeight="1">
      <c r="A1300" s="81" t="s">
        <v>148</v>
      </c>
      <c r="B1300" s="145">
        <v>793</v>
      </c>
      <c r="C1300" s="83" t="s">
        <v>70</v>
      </c>
      <c r="D1300" s="83" t="s">
        <v>123</v>
      </c>
      <c r="E1300" s="83" t="s">
        <v>566</v>
      </c>
      <c r="F1300" s="83" t="s">
        <v>149</v>
      </c>
      <c r="G1300" s="86">
        <f>G1301</f>
        <v>0</v>
      </c>
      <c r="H1300" s="86">
        <v>0</v>
      </c>
      <c r="I1300" s="171"/>
    </row>
    <row r="1301" spans="1:17" ht="30.75" hidden="1" customHeight="1">
      <c r="A1301" s="81" t="s">
        <v>150</v>
      </c>
      <c r="B1301" s="145">
        <v>793</v>
      </c>
      <c r="C1301" s="83" t="s">
        <v>70</v>
      </c>
      <c r="D1301" s="83" t="s">
        <v>123</v>
      </c>
      <c r="E1301" s="83" t="s">
        <v>566</v>
      </c>
      <c r="F1301" s="83" t="s">
        <v>151</v>
      </c>
      <c r="G1301" s="86"/>
      <c r="H1301" s="86">
        <v>0</v>
      </c>
      <c r="I1301" s="171"/>
    </row>
    <row r="1302" spans="1:17" ht="25.5">
      <c r="A1302" s="81" t="s">
        <v>169</v>
      </c>
      <c r="B1302" s="145">
        <v>793</v>
      </c>
      <c r="C1302" s="83" t="s">
        <v>70</v>
      </c>
      <c r="D1302" s="83" t="s">
        <v>123</v>
      </c>
      <c r="E1302" s="83" t="s">
        <v>233</v>
      </c>
      <c r="F1302" s="83"/>
      <c r="G1302" s="86">
        <f t="shared" ref="G1302:H1304" si="321">G1303</f>
        <v>26000</v>
      </c>
      <c r="H1302" s="86">
        <f t="shared" si="321"/>
        <v>26000</v>
      </c>
      <c r="I1302" s="171"/>
    </row>
    <row r="1303" spans="1:17" ht="25.5">
      <c r="A1303" s="81" t="s">
        <v>169</v>
      </c>
      <c r="B1303" s="145">
        <v>793</v>
      </c>
      <c r="C1303" s="83" t="s">
        <v>70</v>
      </c>
      <c r="D1303" s="83" t="s">
        <v>123</v>
      </c>
      <c r="E1303" s="83" t="s">
        <v>275</v>
      </c>
      <c r="F1303" s="83"/>
      <c r="G1303" s="86">
        <f t="shared" si="321"/>
        <v>26000</v>
      </c>
      <c r="H1303" s="86">
        <f t="shared" si="321"/>
        <v>26000</v>
      </c>
      <c r="I1303" s="171"/>
    </row>
    <row r="1304" spans="1:17" ht="25.5">
      <c r="A1304" s="81" t="s">
        <v>323</v>
      </c>
      <c r="B1304" s="145">
        <v>793</v>
      </c>
      <c r="C1304" s="83" t="s">
        <v>70</v>
      </c>
      <c r="D1304" s="83" t="s">
        <v>123</v>
      </c>
      <c r="E1304" s="83" t="s">
        <v>275</v>
      </c>
      <c r="F1304" s="83" t="s">
        <v>37</v>
      </c>
      <c r="G1304" s="86">
        <f t="shared" si="321"/>
        <v>26000</v>
      </c>
      <c r="H1304" s="86">
        <f t="shared" si="321"/>
        <v>26000</v>
      </c>
      <c r="I1304" s="171"/>
    </row>
    <row r="1305" spans="1:17" ht="25.5">
      <c r="A1305" s="81" t="s">
        <v>38</v>
      </c>
      <c r="B1305" s="145">
        <v>793</v>
      </c>
      <c r="C1305" s="83" t="s">
        <v>70</v>
      </c>
      <c r="D1305" s="83" t="s">
        <v>123</v>
      </c>
      <c r="E1305" s="83" t="s">
        <v>275</v>
      </c>
      <c r="F1305" s="83" t="s">
        <v>39</v>
      </c>
      <c r="G1305" s="86">
        <v>26000</v>
      </c>
      <c r="H1305" s="86">
        <v>26000</v>
      </c>
      <c r="I1305" s="171"/>
    </row>
    <row r="1306" spans="1:17" ht="38.25" hidden="1" customHeight="1">
      <c r="A1306" s="81" t="s">
        <v>1050</v>
      </c>
      <c r="B1306" s="145">
        <v>793</v>
      </c>
      <c r="C1306" s="83" t="s">
        <v>70</v>
      </c>
      <c r="D1306" s="83" t="s">
        <v>123</v>
      </c>
      <c r="E1306" s="83" t="s">
        <v>1047</v>
      </c>
      <c r="F1306" s="83"/>
      <c r="G1306" s="86">
        <f>G1307</f>
        <v>0</v>
      </c>
      <c r="H1306" s="86">
        <f t="shared" ref="H1306:H1307" si="322">H1307</f>
        <v>0</v>
      </c>
      <c r="I1306" s="171"/>
    </row>
    <row r="1307" spans="1:17" ht="28.5" hidden="1" customHeight="1">
      <c r="A1307" s="81" t="s">
        <v>38</v>
      </c>
      <c r="B1307" s="145">
        <v>793</v>
      </c>
      <c r="C1307" s="83" t="s">
        <v>70</v>
      </c>
      <c r="D1307" s="83" t="s">
        <v>123</v>
      </c>
      <c r="E1307" s="83" t="s">
        <v>1047</v>
      </c>
      <c r="F1307" s="83" t="s">
        <v>37</v>
      </c>
      <c r="G1307" s="86">
        <f>G1308</f>
        <v>0</v>
      </c>
      <c r="H1307" s="86">
        <f t="shared" si="322"/>
        <v>0</v>
      </c>
      <c r="I1307" s="171"/>
    </row>
    <row r="1308" spans="1:17" ht="25.5" hidden="1">
      <c r="A1308" s="81" t="s">
        <v>38</v>
      </c>
      <c r="B1308" s="145">
        <v>793</v>
      </c>
      <c r="C1308" s="83" t="s">
        <v>70</v>
      </c>
      <c r="D1308" s="83" t="s">
        <v>123</v>
      </c>
      <c r="E1308" s="83" t="s">
        <v>1047</v>
      </c>
      <c r="F1308" s="83" t="s">
        <v>39</v>
      </c>
      <c r="G1308" s="86"/>
      <c r="H1308" s="86">
        <v>0</v>
      </c>
      <c r="I1308" s="171"/>
    </row>
    <row r="1309" spans="1:17" s="22" customFormat="1" ht="42" customHeight="1">
      <c r="A1309" s="150" t="s">
        <v>790</v>
      </c>
      <c r="B1309" s="151">
        <v>793</v>
      </c>
      <c r="C1309" s="152" t="s">
        <v>70</v>
      </c>
      <c r="D1309" s="152" t="s">
        <v>69</v>
      </c>
      <c r="E1309" s="152"/>
      <c r="F1309" s="152"/>
      <c r="G1309" s="153">
        <f>G1310+G1336</f>
        <v>5756765.8799999999</v>
      </c>
      <c r="H1309" s="153">
        <f>H1310+H1336</f>
        <v>5458339.3100000005</v>
      </c>
      <c r="I1309" s="187"/>
      <c r="J1309" s="198"/>
      <c r="K1309" s="198"/>
      <c r="L1309" s="198"/>
      <c r="M1309" s="198"/>
      <c r="N1309" s="198"/>
      <c r="O1309" s="199"/>
      <c r="P1309" s="199"/>
      <c r="Q1309" s="198"/>
    </row>
    <row r="1310" spans="1:17" s="28" customFormat="1" ht="51">
      <c r="A1310" s="133" t="s">
        <v>480</v>
      </c>
      <c r="B1310" s="145">
        <v>793</v>
      </c>
      <c r="C1310" s="83" t="s">
        <v>70</v>
      </c>
      <c r="D1310" s="83" t="s">
        <v>69</v>
      </c>
      <c r="E1310" s="83" t="s">
        <v>251</v>
      </c>
      <c r="F1310" s="163"/>
      <c r="G1310" s="86">
        <f>G1316+G1311+G1321+G1335+G1327+G1328+G1322</f>
        <v>5658765.8799999999</v>
      </c>
      <c r="H1310" s="86">
        <f>H1316+H1311+H1321+H1335+H1327+H1328+H1322</f>
        <v>5360339.3100000005</v>
      </c>
      <c r="I1310" s="171"/>
      <c r="J1310" s="195"/>
      <c r="K1310" s="195"/>
      <c r="L1310" s="195"/>
      <c r="M1310" s="195"/>
      <c r="N1310" s="195"/>
      <c r="O1310" s="195"/>
      <c r="P1310" s="195"/>
      <c r="Q1310" s="195"/>
    </row>
    <row r="1311" spans="1:17" s="28" customFormat="1" ht="25.5" hidden="1">
      <c r="A1311" s="133" t="s">
        <v>615</v>
      </c>
      <c r="B1311" s="145">
        <v>793</v>
      </c>
      <c r="C1311" s="83" t="s">
        <v>70</v>
      </c>
      <c r="D1311" s="83" t="s">
        <v>69</v>
      </c>
      <c r="E1311" s="83" t="s">
        <v>651</v>
      </c>
      <c r="F1311" s="163"/>
      <c r="G1311" s="86">
        <f>G1314+G1312</f>
        <v>0</v>
      </c>
      <c r="H1311" s="86"/>
      <c r="I1311" s="171"/>
      <c r="J1311" s="195"/>
      <c r="K1311" s="195"/>
      <c r="L1311" s="195"/>
      <c r="M1311" s="195"/>
      <c r="N1311" s="195"/>
      <c r="O1311" s="195"/>
      <c r="P1311" s="195"/>
      <c r="Q1311" s="195"/>
    </row>
    <row r="1312" spans="1:17" s="28" customFormat="1" hidden="1">
      <c r="A1312" s="81" t="s">
        <v>156</v>
      </c>
      <c r="B1312" s="145">
        <v>793</v>
      </c>
      <c r="C1312" s="83" t="s">
        <v>70</v>
      </c>
      <c r="D1312" s="83" t="s">
        <v>69</v>
      </c>
      <c r="E1312" s="83" t="s">
        <v>651</v>
      </c>
      <c r="F1312" s="83" t="s">
        <v>157</v>
      </c>
      <c r="G1312" s="86">
        <f>G1313</f>
        <v>0</v>
      </c>
      <c r="H1312" s="86"/>
      <c r="I1312" s="171"/>
      <c r="J1312" s="195"/>
      <c r="K1312" s="195"/>
      <c r="L1312" s="195"/>
      <c r="M1312" s="195"/>
      <c r="N1312" s="195"/>
      <c r="O1312" s="195"/>
      <c r="P1312" s="195"/>
      <c r="Q1312" s="195"/>
    </row>
    <row r="1313" spans="1:17" s="28" customFormat="1" hidden="1">
      <c r="A1313" s="81" t="s">
        <v>170</v>
      </c>
      <c r="B1313" s="145">
        <v>793</v>
      </c>
      <c r="C1313" s="83" t="s">
        <v>70</v>
      </c>
      <c r="D1313" s="83" t="s">
        <v>69</v>
      </c>
      <c r="E1313" s="83" t="s">
        <v>651</v>
      </c>
      <c r="F1313" s="83" t="s">
        <v>171</v>
      </c>
      <c r="G1313" s="86"/>
      <c r="H1313" s="86"/>
      <c r="I1313" s="171"/>
      <c r="J1313" s="195"/>
      <c r="K1313" s="195"/>
      <c r="L1313" s="195"/>
      <c r="M1313" s="195"/>
      <c r="N1313" s="195"/>
      <c r="O1313" s="195"/>
      <c r="P1313" s="195"/>
      <c r="Q1313" s="195"/>
    </row>
    <row r="1314" spans="1:17" ht="17.25" hidden="1" customHeight="1">
      <c r="A1314" s="81" t="s">
        <v>63</v>
      </c>
      <c r="B1314" s="145">
        <v>793</v>
      </c>
      <c r="C1314" s="83" t="s">
        <v>70</v>
      </c>
      <c r="D1314" s="83" t="s">
        <v>69</v>
      </c>
      <c r="E1314" s="83" t="s">
        <v>614</v>
      </c>
      <c r="F1314" s="83" t="s">
        <v>64</v>
      </c>
      <c r="G1314" s="86">
        <f>G1315</f>
        <v>0</v>
      </c>
      <c r="H1314" s="86">
        <f>H1315</f>
        <v>0</v>
      </c>
      <c r="I1314" s="171"/>
    </row>
    <row r="1315" spans="1:17" ht="13.5" hidden="1" customHeight="1">
      <c r="A1315" s="81" t="s">
        <v>180</v>
      </c>
      <c r="B1315" s="145">
        <v>793</v>
      </c>
      <c r="C1315" s="83" t="s">
        <v>70</v>
      </c>
      <c r="D1315" s="83" t="s">
        <v>69</v>
      </c>
      <c r="E1315" s="83" t="s">
        <v>614</v>
      </c>
      <c r="F1315" s="83" t="s">
        <v>181</v>
      </c>
      <c r="G1315" s="86">
        <f>2715000-2715000</f>
        <v>0</v>
      </c>
      <c r="H1315" s="86"/>
      <c r="I1315" s="171"/>
    </row>
    <row r="1316" spans="1:17" ht="21" customHeight="1">
      <c r="A1316" s="81" t="s">
        <v>186</v>
      </c>
      <c r="B1316" s="145">
        <v>793</v>
      </c>
      <c r="C1316" s="83" t="s">
        <v>70</v>
      </c>
      <c r="D1316" s="83" t="s">
        <v>69</v>
      </c>
      <c r="E1316" s="83" t="s">
        <v>136</v>
      </c>
      <c r="F1316" s="83"/>
      <c r="G1316" s="86">
        <f t="shared" ref="G1316:H1317" si="323">G1317</f>
        <v>70000</v>
      </c>
      <c r="H1316" s="86">
        <f t="shared" si="323"/>
        <v>0</v>
      </c>
      <c r="I1316" s="171"/>
    </row>
    <row r="1317" spans="1:17" ht="24.75" customHeight="1">
      <c r="A1317" s="81" t="s">
        <v>323</v>
      </c>
      <c r="B1317" s="145">
        <v>793</v>
      </c>
      <c r="C1317" s="83" t="s">
        <v>70</v>
      </c>
      <c r="D1317" s="83" t="s">
        <v>69</v>
      </c>
      <c r="E1317" s="83" t="s">
        <v>136</v>
      </c>
      <c r="F1317" s="83" t="s">
        <v>37</v>
      </c>
      <c r="G1317" s="86">
        <f t="shared" si="323"/>
        <v>70000</v>
      </c>
      <c r="H1317" s="86">
        <f t="shared" si="323"/>
        <v>0</v>
      </c>
      <c r="I1317" s="171"/>
    </row>
    <row r="1318" spans="1:17" ht="25.5">
      <c r="A1318" s="81" t="s">
        <v>38</v>
      </c>
      <c r="B1318" s="145">
        <v>793</v>
      </c>
      <c r="C1318" s="83" t="s">
        <v>70</v>
      </c>
      <c r="D1318" s="83" t="s">
        <v>69</v>
      </c>
      <c r="E1318" s="83" t="s">
        <v>136</v>
      </c>
      <c r="F1318" s="83" t="s">
        <v>39</v>
      </c>
      <c r="G1318" s="86">
        <v>70000</v>
      </c>
      <c r="H1318" s="86">
        <v>0</v>
      </c>
      <c r="I1318" s="171"/>
    </row>
    <row r="1319" spans="1:17" s="28" customFormat="1" ht="67.5" customHeight="1">
      <c r="A1319" s="133" t="s">
        <v>334</v>
      </c>
      <c r="B1319" s="145">
        <v>793</v>
      </c>
      <c r="C1319" s="83" t="s">
        <v>70</v>
      </c>
      <c r="D1319" s="83" t="s">
        <v>69</v>
      </c>
      <c r="E1319" s="83" t="s">
        <v>138</v>
      </c>
      <c r="F1319" s="163"/>
      <c r="G1319" s="86">
        <f>G1320</f>
        <v>90489.88</v>
      </c>
      <c r="H1319" s="86">
        <f>H1320</f>
        <v>86400</v>
      </c>
      <c r="I1319" s="171"/>
      <c r="J1319" s="195"/>
      <c r="K1319" s="195"/>
      <c r="L1319" s="195"/>
      <c r="M1319" s="195"/>
      <c r="N1319" s="195"/>
      <c r="O1319" s="195"/>
      <c r="P1319" s="195"/>
      <c r="Q1319" s="195"/>
    </row>
    <row r="1320" spans="1:17" s="28" customFormat="1" ht="25.5">
      <c r="A1320" s="81" t="s">
        <v>323</v>
      </c>
      <c r="B1320" s="145">
        <v>793</v>
      </c>
      <c r="C1320" s="83" t="s">
        <v>70</v>
      </c>
      <c r="D1320" s="83" t="s">
        <v>69</v>
      </c>
      <c r="E1320" s="83" t="s">
        <v>138</v>
      </c>
      <c r="F1320" s="83" t="s">
        <v>37</v>
      </c>
      <c r="G1320" s="86">
        <f>G1321</f>
        <v>90489.88</v>
      </c>
      <c r="H1320" s="86">
        <f t="shared" ref="H1320" si="324">H1321</f>
        <v>86400</v>
      </c>
      <c r="I1320" s="171"/>
      <c r="J1320" s="195"/>
      <c r="K1320" s="195"/>
      <c r="L1320" s="195"/>
      <c r="M1320" s="195"/>
      <c r="N1320" s="195"/>
      <c r="O1320" s="195"/>
      <c r="P1320" s="195"/>
      <c r="Q1320" s="195"/>
    </row>
    <row r="1321" spans="1:17" s="28" customFormat="1" ht="25.5">
      <c r="A1321" s="81" t="s">
        <v>38</v>
      </c>
      <c r="B1321" s="145">
        <v>793</v>
      </c>
      <c r="C1321" s="83" t="s">
        <v>70</v>
      </c>
      <c r="D1321" s="83" t="s">
        <v>69</v>
      </c>
      <c r="E1321" s="83" t="s">
        <v>138</v>
      </c>
      <c r="F1321" s="83" t="s">
        <v>39</v>
      </c>
      <c r="G1321" s="86">
        <v>90489.88</v>
      </c>
      <c r="H1321" s="93">
        <v>86400</v>
      </c>
      <c r="I1321" s="185"/>
      <c r="J1321" s="195"/>
      <c r="K1321" s="195"/>
      <c r="L1321" s="195"/>
      <c r="M1321" s="195"/>
      <c r="N1321" s="195"/>
      <c r="O1321" s="195"/>
      <c r="P1321" s="195"/>
      <c r="Q1321" s="195"/>
    </row>
    <row r="1322" spans="1:17" ht="38.25" hidden="1" customHeight="1">
      <c r="A1322" s="81" t="s">
        <v>1050</v>
      </c>
      <c r="B1322" s="145">
        <v>793</v>
      </c>
      <c r="C1322" s="83" t="s">
        <v>70</v>
      </c>
      <c r="D1322" s="83" t="s">
        <v>123</v>
      </c>
      <c r="E1322" s="83" t="s">
        <v>1047</v>
      </c>
      <c r="F1322" s="83"/>
      <c r="G1322" s="86">
        <f>G1323</f>
        <v>0</v>
      </c>
      <c r="H1322" s="86">
        <f t="shared" ref="H1322:H1323" si="325">H1323</f>
        <v>0</v>
      </c>
      <c r="I1322" s="171"/>
    </row>
    <row r="1323" spans="1:17" ht="28.5" hidden="1" customHeight="1">
      <c r="A1323" s="81" t="s">
        <v>38</v>
      </c>
      <c r="B1323" s="145">
        <v>793</v>
      </c>
      <c r="C1323" s="83" t="s">
        <v>70</v>
      </c>
      <c r="D1323" s="83" t="s">
        <v>123</v>
      </c>
      <c r="E1323" s="83" t="s">
        <v>1047</v>
      </c>
      <c r="F1323" s="83" t="s">
        <v>37</v>
      </c>
      <c r="G1323" s="86">
        <f>G1324</f>
        <v>0</v>
      </c>
      <c r="H1323" s="86">
        <f t="shared" si="325"/>
        <v>0</v>
      </c>
      <c r="I1323" s="171"/>
    </row>
    <row r="1324" spans="1:17" ht="25.5" hidden="1">
      <c r="A1324" s="81" t="s">
        <v>38</v>
      </c>
      <c r="B1324" s="145">
        <v>793</v>
      </c>
      <c r="C1324" s="83" t="s">
        <v>70</v>
      </c>
      <c r="D1324" s="83" t="s">
        <v>123</v>
      </c>
      <c r="E1324" s="83" t="s">
        <v>1047</v>
      </c>
      <c r="F1324" s="83" t="s">
        <v>39</v>
      </c>
      <c r="G1324" s="86"/>
      <c r="H1324" s="86">
        <v>0</v>
      </c>
      <c r="I1324" s="171"/>
    </row>
    <row r="1325" spans="1:17" ht="46.5" customHeight="1">
      <c r="A1325" s="269" t="s">
        <v>781</v>
      </c>
      <c r="B1325" s="145">
        <v>793</v>
      </c>
      <c r="C1325" s="83" t="s">
        <v>70</v>
      </c>
      <c r="D1325" s="83" t="s">
        <v>69</v>
      </c>
      <c r="E1325" s="83" t="s">
        <v>491</v>
      </c>
      <c r="F1325" s="83"/>
      <c r="G1325" s="86">
        <f>G1326</f>
        <v>2978276</v>
      </c>
      <c r="H1325" s="86">
        <f>H1326</f>
        <v>2967061.71</v>
      </c>
      <c r="I1325" s="171"/>
      <c r="J1325" s="171"/>
      <c r="K1325" s="171"/>
      <c r="L1325" s="171"/>
      <c r="M1325" s="171"/>
      <c r="N1325" s="171"/>
    </row>
    <row r="1326" spans="1:17" ht="25.5">
      <c r="A1326" s="81" t="s">
        <v>323</v>
      </c>
      <c r="B1326" s="145">
        <v>793</v>
      </c>
      <c r="C1326" s="83" t="s">
        <v>70</v>
      </c>
      <c r="D1326" s="83" t="s">
        <v>69</v>
      </c>
      <c r="E1326" s="83" t="s">
        <v>491</v>
      </c>
      <c r="F1326" s="83" t="s">
        <v>37</v>
      </c>
      <c r="G1326" s="86">
        <f>G1327</f>
        <v>2978276</v>
      </c>
      <c r="H1326" s="86">
        <f>H1327</f>
        <v>2967061.71</v>
      </c>
      <c r="I1326" s="171"/>
    </row>
    <row r="1327" spans="1:17" ht="25.5">
      <c r="A1327" s="81" t="s">
        <v>38</v>
      </c>
      <c r="B1327" s="145">
        <v>793</v>
      </c>
      <c r="C1327" s="83" t="s">
        <v>70</v>
      </c>
      <c r="D1327" s="83" t="s">
        <v>69</v>
      </c>
      <c r="E1327" s="83" t="s">
        <v>491</v>
      </c>
      <c r="F1327" s="83" t="s">
        <v>39</v>
      </c>
      <c r="G1327" s="86">
        <f>152500+230000+300000+2267501+28275</f>
        <v>2978276</v>
      </c>
      <c r="H1327" s="86">
        <v>2967061.71</v>
      </c>
      <c r="I1327" s="171"/>
    </row>
    <row r="1328" spans="1:17" ht="79.5" customHeight="1">
      <c r="A1328" s="269" t="s">
        <v>1000</v>
      </c>
      <c r="B1328" s="145">
        <v>793</v>
      </c>
      <c r="C1328" s="83" t="s">
        <v>70</v>
      </c>
      <c r="D1328" s="83" t="s">
        <v>69</v>
      </c>
      <c r="E1328" s="83" t="s">
        <v>493</v>
      </c>
      <c r="F1328" s="83"/>
      <c r="G1328" s="86">
        <f>G1329</f>
        <v>2500000</v>
      </c>
      <c r="H1328" s="86">
        <f>H1329</f>
        <v>2306877.6</v>
      </c>
      <c r="I1328" s="171"/>
      <c r="J1328" s="171"/>
      <c r="K1328" s="171"/>
      <c r="L1328" s="171"/>
      <c r="M1328" s="171"/>
      <c r="N1328" s="171"/>
    </row>
    <row r="1329" spans="1:17" ht="25.5">
      <c r="A1329" s="81" t="s">
        <v>323</v>
      </c>
      <c r="B1329" s="145">
        <v>793</v>
      </c>
      <c r="C1329" s="83" t="s">
        <v>70</v>
      </c>
      <c r="D1329" s="83" t="s">
        <v>69</v>
      </c>
      <c r="E1329" s="83" t="s">
        <v>493</v>
      </c>
      <c r="F1329" s="83" t="s">
        <v>157</v>
      </c>
      <c r="G1329" s="86">
        <f>G1330</f>
        <v>2500000</v>
      </c>
      <c r="H1329" s="86">
        <f>H1330</f>
        <v>2306877.6</v>
      </c>
      <c r="I1329" s="171"/>
    </row>
    <row r="1330" spans="1:17" ht="25.5">
      <c r="A1330" s="81" t="s">
        <v>38</v>
      </c>
      <c r="B1330" s="145">
        <v>793</v>
      </c>
      <c r="C1330" s="83" t="s">
        <v>70</v>
      </c>
      <c r="D1330" s="83" t="s">
        <v>69</v>
      </c>
      <c r="E1330" s="83" t="s">
        <v>493</v>
      </c>
      <c r="F1330" s="83" t="s">
        <v>179</v>
      </c>
      <c r="G1330" s="86">
        <v>2500000</v>
      </c>
      <c r="H1330" s="86">
        <v>2306877.6</v>
      </c>
      <c r="I1330" s="171"/>
    </row>
    <row r="1331" spans="1:17" ht="53.25" customHeight="1">
      <c r="A1331" s="269" t="s">
        <v>492</v>
      </c>
      <c r="B1331" s="145">
        <v>793</v>
      </c>
      <c r="C1331" s="83" t="s">
        <v>70</v>
      </c>
      <c r="D1331" s="83" t="s">
        <v>69</v>
      </c>
      <c r="E1331" s="83" t="s">
        <v>252</v>
      </c>
      <c r="F1331" s="83"/>
      <c r="G1331" s="86">
        <f>G1334+G1332</f>
        <v>20000</v>
      </c>
      <c r="H1331" s="86">
        <f t="shared" ref="H1331" si="326">H1334+H1332</f>
        <v>0</v>
      </c>
      <c r="I1331" s="171"/>
    </row>
    <row r="1332" spans="1:17" ht="25.5" hidden="1">
      <c r="A1332" s="81" t="s">
        <v>323</v>
      </c>
      <c r="B1332" s="145">
        <v>793</v>
      </c>
      <c r="C1332" s="83" t="s">
        <v>70</v>
      </c>
      <c r="D1332" s="83" t="s">
        <v>69</v>
      </c>
      <c r="E1332" s="83" t="s">
        <v>252</v>
      </c>
      <c r="F1332" s="83" t="s">
        <v>37</v>
      </c>
      <c r="G1332" s="86">
        <f>G1333</f>
        <v>0</v>
      </c>
      <c r="H1332" s="86">
        <f>H1333</f>
        <v>0</v>
      </c>
      <c r="I1332" s="171"/>
    </row>
    <row r="1333" spans="1:17" ht="25.5" hidden="1">
      <c r="A1333" s="81" t="s">
        <v>38</v>
      </c>
      <c r="B1333" s="145">
        <v>793</v>
      </c>
      <c r="C1333" s="83" t="s">
        <v>70</v>
      </c>
      <c r="D1333" s="83" t="s">
        <v>69</v>
      </c>
      <c r="E1333" s="83" t="s">
        <v>252</v>
      </c>
      <c r="F1333" s="83" t="s">
        <v>39</v>
      </c>
      <c r="G1333" s="86">
        <f>30000-30000</f>
        <v>0</v>
      </c>
      <c r="H1333" s="86"/>
      <c r="I1333" s="171"/>
    </row>
    <row r="1334" spans="1:17" ht="17.25" customHeight="1">
      <c r="A1334" s="81" t="s">
        <v>63</v>
      </c>
      <c r="B1334" s="145">
        <v>793</v>
      </c>
      <c r="C1334" s="83" t="s">
        <v>70</v>
      </c>
      <c r="D1334" s="83" t="s">
        <v>69</v>
      </c>
      <c r="E1334" s="83" t="s">
        <v>253</v>
      </c>
      <c r="F1334" s="83" t="s">
        <v>64</v>
      </c>
      <c r="G1334" s="86">
        <f>G1335</f>
        <v>20000</v>
      </c>
      <c r="H1334" s="86">
        <f>H1335</f>
        <v>0</v>
      </c>
      <c r="I1334" s="171"/>
    </row>
    <row r="1335" spans="1:17" ht="13.5" customHeight="1">
      <c r="A1335" s="81" t="s">
        <v>180</v>
      </c>
      <c r="B1335" s="145">
        <v>793</v>
      </c>
      <c r="C1335" s="83" t="s">
        <v>70</v>
      </c>
      <c r="D1335" s="83" t="s">
        <v>69</v>
      </c>
      <c r="E1335" s="83" t="s">
        <v>253</v>
      </c>
      <c r="F1335" s="83" t="s">
        <v>181</v>
      </c>
      <c r="G1335" s="86">
        <f>250000-230000</f>
        <v>20000</v>
      </c>
      <c r="H1335" s="86">
        <v>0</v>
      </c>
      <c r="I1335" s="171"/>
    </row>
    <row r="1336" spans="1:17" s="28" customFormat="1" ht="24.75" customHeight="1">
      <c r="A1336" s="135" t="s">
        <v>169</v>
      </c>
      <c r="B1336" s="145">
        <v>793</v>
      </c>
      <c r="C1336" s="83" t="s">
        <v>70</v>
      </c>
      <c r="D1336" s="83" t="s">
        <v>69</v>
      </c>
      <c r="E1336" s="83" t="s">
        <v>233</v>
      </c>
      <c r="F1336" s="163"/>
      <c r="G1336" s="86">
        <f t="shared" ref="G1336:H1340" si="327">G1337</f>
        <v>98000</v>
      </c>
      <c r="H1336" s="86">
        <f t="shared" si="327"/>
        <v>98000</v>
      </c>
      <c r="I1336" s="171"/>
      <c r="J1336" s="195"/>
      <c r="K1336" s="195"/>
      <c r="L1336" s="195"/>
      <c r="M1336" s="195"/>
      <c r="N1336" s="195"/>
      <c r="O1336" s="195"/>
      <c r="P1336" s="195"/>
      <c r="Q1336" s="195"/>
    </row>
    <row r="1337" spans="1:17" ht="25.5">
      <c r="A1337" s="135" t="s">
        <v>169</v>
      </c>
      <c r="B1337" s="145">
        <v>793</v>
      </c>
      <c r="C1337" s="83" t="s">
        <v>70</v>
      </c>
      <c r="D1337" s="83" t="s">
        <v>69</v>
      </c>
      <c r="E1337" s="83" t="s">
        <v>275</v>
      </c>
      <c r="F1337" s="145"/>
      <c r="G1337" s="86">
        <f>G1340+G1338</f>
        <v>98000</v>
      </c>
      <c r="H1337" s="86">
        <f>H1340+H1338</f>
        <v>98000</v>
      </c>
      <c r="I1337" s="171"/>
    </row>
    <row r="1338" spans="1:17" ht="25.5">
      <c r="A1338" s="81" t="s">
        <v>323</v>
      </c>
      <c r="B1338" s="145">
        <v>793</v>
      </c>
      <c r="C1338" s="83" t="s">
        <v>70</v>
      </c>
      <c r="D1338" s="83" t="s">
        <v>69</v>
      </c>
      <c r="E1338" s="83" t="s">
        <v>275</v>
      </c>
      <c r="F1338" s="83" t="s">
        <v>37</v>
      </c>
      <c r="G1338" s="86">
        <f>G1339</f>
        <v>28000</v>
      </c>
      <c r="H1338" s="86">
        <f>H1339</f>
        <v>28000</v>
      </c>
      <c r="I1338" s="171"/>
    </row>
    <row r="1339" spans="1:17" ht="25.5">
      <c r="A1339" s="81" t="s">
        <v>38</v>
      </c>
      <c r="B1339" s="145">
        <v>793</v>
      </c>
      <c r="C1339" s="83" t="s">
        <v>70</v>
      </c>
      <c r="D1339" s="83" t="s">
        <v>69</v>
      </c>
      <c r="E1339" s="83" t="s">
        <v>275</v>
      </c>
      <c r="F1339" s="83" t="s">
        <v>39</v>
      </c>
      <c r="G1339" s="86">
        <v>28000</v>
      </c>
      <c r="H1339" s="86">
        <v>28000</v>
      </c>
      <c r="I1339" s="171"/>
    </row>
    <row r="1340" spans="1:17">
      <c r="A1340" s="81" t="s">
        <v>156</v>
      </c>
      <c r="B1340" s="145">
        <v>793</v>
      </c>
      <c r="C1340" s="83" t="s">
        <v>70</v>
      </c>
      <c r="D1340" s="83" t="s">
        <v>69</v>
      </c>
      <c r="E1340" s="83" t="s">
        <v>275</v>
      </c>
      <c r="F1340" s="83" t="s">
        <v>157</v>
      </c>
      <c r="G1340" s="86">
        <f t="shared" si="327"/>
        <v>70000</v>
      </c>
      <c r="H1340" s="86">
        <f t="shared" si="327"/>
        <v>70000</v>
      </c>
      <c r="I1340" s="171"/>
    </row>
    <row r="1341" spans="1:17">
      <c r="A1341" s="81" t="s">
        <v>178</v>
      </c>
      <c r="B1341" s="145">
        <v>793</v>
      </c>
      <c r="C1341" s="83" t="s">
        <v>70</v>
      </c>
      <c r="D1341" s="83" t="s">
        <v>69</v>
      </c>
      <c r="E1341" s="83" t="s">
        <v>275</v>
      </c>
      <c r="F1341" s="83" t="s">
        <v>179</v>
      </c>
      <c r="G1341" s="86">
        <v>70000</v>
      </c>
      <c r="H1341" s="86">
        <v>70000</v>
      </c>
      <c r="I1341" s="171"/>
    </row>
    <row r="1342" spans="1:17" s="22" customFormat="1" ht="25.5">
      <c r="A1342" s="150" t="s">
        <v>335</v>
      </c>
      <c r="B1342" s="151">
        <v>793</v>
      </c>
      <c r="C1342" s="152" t="s">
        <v>70</v>
      </c>
      <c r="D1342" s="152" t="s">
        <v>309</v>
      </c>
      <c r="E1342" s="152"/>
      <c r="F1342" s="152"/>
      <c r="G1342" s="153">
        <f>G1343+G1353+G1357</f>
        <v>347290</v>
      </c>
      <c r="H1342" s="153">
        <f>H1343+H1353+H1357</f>
        <v>327290</v>
      </c>
      <c r="I1342" s="187"/>
      <c r="J1342" s="198"/>
      <c r="K1342" s="198"/>
      <c r="L1342" s="198"/>
      <c r="M1342" s="198"/>
      <c r="N1342" s="198"/>
      <c r="O1342" s="198"/>
      <c r="P1342" s="198"/>
      <c r="Q1342" s="198"/>
    </row>
    <row r="1343" spans="1:17" ht="51">
      <c r="A1343" s="81" t="s">
        <v>467</v>
      </c>
      <c r="B1343" s="145">
        <v>793</v>
      </c>
      <c r="C1343" s="83" t="s">
        <v>70</v>
      </c>
      <c r="D1343" s="83" t="s">
        <v>309</v>
      </c>
      <c r="E1343" s="83" t="s">
        <v>254</v>
      </c>
      <c r="F1343" s="83"/>
      <c r="G1343" s="86">
        <f>G1344+G1347+G1350</f>
        <v>186600</v>
      </c>
      <c r="H1343" s="86">
        <f t="shared" ref="H1343" si="328">H1344+H1347+H1350</f>
        <v>166600</v>
      </c>
      <c r="I1343" s="171"/>
    </row>
    <row r="1344" spans="1:17" ht="63.75" customHeight="1">
      <c r="A1344" s="81" t="s">
        <v>514</v>
      </c>
      <c r="B1344" s="145">
        <v>793</v>
      </c>
      <c r="C1344" s="83" t="s">
        <v>70</v>
      </c>
      <c r="D1344" s="83" t="s">
        <v>309</v>
      </c>
      <c r="E1344" s="83" t="s">
        <v>255</v>
      </c>
      <c r="F1344" s="83"/>
      <c r="G1344" s="86">
        <f t="shared" ref="G1344:H1345" si="329">G1345</f>
        <v>166600</v>
      </c>
      <c r="H1344" s="86">
        <f t="shared" si="329"/>
        <v>166600</v>
      </c>
      <c r="I1344" s="171"/>
    </row>
    <row r="1345" spans="1:9" ht="25.5">
      <c r="A1345" s="81" t="s">
        <v>452</v>
      </c>
      <c r="B1345" s="145">
        <v>793</v>
      </c>
      <c r="C1345" s="83" t="s">
        <v>70</v>
      </c>
      <c r="D1345" s="83" t="s">
        <v>309</v>
      </c>
      <c r="E1345" s="83" t="s">
        <v>255</v>
      </c>
      <c r="F1345" s="83" t="s">
        <v>37</v>
      </c>
      <c r="G1345" s="86">
        <f t="shared" si="329"/>
        <v>166600</v>
      </c>
      <c r="H1345" s="86">
        <f t="shared" si="329"/>
        <v>166600</v>
      </c>
      <c r="I1345" s="171"/>
    </row>
    <row r="1346" spans="1:9" ht="30.75" customHeight="1">
      <c r="A1346" s="81" t="s">
        <v>38</v>
      </c>
      <c r="B1346" s="145">
        <v>793</v>
      </c>
      <c r="C1346" s="83" t="s">
        <v>70</v>
      </c>
      <c r="D1346" s="83" t="s">
        <v>309</v>
      </c>
      <c r="E1346" s="83" t="s">
        <v>255</v>
      </c>
      <c r="F1346" s="83" t="s">
        <v>39</v>
      </c>
      <c r="G1346" s="86">
        <f>100000+66600</f>
        <v>166600</v>
      </c>
      <c r="H1346" s="86">
        <v>166600</v>
      </c>
      <c r="I1346" s="171"/>
    </row>
    <row r="1347" spans="1:9" ht="51">
      <c r="A1347" s="81" t="s">
        <v>415</v>
      </c>
      <c r="B1347" s="145">
        <v>793</v>
      </c>
      <c r="C1347" s="83" t="s">
        <v>70</v>
      </c>
      <c r="D1347" s="83" t="s">
        <v>309</v>
      </c>
      <c r="E1347" s="83" t="s">
        <v>414</v>
      </c>
      <c r="F1347" s="83"/>
      <c r="G1347" s="86">
        <f>G1348</f>
        <v>20000</v>
      </c>
      <c r="H1347" s="86">
        <f t="shared" ref="H1347" si="330">H1348</f>
        <v>0</v>
      </c>
      <c r="I1347" s="171"/>
    </row>
    <row r="1348" spans="1:9" ht="25.5">
      <c r="A1348" s="81" t="s">
        <v>38</v>
      </c>
      <c r="B1348" s="145">
        <v>793</v>
      </c>
      <c r="C1348" s="83" t="s">
        <v>70</v>
      </c>
      <c r="D1348" s="83" t="s">
        <v>309</v>
      </c>
      <c r="E1348" s="83" t="s">
        <v>414</v>
      </c>
      <c r="F1348" s="83" t="s">
        <v>37</v>
      </c>
      <c r="G1348" s="86">
        <f>G1349</f>
        <v>20000</v>
      </c>
      <c r="H1348" s="86">
        <f t="shared" ref="H1348" si="331">H1349</f>
        <v>0</v>
      </c>
      <c r="I1348" s="171"/>
    </row>
    <row r="1349" spans="1:9" ht="25.5">
      <c r="A1349" s="81" t="s">
        <v>38</v>
      </c>
      <c r="B1349" s="145">
        <v>793</v>
      </c>
      <c r="C1349" s="83" t="s">
        <v>70</v>
      </c>
      <c r="D1349" s="83" t="s">
        <v>309</v>
      </c>
      <c r="E1349" s="83" t="s">
        <v>414</v>
      </c>
      <c r="F1349" s="83" t="s">
        <v>39</v>
      </c>
      <c r="G1349" s="86">
        <v>20000</v>
      </c>
      <c r="H1349" s="84">
        <v>0</v>
      </c>
      <c r="I1349" s="172"/>
    </row>
    <row r="1350" spans="1:9" ht="46.5" hidden="1" customHeight="1">
      <c r="A1350" s="269" t="s">
        <v>494</v>
      </c>
      <c r="B1350" s="145">
        <v>793</v>
      </c>
      <c r="C1350" s="83" t="s">
        <v>70</v>
      </c>
      <c r="D1350" s="83" t="s">
        <v>309</v>
      </c>
      <c r="E1350" s="83" t="s">
        <v>777</v>
      </c>
      <c r="F1350" s="83"/>
      <c r="G1350" s="86">
        <f>G1351</f>
        <v>0</v>
      </c>
      <c r="H1350" s="86">
        <f t="shared" ref="H1350" si="332">H1351</f>
        <v>0</v>
      </c>
      <c r="I1350" s="171"/>
    </row>
    <row r="1351" spans="1:9" ht="25.5" hidden="1" customHeight="1">
      <c r="A1351" s="81" t="s">
        <v>323</v>
      </c>
      <c r="B1351" s="145">
        <v>793</v>
      </c>
      <c r="C1351" s="83" t="s">
        <v>70</v>
      </c>
      <c r="D1351" s="83" t="s">
        <v>309</v>
      </c>
      <c r="E1351" s="83" t="s">
        <v>777</v>
      </c>
      <c r="F1351" s="83" t="s">
        <v>37</v>
      </c>
      <c r="G1351" s="86">
        <f>G1352</f>
        <v>0</v>
      </c>
      <c r="H1351" s="86">
        <f>H1352</f>
        <v>0</v>
      </c>
      <c r="I1351" s="171"/>
    </row>
    <row r="1352" spans="1:9" ht="25.5" hidden="1" customHeight="1">
      <c r="A1352" s="81" t="s">
        <v>38</v>
      </c>
      <c r="B1352" s="145">
        <v>793</v>
      </c>
      <c r="C1352" s="83" t="s">
        <v>70</v>
      </c>
      <c r="D1352" s="83" t="s">
        <v>309</v>
      </c>
      <c r="E1352" s="83" t="s">
        <v>777</v>
      </c>
      <c r="F1352" s="83" t="s">
        <v>39</v>
      </c>
      <c r="G1352" s="86"/>
      <c r="H1352" s="86"/>
      <c r="I1352" s="171"/>
    </row>
    <row r="1353" spans="1:9" ht="38.25">
      <c r="A1353" s="81" t="s">
        <v>478</v>
      </c>
      <c r="B1353" s="145">
        <v>793</v>
      </c>
      <c r="C1353" s="83" t="s">
        <v>70</v>
      </c>
      <c r="D1353" s="83" t="s">
        <v>309</v>
      </c>
      <c r="E1353" s="83" t="s">
        <v>256</v>
      </c>
      <c r="F1353" s="83"/>
      <c r="G1353" s="86">
        <f t="shared" ref="G1353:H1355" si="333">G1354</f>
        <v>123000</v>
      </c>
      <c r="H1353" s="86">
        <f t="shared" si="333"/>
        <v>123000</v>
      </c>
      <c r="I1353" s="171"/>
    </row>
    <row r="1354" spans="1:9" ht="38.25">
      <c r="A1354" s="81" t="s">
        <v>336</v>
      </c>
      <c r="B1354" s="145">
        <v>793</v>
      </c>
      <c r="C1354" s="83" t="s">
        <v>70</v>
      </c>
      <c r="D1354" s="83" t="s">
        <v>309</v>
      </c>
      <c r="E1354" s="83" t="s">
        <v>257</v>
      </c>
      <c r="F1354" s="83"/>
      <c r="G1354" s="86">
        <f t="shared" si="333"/>
        <v>123000</v>
      </c>
      <c r="H1354" s="86">
        <f t="shared" si="333"/>
        <v>123000</v>
      </c>
      <c r="I1354" s="171"/>
    </row>
    <row r="1355" spans="1:9" ht="25.5">
      <c r="A1355" s="81" t="s">
        <v>452</v>
      </c>
      <c r="B1355" s="145">
        <v>793</v>
      </c>
      <c r="C1355" s="83" t="s">
        <v>70</v>
      </c>
      <c r="D1355" s="83" t="s">
        <v>309</v>
      </c>
      <c r="E1355" s="83" t="s">
        <v>257</v>
      </c>
      <c r="F1355" s="83" t="s">
        <v>37</v>
      </c>
      <c r="G1355" s="86">
        <f t="shared" si="333"/>
        <v>123000</v>
      </c>
      <c r="H1355" s="86">
        <f t="shared" si="333"/>
        <v>123000</v>
      </c>
      <c r="I1355" s="171"/>
    </row>
    <row r="1356" spans="1:9" ht="31.5" customHeight="1">
      <c r="A1356" s="81" t="s">
        <v>38</v>
      </c>
      <c r="B1356" s="145">
        <v>793</v>
      </c>
      <c r="C1356" s="83" t="s">
        <v>70</v>
      </c>
      <c r="D1356" s="83" t="s">
        <v>309</v>
      </c>
      <c r="E1356" s="83" t="s">
        <v>257</v>
      </c>
      <c r="F1356" s="83" t="s">
        <v>39</v>
      </c>
      <c r="G1356" s="86">
        <v>123000</v>
      </c>
      <c r="H1356" s="86">
        <v>123000</v>
      </c>
      <c r="I1356" s="171"/>
    </row>
    <row r="1357" spans="1:9" ht="28.5" customHeight="1">
      <c r="A1357" s="154" t="s">
        <v>169</v>
      </c>
      <c r="B1357" s="145">
        <v>793</v>
      </c>
      <c r="C1357" s="83" t="s">
        <v>70</v>
      </c>
      <c r="D1357" s="83" t="s">
        <v>309</v>
      </c>
      <c r="E1357" s="83" t="s">
        <v>233</v>
      </c>
      <c r="F1357" s="83"/>
      <c r="G1357" s="86">
        <f>G1358</f>
        <v>37690</v>
      </c>
      <c r="H1357" s="86">
        <f t="shared" ref="H1357" si="334">H1359</f>
        <v>37690</v>
      </c>
      <c r="I1357" s="171"/>
    </row>
    <row r="1358" spans="1:9" ht="28.5" customHeight="1">
      <c r="A1358" s="135" t="s">
        <v>169</v>
      </c>
      <c r="B1358" s="145">
        <v>793</v>
      </c>
      <c r="C1358" s="83" t="s">
        <v>70</v>
      </c>
      <c r="D1358" s="83" t="s">
        <v>309</v>
      </c>
      <c r="E1358" s="83" t="s">
        <v>275</v>
      </c>
      <c r="F1358" s="83"/>
      <c r="G1358" s="86">
        <f>G1359</f>
        <v>37690</v>
      </c>
      <c r="H1358" s="86">
        <f>H1359</f>
        <v>37690</v>
      </c>
      <c r="I1358" s="171"/>
    </row>
    <row r="1359" spans="1:9" ht="25.5">
      <c r="A1359" s="81" t="s">
        <v>323</v>
      </c>
      <c r="B1359" s="145">
        <v>793</v>
      </c>
      <c r="C1359" s="83" t="s">
        <v>70</v>
      </c>
      <c r="D1359" s="83" t="s">
        <v>309</v>
      </c>
      <c r="E1359" s="83" t="s">
        <v>275</v>
      </c>
      <c r="F1359" s="83" t="s">
        <v>37</v>
      </c>
      <c r="G1359" s="86">
        <f>G1360</f>
        <v>37690</v>
      </c>
      <c r="H1359" s="86">
        <f>H1360</f>
        <v>37690</v>
      </c>
      <c r="I1359" s="171"/>
    </row>
    <row r="1360" spans="1:9" ht="25.5">
      <c r="A1360" s="81" t="s">
        <v>38</v>
      </c>
      <c r="B1360" s="145">
        <v>793</v>
      </c>
      <c r="C1360" s="83" t="s">
        <v>70</v>
      </c>
      <c r="D1360" s="83" t="s">
        <v>309</v>
      </c>
      <c r="E1360" s="83" t="s">
        <v>275</v>
      </c>
      <c r="F1360" s="83" t="s">
        <v>39</v>
      </c>
      <c r="G1360" s="86">
        <v>37690</v>
      </c>
      <c r="H1360" s="86">
        <v>37690</v>
      </c>
      <c r="I1360" s="171"/>
    </row>
    <row r="1361" spans="1:17">
      <c r="A1361" s="252" t="s">
        <v>86</v>
      </c>
      <c r="B1361" s="253">
        <v>793</v>
      </c>
      <c r="C1361" s="254" t="s">
        <v>54</v>
      </c>
      <c r="D1361" s="254"/>
      <c r="E1361" s="254"/>
      <c r="F1361" s="254"/>
      <c r="G1361" s="251">
        <f>G1367+G1427+G1382+G1362</f>
        <v>52760228.289999999</v>
      </c>
      <c r="H1361" s="251">
        <f>H1367+H1427+H1382+H1362</f>
        <v>49263549.390000001</v>
      </c>
      <c r="I1361" s="182"/>
      <c r="J1361" s="182"/>
      <c r="K1361" s="182"/>
      <c r="L1361" s="182"/>
      <c r="M1361" s="182"/>
      <c r="N1361" s="182"/>
      <c r="O1361" s="200"/>
      <c r="P1361" s="200"/>
    </row>
    <row r="1362" spans="1:17" hidden="1">
      <c r="A1362" s="262" t="s">
        <v>783</v>
      </c>
      <c r="B1362" s="82">
        <v>793</v>
      </c>
      <c r="C1362" s="143" t="s">
        <v>54</v>
      </c>
      <c r="D1362" s="143" t="s">
        <v>173</v>
      </c>
      <c r="E1362" s="254"/>
      <c r="F1362" s="254"/>
      <c r="G1362" s="92">
        <f>G1364</f>
        <v>0</v>
      </c>
      <c r="H1362" s="92">
        <f t="shared" ref="H1362" si="335">H1364</f>
        <v>0</v>
      </c>
      <c r="I1362" s="186"/>
    </row>
    <row r="1363" spans="1:17" ht="30" hidden="1" customHeight="1">
      <c r="A1363" s="135" t="s">
        <v>708</v>
      </c>
      <c r="B1363" s="145">
        <v>793</v>
      </c>
      <c r="C1363" s="83" t="s">
        <v>54</v>
      </c>
      <c r="D1363" s="83" t="s">
        <v>88</v>
      </c>
      <c r="E1363" s="145" t="s">
        <v>242</v>
      </c>
      <c r="F1363" s="145"/>
      <c r="G1363" s="86">
        <f>G1364</f>
        <v>0</v>
      </c>
      <c r="H1363" s="86">
        <f t="shared" ref="H1363" si="336">H1364</f>
        <v>0</v>
      </c>
      <c r="I1363" s="171"/>
    </row>
    <row r="1364" spans="1:17" ht="40.5" hidden="1" customHeight="1">
      <c r="A1364" s="81" t="s">
        <v>782</v>
      </c>
      <c r="B1364" s="145">
        <v>793</v>
      </c>
      <c r="C1364" s="83" t="s">
        <v>54</v>
      </c>
      <c r="D1364" s="83" t="s">
        <v>173</v>
      </c>
      <c r="E1364" s="145" t="s">
        <v>637</v>
      </c>
      <c r="F1364" s="145"/>
      <c r="G1364" s="86">
        <f>G1365</f>
        <v>0</v>
      </c>
      <c r="H1364" s="86">
        <f>H1366</f>
        <v>0</v>
      </c>
      <c r="I1364" s="171"/>
    </row>
    <row r="1365" spans="1:17" hidden="1">
      <c r="A1365" s="81" t="s">
        <v>63</v>
      </c>
      <c r="B1365" s="145">
        <v>793</v>
      </c>
      <c r="C1365" s="83" t="s">
        <v>54</v>
      </c>
      <c r="D1365" s="83" t="s">
        <v>173</v>
      </c>
      <c r="E1365" s="145" t="s">
        <v>637</v>
      </c>
      <c r="F1365" s="145">
        <v>800</v>
      </c>
      <c r="G1365" s="86">
        <f t="shared" ref="G1365:H1365" si="337">G1366</f>
        <v>0</v>
      </c>
      <c r="H1365" s="86">
        <f t="shared" si="337"/>
        <v>0</v>
      </c>
      <c r="I1365" s="171"/>
    </row>
    <row r="1366" spans="1:17" ht="48" hidden="1" customHeight="1">
      <c r="A1366" s="81" t="s">
        <v>431</v>
      </c>
      <c r="B1366" s="145">
        <v>793</v>
      </c>
      <c r="C1366" s="83" t="s">
        <v>54</v>
      </c>
      <c r="D1366" s="83" t="s">
        <v>173</v>
      </c>
      <c r="E1366" s="145" t="s">
        <v>637</v>
      </c>
      <c r="F1366" s="145">
        <v>810</v>
      </c>
      <c r="G1366" s="86"/>
      <c r="H1366" s="84">
        <v>0</v>
      </c>
      <c r="I1366" s="172"/>
    </row>
    <row r="1367" spans="1:17" s="46" customFormat="1" ht="16.5" customHeight="1">
      <c r="A1367" s="81" t="s">
        <v>342</v>
      </c>
      <c r="B1367" s="145">
        <v>793</v>
      </c>
      <c r="C1367" s="83" t="s">
        <v>54</v>
      </c>
      <c r="D1367" s="83" t="s">
        <v>44</v>
      </c>
      <c r="E1367" s="83"/>
      <c r="F1367" s="83"/>
      <c r="G1367" s="86">
        <f>G1369</f>
        <v>7056128.1399999997</v>
      </c>
      <c r="H1367" s="86">
        <f>H1369</f>
        <v>6817106.0199999996</v>
      </c>
      <c r="I1367" s="171"/>
      <c r="J1367" s="213"/>
      <c r="K1367" s="213"/>
      <c r="L1367" s="213"/>
      <c r="M1367" s="213"/>
      <c r="N1367" s="213"/>
      <c r="O1367" s="213"/>
      <c r="P1367" s="213"/>
      <c r="Q1367" s="213"/>
    </row>
    <row r="1368" spans="1:17" s="18" customFormat="1" ht="27" customHeight="1">
      <c r="A1368" s="81" t="s">
        <v>484</v>
      </c>
      <c r="B1368" s="145">
        <v>793</v>
      </c>
      <c r="C1368" s="83" t="s">
        <v>54</v>
      </c>
      <c r="D1368" s="83" t="s">
        <v>44</v>
      </c>
      <c r="E1368" s="83" t="s">
        <v>234</v>
      </c>
      <c r="F1368" s="83"/>
      <c r="G1368" s="86">
        <f>G1369</f>
        <v>7056128.1399999997</v>
      </c>
      <c r="H1368" s="86">
        <f t="shared" ref="H1368" si="338">H1369</f>
        <v>6817106.0199999996</v>
      </c>
      <c r="I1368" s="171"/>
      <c r="J1368" s="191"/>
      <c r="K1368" s="191"/>
      <c r="L1368" s="191"/>
      <c r="M1368" s="191"/>
      <c r="N1368" s="191"/>
      <c r="O1368" s="191"/>
      <c r="P1368" s="191"/>
      <c r="Q1368" s="191"/>
    </row>
    <row r="1369" spans="1:17" s="46" customFormat="1" ht="18" customHeight="1">
      <c r="A1369" s="81" t="s">
        <v>343</v>
      </c>
      <c r="B1369" s="145">
        <v>793</v>
      </c>
      <c r="C1369" s="83" t="s">
        <v>54</v>
      </c>
      <c r="D1369" s="83" t="s">
        <v>44</v>
      </c>
      <c r="E1369" s="83" t="s">
        <v>97</v>
      </c>
      <c r="F1369" s="83"/>
      <c r="G1369" s="86">
        <f>G1370+G1373+G1376+G1379</f>
        <v>7056128.1399999997</v>
      </c>
      <c r="H1369" s="86">
        <f>H1370+H1373+H1376+H1379</f>
        <v>6817106.0199999996</v>
      </c>
      <c r="I1369" s="171"/>
      <c r="J1369" s="213"/>
      <c r="K1369" s="213"/>
      <c r="L1369" s="213"/>
      <c r="M1369" s="213"/>
      <c r="N1369" s="213"/>
      <c r="O1369" s="213"/>
      <c r="P1369" s="213"/>
      <c r="Q1369" s="213"/>
    </row>
    <row r="1370" spans="1:17" s="46" customFormat="1" ht="26.25" customHeight="1">
      <c r="A1370" s="81" t="s">
        <v>338</v>
      </c>
      <c r="B1370" s="145">
        <v>793</v>
      </c>
      <c r="C1370" s="83" t="s">
        <v>54</v>
      </c>
      <c r="D1370" s="83" t="s">
        <v>44</v>
      </c>
      <c r="E1370" s="83" t="s">
        <v>337</v>
      </c>
      <c r="F1370" s="83"/>
      <c r="G1370" s="86">
        <f t="shared" ref="G1370:H1377" si="339">G1371</f>
        <v>1719320.76</v>
      </c>
      <c r="H1370" s="86">
        <f t="shared" si="339"/>
        <v>1480434.5</v>
      </c>
      <c r="I1370" s="171"/>
      <c r="J1370" s="213"/>
      <c r="K1370" s="213"/>
      <c r="L1370" s="213"/>
      <c r="M1370" s="213"/>
      <c r="N1370" s="213"/>
      <c r="O1370" s="213"/>
      <c r="P1370" s="213"/>
      <c r="Q1370" s="213"/>
    </row>
    <row r="1371" spans="1:17" s="46" customFormat="1" ht="27.75" customHeight="1">
      <c r="A1371" s="81" t="s">
        <v>452</v>
      </c>
      <c r="B1371" s="145">
        <v>793</v>
      </c>
      <c r="C1371" s="83" t="s">
        <v>54</v>
      </c>
      <c r="D1371" s="83" t="s">
        <v>44</v>
      </c>
      <c r="E1371" s="83" t="s">
        <v>337</v>
      </c>
      <c r="F1371" s="83" t="s">
        <v>37</v>
      </c>
      <c r="G1371" s="86">
        <f t="shared" si="339"/>
        <v>1719320.76</v>
      </c>
      <c r="H1371" s="86">
        <f t="shared" si="339"/>
        <v>1480434.5</v>
      </c>
      <c r="I1371" s="171"/>
      <c r="J1371" s="213"/>
      <c r="K1371" s="213"/>
      <c r="L1371" s="213"/>
      <c r="M1371" s="213"/>
      <c r="N1371" s="213"/>
      <c r="O1371" s="213"/>
      <c r="P1371" s="213"/>
      <c r="Q1371" s="213"/>
    </row>
    <row r="1372" spans="1:17" s="46" customFormat="1" ht="31.5" customHeight="1">
      <c r="A1372" s="81" t="s">
        <v>38</v>
      </c>
      <c r="B1372" s="145">
        <v>793</v>
      </c>
      <c r="C1372" s="83" t="s">
        <v>54</v>
      </c>
      <c r="D1372" s="83" t="s">
        <v>44</v>
      </c>
      <c r="E1372" s="83" t="s">
        <v>337</v>
      </c>
      <c r="F1372" s="83" t="s">
        <v>39</v>
      </c>
      <c r="G1372" s="86">
        <f>1929435-1067361.47+857247.23</f>
        <v>1719320.76</v>
      </c>
      <c r="H1372" s="86">
        <v>1480434.5</v>
      </c>
      <c r="I1372" s="171"/>
      <c r="J1372" s="213"/>
      <c r="K1372" s="213"/>
      <c r="L1372" s="213"/>
      <c r="M1372" s="213"/>
      <c r="N1372" s="213"/>
      <c r="O1372" s="213"/>
      <c r="P1372" s="213"/>
      <c r="Q1372" s="213"/>
    </row>
    <row r="1373" spans="1:17" s="46" customFormat="1" ht="75" hidden="1" customHeight="1">
      <c r="A1373" s="81" t="s">
        <v>702</v>
      </c>
      <c r="B1373" s="145">
        <v>793</v>
      </c>
      <c r="C1373" s="83" t="s">
        <v>54</v>
      </c>
      <c r="D1373" s="83" t="s">
        <v>44</v>
      </c>
      <c r="E1373" s="83" t="s">
        <v>701</v>
      </c>
      <c r="F1373" s="83"/>
      <c r="G1373" s="86">
        <f t="shared" si="339"/>
        <v>0</v>
      </c>
      <c r="H1373" s="86">
        <f t="shared" si="339"/>
        <v>0</v>
      </c>
      <c r="I1373" s="171"/>
      <c r="J1373" s="213"/>
      <c r="K1373" s="213"/>
      <c r="L1373" s="213"/>
      <c r="M1373" s="213"/>
      <c r="N1373" s="213"/>
      <c r="O1373" s="213"/>
      <c r="P1373" s="213"/>
      <c r="Q1373" s="213"/>
    </row>
    <row r="1374" spans="1:17" s="46" customFormat="1" ht="27.75" hidden="1" customHeight="1">
      <c r="A1374" s="81" t="s">
        <v>452</v>
      </c>
      <c r="B1374" s="145">
        <v>793</v>
      </c>
      <c r="C1374" s="83" t="s">
        <v>54</v>
      </c>
      <c r="D1374" s="83" t="s">
        <v>44</v>
      </c>
      <c r="E1374" s="83" t="s">
        <v>701</v>
      </c>
      <c r="F1374" s="83" t="s">
        <v>64</v>
      </c>
      <c r="G1374" s="86">
        <f t="shared" si="339"/>
        <v>0</v>
      </c>
      <c r="H1374" s="86">
        <f t="shared" si="339"/>
        <v>0</v>
      </c>
      <c r="I1374" s="171"/>
      <c r="J1374" s="213"/>
      <c r="K1374" s="213"/>
      <c r="L1374" s="213"/>
      <c r="M1374" s="213"/>
      <c r="N1374" s="213"/>
      <c r="O1374" s="213"/>
      <c r="P1374" s="213"/>
      <c r="Q1374" s="213"/>
    </row>
    <row r="1375" spans="1:17" s="46" customFormat="1" ht="31.5" hidden="1" customHeight="1">
      <c r="A1375" s="81" t="s">
        <v>38</v>
      </c>
      <c r="B1375" s="145">
        <v>793</v>
      </c>
      <c r="C1375" s="83" t="s">
        <v>54</v>
      </c>
      <c r="D1375" s="83" t="s">
        <v>44</v>
      </c>
      <c r="E1375" s="83" t="s">
        <v>701</v>
      </c>
      <c r="F1375" s="83" t="s">
        <v>341</v>
      </c>
      <c r="G1375" s="86"/>
      <c r="H1375" s="86"/>
      <c r="I1375" s="171"/>
      <c r="J1375" s="213"/>
      <c r="K1375" s="213"/>
      <c r="L1375" s="213"/>
      <c r="M1375" s="213"/>
      <c r="N1375" s="213"/>
      <c r="O1375" s="213"/>
      <c r="P1375" s="213"/>
      <c r="Q1375" s="213"/>
    </row>
    <row r="1376" spans="1:17" s="46" customFormat="1" ht="75" hidden="1" customHeight="1">
      <c r="A1376" s="81" t="s">
        <v>776</v>
      </c>
      <c r="B1376" s="145">
        <v>793</v>
      </c>
      <c r="C1376" s="83" t="s">
        <v>54</v>
      </c>
      <c r="D1376" s="83" t="s">
        <v>44</v>
      </c>
      <c r="E1376" s="83" t="s">
        <v>775</v>
      </c>
      <c r="F1376" s="83"/>
      <c r="G1376" s="86">
        <f t="shared" si="339"/>
        <v>0</v>
      </c>
      <c r="H1376" s="86">
        <f t="shared" si="339"/>
        <v>0</v>
      </c>
      <c r="I1376" s="171"/>
      <c r="J1376" s="213"/>
      <c r="K1376" s="213"/>
      <c r="L1376" s="213"/>
      <c r="M1376" s="213"/>
      <c r="N1376" s="213"/>
      <c r="O1376" s="213"/>
      <c r="P1376" s="213"/>
      <c r="Q1376" s="213"/>
    </row>
    <row r="1377" spans="1:17" s="46" customFormat="1" ht="27.75" hidden="1" customHeight="1">
      <c r="A1377" s="81" t="s">
        <v>452</v>
      </c>
      <c r="B1377" s="145">
        <v>793</v>
      </c>
      <c r="C1377" s="83" t="s">
        <v>54</v>
      </c>
      <c r="D1377" s="83" t="s">
        <v>44</v>
      </c>
      <c r="E1377" s="83" t="s">
        <v>775</v>
      </c>
      <c r="F1377" s="83" t="s">
        <v>37</v>
      </c>
      <c r="G1377" s="86">
        <f t="shared" si="339"/>
        <v>0</v>
      </c>
      <c r="H1377" s="86">
        <f t="shared" si="339"/>
        <v>0</v>
      </c>
      <c r="I1377" s="171"/>
      <c r="J1377" s="213"/>
      <c r="K1377" s="213"/>
      <c r="L1377" s="213"/>
      <c r="M1377" s="213"/>
      <c r="N1377" s="213"/>
      <c r="O1377" s="213"/>
      <c r="P1377" s="213"/>
      <c r="Q1377" s="213"/>
    </row>
    <row r="1378" spans="1:17" s="46" customFormat="1" ht="31.5" hidden="1" customHeight="1">
      <c r="A1378" s="81" t="s">
        <v>38</v>
      </c>
      <c r="B1378" s="145">
        <v>793</v>
      </c>
      <c r="C1378" s="83" t="s">
        <v>54</v>
      </c>
      <c r="D1378" s="83" t="s">
        <v>44</v>
      </c>
      <c r="E1378" s="83" t="s">
        <v>775</v>
      </c>
      <c r="F1378" s="83" t="s">
        <v>39</v>
      </c>
      <c r="G1378" s="86"/>
      <c r="H1378" s="86"/>
      <c r="I1378" s="171"/>
      <c r="J1378" s="213"/>
      <c r="K1378" s="213"/>
      <c r="L1378" s="213"/>
      <c r="M1378" s="213"/>
      <c r="N1378" s="213"/>
      <c r="O1378" s="213"/>
      <c r="P1378" s="213"/>
      <c r="Q1378" s="213"/>
    </row>
    <row r="1379" spans="1:17" s="46" customFormat="1" ht="42" customHeight="1">
      <c r="A1379" s="81" t="s">
        <v>1038</v>
      </c>
      <c r="B1379" s="145">
        <v>793</v>
      </c>
      <c r="C1379" s="83" t="s">
        <v>54</v>
      </c>
      <c r="D1379" s="83" t="s">
        <v>44</v>
      </c>
      <c r="E1379" s="83" t="s">
        <v>1039</v>
      </c>
      <c r="F1379" s="83"/>
      <c r="G1379" s="86">
        <f>G1380</f>
        <v>5336807.38</v>
      </c>
      <c r="H1379" s="86">
        <f>H1380</f>
        <v>5336671.5199999996</v>
      </c>
      <c r="I1379" s="171"/>
      <c r="J1379" s="213"/>
      <c r="K1379" s="213"/>
      <c r="L1379" s="213"/>
      <c r="M1379" s="213"/>
      <c r="N1379" s="213"/>
      <c r="O1379" s="213"/>
      <c r="P1379" s="213"/>
      <c r="Q1379" s="213"/>
    </row>
    <row r="1380" spans="1:17" s="46" customFormat="1" ht="31.5" customHeight="1">
      <c r="A1380" s="81" t="s">
        <v>452</v>
      </c>
      <c r="B1380" s="145">
        <v>793</v>
      </c>
      <c r="C1380" s="83" t="s">
        <v>54</v>
      </c>
      <c r="D1380" s="83" t="s">
        <v>44</v>
      </c>
      <c r="E1380" s="83" t="s">
        <v>1039</v>
      </c>
      <c r="F1380" s="83" t="s">
        <v>37</v>
      </c>
      <c r="G1380" s="86">
        <f>G1381</f>
        <v>5336807.38</v>
      </c>
      <c r="H1380" s="86">
        <f>H1381</f>
        <v>5336671.5199999996</v>
      </c>
      <c r="I1380" s="171"/>
      <c r="J1380" s="213"/>
      <c r="K1380" s="213"/>
      <c r="L1380" s="213"/>
      <c r="M1380" s="213"/>
      <c r="N1380" s="213"/>
      <c r="O1380" s="213"/>
      <c r="P1380" s="213"/>
      <c r="Q1380" s="213"/>
    </row>
    <row r="1381" spans="1:17" s="46" customFormat="1" ht="31.5" customHeight="1">
      <c r="A1381" s="81" t="s">
        <v>38</v>
      </c>
      <c r="B1381" s="145">
        <v>793</v>
      </c>
      <c r="C1381" s="83" t="s">
        <v>54</v>
      </c>
      <c r="D1381" s="83" t="s">
        <v>44</v>
      </c>
      <c r="E1381" s="83" t="s">
        <v>1039</v>
      </c>
      <c r="F1381" s="83" t="s">
        <v>39</v>
      </c>
      <c r="G1381" s="86">
        <v>5336807.38</v>
      </c>
      <c r="H1381" s="86">
        <v>5336671.5199999996</v>
      </c>
      <c r="I1381" s="171"/>
      <c r="J1381" s="213"/>
      <c r="K1381" s="213"/>
      <c r="L1381" s="213"/>
      <c r="M1381" s="213"/>
      <c r="N1381" s="213"/>
      <c r="O1381" s="213"/>
      <c r="P1381" s="213"/>
      <c r="Q1381" s="213"/>
    </row>
    <row r="1382" spans="1:17" ht="19.5" customHeight="1">
      <c r="A1382" s="81" t="s">
        <v>172</v>
      </c>
      <c r="B1382" s="145">
        <v>793</v>
      </c>
      <c r="C1382" s="83" t="s">
        <v>54</v>
      </c>
      <c r="D1382" s="83" t="s">
        <v>123</v>
      </c>
      <c r="E1382" s="83"/>
      <c r="F1382" s="83"/>
      <c r="G1382" s="69">
        <f>G1415+G1383+G1419</f>
        <v>44096617.710000001</v>
      </c>
      <c r="H1382" s="69">
        <f>H1415+H1383+H1419</f>
        <v>40889010.93</v>
      </c>
      <c r="I1382" s="171"/>
    </row>
    <row r="1383" spans="1:17" s="18" customFormat="1" ht="27" customHeight="1">
      <c r="A1383" s="81" t="s">
        <v>484</v>
      </c>
      <c r="B1383" s="145">
        <v>793</v>
      </c>
      <c r="C1383" s="83" t="s">
        <v>54</v>
      </c>
      <c r="D1383" s="83" t="s">
        <v>123</v>
      </c>
      <c r="E1383" s="83" t="s">
        <v>234</v>
      </c>
      <c r="F1383" s="83"/>
      <c r="G1383" s="86">
        <f>G1384+G1401+G1397+G1411+G1407</f>
        <v>43324617.710000001</v>
      </c>
      <c r="H1383" s="86">
        <f>H1384+H1401+H1397+H1411+H1407</f>
        <v>40117010.93</v>
      </c>
      <c r="I1383" s="171"/>
      <c r="J1383" s="171"/>
      <c r="K1383" s="171"/>
      <c r="L1383" s="171"/>
      <c r="M1383" s="171"/>
      <c r="N1383" s="171"/>
      <c r="O1383" s="191"/>
      <c r="P1383" s="206"/>
      <c r="Q1383" s="191"/>
    </row>
    <row r="1384" spans="1:17" s="18" customFormat="1" ht="86.25" customHeight="1">
      <c r="A1384" s="81" t="s">
        <v>897</v>
      </c>
      <c r="B1384" s="145">
        <v>793</v>
      </c>
      <c r="C1384" s="83" t="s">
        <v>54</v>
      </c>
      <c r="D1384" s="83" t="s">
        <v>123</v>
      </c>
      <c r="E1384" s="83" t="s">
        <v>101</v>
      </c>
      <c r="F1384" s="83"/>
      <c r="G1384" s="86">
        <f>G1385+G1393+G1388+G1394</f>
        <v>28645069.710000001</v>
      </c>
      <c r="H1384" s="86">
        <f>H1385+H1393+H1388+H1394</f>
        <v>25437463.329999998</v>
      </c>
      <c r="I1384" s="171"/>
      <c r="J1384" s="191"/>
      <c r="K1384" s="191"/>
      <c r="L1384" s="191"/>
      <c r="M1384" s="191"/>
      <c r="N1384" s="191"/>
      <c r="O1384" s="191"/>
      <c r="P1384" s="191"/>
      <c r="Q1384" s="191"/>
    </row>
    <row r="1385" spans="1:17" s="18" customFormat="1" ht="76.5" customHeight="1">
      <c r="A1385" s="129" t="s">
        <v>1012</v>
      </c>
      <c r="B1385" s="145">
        <v>793</v>
      </c>
      <c r="C1385" s="83" t="s">
        <v>54</v>
      </c>
      <c r="D1385" s="83" t="s">
        <v>123</v>
      </c>
      <c r="E1385" s="83" t="s">
        <v>901</v>
      </c>
      <c r="F1385" s="83"/>
      <c r="G1385" s="86">
        <f t="shared" ref="G1385:H1392" si="340">G1386</f>
        <v>26096069.710000001</v>
      </c>
      <c r="H1385" s="86">
        <f t="shared" si="340"/>
        <v>25388463.329999998</v>
      </c>
      <c r="I1385" s="171"/>
      <c r="J1385" s="191"/>
      <c r="K1385" s="191"/>
      <c r="L1385" s="191"/>
      <c r="M1385" s="191"/>
      <c r="N1385" s="191"/>
      <c r="O1385" s="191"/>
      <c r="P1385" s="191"/>
      <c r="Q1385" s="191"/>
    </row>
    <row r="1386" spans="1:17" s="18" customFormat="1" ht="15" customHeight="1">
      <c r="A1386" s="81" t="s">
        <v>323</v>
      </c>
      <c r="B1386" s="145">
        <v>793</v>
      </c>
      <c r="C1386" s="83" t="s">
        <v>54</v>
      </c>
      <c r="D1386" s="83" t="s">
        <v>123</v>
      </c>
      <c r="E1386" s="83" t="s">
        <v>901</v>
      </c>
      <c r="F1386" s="83" t="s">
        <v>37</v>
      </c>
      <c r="G1386" s="86">
        <f t="shared" si="340"/>
        <v>26096069.710000001</v>
      </c>
      <c r="H1386" s="86">
        <f t="shared" si="340"/>
        <v>25388463.329999998</v>
      </c>
      <c r="I1386" s="171"/>
      <c r="J1386" s="191"/>
      <c r="K1386" s="191"/>
      <c r="L1386" s="191"/>
      <c r="M1386" s="191"/>
      <c r="N1386" s="191"/>
      <c r="O1386" s="191"/>
      <c r="P1386" s="191"/>
      <c r="Q1386" s="191"/>
    </row>
    <row r="1387" spans="1:17" s="18" customFormat="1" ht="32.25" customHeight="1">
      <c r="A1387" s="81" t="s">
        <v>38</v>
      </c>
      <c r="B1387" s="145">
        <v>793</v>
      </c>
      <c r="C1387" s="83" t="s">
        <v>54</v>
      </c>
      <c r="D1387" s="83" t="s">
        <v>123</v>
      </c>
      <c r="E1387" s="83" t="s">
        <v>901</v>
      </c>
      <c r="F1387" s="83" t="s">
        <v>39</v>
      </c>
      <c r="G1387" s="86">
        <f>25132443.71+350000+613626</f>
        <v>26096069.710000001</v>
      </c>
      <c r="H1387" s="86">
        <v>25388463.329999998</v>
      </c>
      <c r="I1387" s="171"/>
      <c r="J1387" s="191"/>
      <c r="K1387" s="191"/>
      <c r="L1387" s="191"/>
      <c r="M1387" s="191"/>
      <c r="N1387" s="191"/>
      <c r="O1387" s="191"/>
      <c r="P1387" s="191"/>
      <c r="Q1387" s="191"/>
    </row>
    <row r="1388" spans="1:17" s="18" customFormat="1" ht="42.6" customHeight="1">
      <c r="A1388" s="129" t="s">
        <v>1014</v>
      </c>
      <c r="B1388" s="145">
        <v>793</v>
      </c>
      <c r="C1388" s="83" t="s">
        <v>54</v>
      </c>
      <c r="D1388" s="83" t="s">
        <v>123</v>
      </c>
      <c r="E1388" s="83" t="s">
        <v>1013</v>
      </c>
      <c r="F1388" s="83"/>
      <c r="G1388" s="86">
        <f>G1389</f>
        <v>49000</v>
      </c>
      <c r="H1388" s="86">
        <f>H1389</f>
        <v>49000</v>
      </c>
      <c r="I1388" s="171"/>
      <c r="J1388" s="191"/>
      <c r="K1388" s="191"/>
      <c r="L1388" s="191"/>
      <c r="M1388" s="191"/>
      <c r="N1388" s="191"/>
      <c r="O1388" s="191"/>
      <c r="P1388" s="191"/>
      <c r="Q1388" s="191"/>
    </row>
    <row r="1389" spans="1:17" s="18" customFormat="1" ht="40.5" customHeight="1">
      <c r="A1389" s="81" t="s">
        <v>38</v>
      </c>
      <c r="B1389" s="145">
        <v>793</v>
      </c>
      <c r="C1389" s="83" t="s">
        <v>54</v>
      </c>
      <c r="D1389" s="83" t="s">
        <v>123</v>
      </c>
      <c r="E1389" s="83" t="s">
        <v>1013</v>
      </c>
      <c r="F1389" s="83" t="s">
        <v>39</v>
      </c>
      <c r="G1389" s="86">
        <v>49000</v>
      </c>
      <c r="H1389" s="86">
        <v>49000</v>
      </c>
      <c r="I1389" s="171"/>
      <c r="J1389" s="191"/>
      <c r="K1389" s="191"/>
      <c r="L1389" s="191"/>
      <c r="M1389" s="191"/>
      <c r="N1389" s="191"/>
      <c r="O1389" s="191"/>
      <c r="P1389" s="191"/>
      <c r="Q1389" s="191"/>
    </row>
    <row r="1390" spans="1:17" s="18" customFormat="1" ht="38.450000000000003" hidden="1" customHeight="1">
      <c r="A1390" s="81"/>
      <c r="B1390" s="145"/>
      <c r="C1390" s="83"/>
      <c r="D1390" s="83"/>
      <c r="E1390" s="83"/>
      <c r="F1390" s="83"/>
      <c r="G1390" s="86"/>
      <c r="H1390" s="86"/>
      <c r="I1390" s="171"/>
      <c r="J1390" s="191"/>
      <c r="K1390" s="191"/>
      <c r="L1390" s="191"/>
      <c r="M1390" s="191"/>
      <c r="N1390" s="191"/>
      <c r="O1390" s="191"/>
      <c r="P1390" s="191"/>
      <c r="Q1390" s="191"/>
    </row>
    <row r="1391" spans="1:17" s="18" customFormat="1" ht="76.5" hidden="1" customHeight="1">
      <c r="A1391" s="129" t="s">
        <v>1011</v>
      </c>
      <c r="B1391" s="145">
        <v>793</v>
      </c>
      <c r="C1391" s="83" t="s">
        <v>54</v>
      </c>
      <c r="D1391" s="83" t="s">
        <v>123</v>
      </c>
      <c r="E1391" s="83" t="s">
        <v>997</v>
      </c>
      <c r="F1391" s="83"/>
      <c r="G1391" s="86">
        <f t="shared" si="340"/>
        <v>0</v>
      </c>
      <c r="H1391" s="86">
        <f t="shared" si="340"/>
        <v>0</v>
      </c>
      <c r="I1391" s="171"/>
      <c r="J1391" s="191"/>
      <c r="K1391" s="191"/>
      <c r="L1391" s="191"/>
      <c r="M1391" s="191"/>
      <c r="N1391" s="191"/>
      <c r="O1391" s="191"/>
      <c r="P1391" s="191"/>
      <c r="Q1391" s="191"/>
    </row>
    <row r="1392" spans="1:17" s="18" customFormat="1" ht="15" hidden="1" customHeight="1">
      <c r="A1392" s="81" t="s">
        <v>323</v>
      </c>
      <c r="B1392" s="145">
        <v>793</v>
      </c>
      <c r="C1392" s="83" t="s">
        <v>54</v>
      </c>
      <c r="D1392" s="83" t="s">
        <v>123</v>
      </c>
      <c r="E1392" s="83" t="s">
        <v>997</v>
      </c>
      <c r="F1392" s="83" t="s">
        <v>37</v>
      </c>
      <c r="G1392" s="86">
        <f t="shared" si="340"/>
        <v>0</v>
      </c>
      <c r="H1392" s="86">
        <f t="shared" si="340"/>
        <v>0</v>
      </c>
      <c r="I1392" s="171"/>
      <c r="J1392" s="191"/>
      <c r="K1392" s="191"/>
      <c r="L1392" s="191"/>
      <c r="M1392" s="191"/>
      <c r="N1392" s="191"/>
      <c r="O1392" s="191"/>
      <c r="P1392" s="191"/>
      <c r="Q1392" s="191"/>
    </row>
    <row r="1393" spans="1:17" s="18" customFormat="1" ht="32.25" hidden="1" customHeight="1">
      <c r="A1393" s="81" t="s">
        <v>38</v>
      </c>
      <c r="B1393" s="145">
        <v>793</v>
      </c>
      <c r="C1393" s="83" t="s">
        <v>54</v>
      </c>
      <c r="D1393" s="83" t="s">
        <v>123</v>
      </c>
      <c r="E1393" s="83" t="s">
        <v>997</v>
      </c>
      <c r="F1393" s="83" t="s">
        <v>39</v>
      </c>
      <c r="G1393" s="86"/>
      <c r="H1393" s="86"/>
      <c r="I1393" s="171"/>
      <c r="J1393" s="191"/>
      <c r="K1393" s="191"/>
      <c r="L1393" s="191"/>
      <c r="M1393" s="191"/>
      <c r="N1393" s="191"/>
      <c r="O1393" s="191"/>
      <c r="P1393" s="191"/>
      <c r="Q1393" s="191"/>
    </row>
    <row r="1394" spans="1:17" s="292" customFormat="1" ht="46.5" customHeight="1">
      <c r="A1394" s="81" t="s">
        <v>1078</v>
      </c>
      <c r="B1394" s="145">
        <v>793</v>
      </c>
      <c r="C1394" s="83" t="s">
        <v>54</v>
      </c>
      <c r="D1394" s="83" t="s">
        <v>123</v>
      </c>
      <c r="E1394" s="83" t="s">
        <v>1080</v>
      </c>
      <c r="F1394" s="83"/>
      <c r="G1394" s="86">
        <f>G1395</f>
        <v>2500000</v>
      </c>
      <c r="H1394" s="86">
        <f>H1395</f>
        <v>0</v>
      </c>
      <c r="I1394" s="171"/>
      <c r="J1394" s="191"/>
      <c r="K1394" s="191"/>
      <c r="L1394" s="191"/>
      <c r="M1394" s="191"/>
      <c r="N1394" s="191"/>
      <c r="O1394" s="191"/>
      <c r="P1394" s="191"/>
      <c r="Q1394" s="191"/>
    </row>
    <row r="1395" spans="1:17" s="292" customFormat="1" ht="27.75" customHeight="1">
      <c r="A1395" s="81" t="s">
        <v>323</v>
      </c>
      <c r="B1395" s="145">
        <v>793</v>
      </c>
      <c r="C1395" s="83" t="s">
        <v>54</v>
      </c>
      <c r="D1395" s="83" t="s">
        <v>123</v>
      </c>
      <c r="E1395" s="83" t="s">
        <v>1080</v>
      </c>
      <c r="F1395" s="83" t="s">
        <v>37</v>
      </c>
      <c r="G1395" s="86">
        <f>G1396</f>
        <v>2500000</v>
      </c>
      <c r="H1395" s="86">
        <f>H1396</f>
        <v>0</v>
      </c>
      <c r="I1395" s="171"/>
      <c r="J1395" s="191"/>
      <c r="K1395" s="191"/>
      <c r="L1395" s="191"/>
      <c r="M1395" s="191"/>
      <c r="N1395" s="191"/>
      <c r="O1395" s="191"/>
      <c r="P1395" s="191"/>
      <c r="Q1395" s="191"/>
    </row>
    <row r="1396" spans="1:17" s="292" customFormat="1" ht="31.5" customHeight="1">
      <c r="A1396" s="81" t="s">
        <v>38</v>
      </c>
      <c r="B1396" s="145">
        <v>793</v>
      </c>
      <c r="C1396" s="83" t="s">
        <v>54</v>
      </c>
      <c r="D1396" s="83" t="s">
        <v>123</v>
      </c>
      <c r="E1396" s="83" t="s">
        <v>1080</v>
      </c>
      <c r="F1396" s="83" t="s">
        <v>39</v>
      </c>
      <c r="G1396" s="86">
        <v>2500000</v>
      </c>
      <c r="H1396" s="86">
        <v>0</v>
      </c>
      <c r="I1396" s="171"/>
      <c r="J1396" s="191"/>
      <c r="K1396" s="191"/>
      <c r="L1396" s="191"/>
      <c r="M1396" s="191"/>
      <c r="N1396" s="191"/>
      <c r="O1396" s="191"/>
      <c r="P1396" s="191"/>
      <c r="Q1396" s="191"/>
    </row>
    <row r="1397" spans="1:17" s="18" customFormat="1" ht="95.25" customHeight="1">
      <c r="A1397" s="81" t="s">
        <v>979</v>
      </c>
      <c r="B1397" s="145">
        <v>793</v>
      </c>
      <c r="C1397" s="83" t="s">
        <v>54</v>
      </c>
      <c r="D1397" s="83" t="s">
        <v>123</v>
      </c>
      <c r="E1397" s="83" t="s">
        <v>980</v>
      </c>
      <c r="F1397" s="83"/>
      <c r="G1397" s="86">
        <f>G1398</f>
        <v>0</v>
      </c>
      <c r="H1397" s="86">
        <f t="shared" ref="G1397:H1398" si="341">H1398</f>
        <v>0</v>
      </c>
      <c r="I1397" s="171"/>
      <c r="J1397" s="191"/>
      <c r="K1397" s="191"/>
      <c r="L1397" s="191"/>
      <c r="M1397" s="191"/>
      <c r="N1397" s="191"/>
      <c r="O1397" s="191"/>
      <c r="P1397" s="191"/>
      <c r="Q1397" s="191"/>
    </row>
    <row r="1398" spans="1:17" s="18" customFormat="1" ht="95.25" customHeight="1">
      <c r="A1398" s="81" t="s">
        <v>955</v>
      </c>
      <c r="B1398" s="145">
        <v>793</v>
      </c>
      <c r="C1398" s="83" t="s">
        <v>54</v>
      </c>
      <c r="D1398" s="83" t="s">
        <v>123</v>
      </c>
      <c r="E1398" s="83" t="s">
        <v>978</v>
      </c>
      <c r="F1398" s="83"/>
      <c r="G1398" s="86">
        <f t="shared" si="341"/>
        <v>0</v>
      </c>
      <c r="H1398" s="86">
        <f t="shared" si="341"/>
        <v>0</v>
      </c>
      <c r="I1398" s="171"/>
      <c r="J1398" s="191"/>
      <c r="K1398" s="191"/>
      <c r="L1398" s="191"/>
      <c r="M1398" s="191"/>
      <c r="N1398" s="191"/>
      <c r="O1398" s="191"/>
      <c r="P1398" s="191"/>
      <c r="Q1398" s="191"/>
    </row>
    <row r="1399" spans="1:17" s="18" customFormat="1" ht="27.75" customHeight="1">
      <c r="A1399" s="81" t="s">
        <v>96</v>
      </c>
      <c r="B1399" s="145">
        <v>793</v>
      </c>
      <c r="C1399" s="83" t="s">
        <v>54</v>
      </c>
      <c r="D1399" s="83" t="s">
        <v>123</v>
      </c>
      <c r="E1399" s="83" t="s">
        <v>978</v>
      </c>
      <c r="F1399" s="83" t="s">
        <v>348</v>
      </c>
      <c r="G1399" s="86">
        <f>G1400</f>
        <v>0</v>
      </c>
      <c r="H1399" s="86">
        <f t="shared" ref="H1399" si="342">H1400</f>
        <v>0</v>
      </c>
      <c r="I1399" s="171"/>
      <c r="J1399" s="191"/>
      <c r="K1399" s="191"/>
      <c r="L1399" s="191"/>
      <c r="M1399" s="191"/>
      <c r="N1399" s="191"/>
      <c r="O1399" s="191"/>
      <c r="P1399" s="191"/>
      <c r="Q1399" s="191"/>
    </row>
    <row r="1400" spans="1:17" s="18" customFormat="1" ht="15" customHeight="1">
      <c r="A1400" s="81" t="s">
        <v>349</v>
      </c>
      <c r="B1400" s="145">
        <v>793</v>
      </c>
      <c r="C1400" s="83" t="s">
        <v>54</v>
      </c>
      <c r="D1400" s="83" t="s">
        <v>123</v>
      </c>
      <c r="E1400" s="83" t="s">
        <v>978</v>
      </c>
      <c r="F1400" s="83" t="s">
        <v>350</v>
      </c>
      <c r="G1400" s="86">
        <f>4563626-350000-2500000-1713626</f>
        <v>0</v>
      </c>
      <c r="H1400" s="86">
        <v>0</v>
      </c>
      <c r="I1400" s="171"/>
      <c r="J1400" s="191"/>
      <c r="K1400" s="191"/>
      <c r="L1400" s="191"/>
      <c r="M1400" s="191"/>
      <c r="N1400" s="191"/>
      <c r="O1400" s="191"/>
      <c r="P1400" s="191"/>
      <c r="Q1400" s="191"/>
    </row>
    <row r="1401" spans="1:17" s="18" customFormat="1" ht="70.5" customHeight="1">
      <c r="A1401" s="81" t="s">
        <v>900</v>
      </c>
      <c r="B1401" s="145">
        <v>793</v>
      </c>
      <c r="C1401" s="83" t="s">
        <v>54</v>
      </c>
      <c r="D1401" s="83" t="s">
        <v>123</v>
      </c>
      <c r="E1401" s="83" t="s">
        <v>105</v>
      </c>
      <c r="F1401" s="83"/>
      <c r="G1401" s="86">
        <f>G1402</f>
        <v>6178948</v>
      </c>
      <c r="H1401" s="86">
        <f t="shared" ref="H1401" si="343">H1402</f>
        <v>6178947.5999999996</v>
      </c>
      <c r="I1401" s="171"/>
      <c r="J1401" s="191"/>
      <c r="K1401" s="191"/>
      <c r="L1401" s="191"/>
      <c r="M1401" s="191"/>
      <c r="N1401" s="191"/>
      <c r="O1401" s="191"/>
      <c r="P1401" s="191"/>
      <c r="Q1401" s="191"/>
    </row>
    <row r="1402" spans="1:17" s="18" customFormat="1" ht="104.25" customHeight="1">
      <c r="A1402" s="138" t="s">
        <v>898</v>
      </c>
      <c r="B1402" s="145">
        <v>793</v>
      </c>
      <c r="C1402" s="83" t="s">
        <v>54</v>
      </c>
      <c r="D1402" s="83" t="s">
        <v>123</v>
      </c>
      <c r="E1402" s="83" t="s">
        <v>899</v>
      </c>
      <c r="F1402" s="83"/>
      <c r="G1402" s="86">
        <f>G1403+G1405</f>
        <v>6178948</v>
      </c>
      <c r="H1402" s="86">
        <f t="shared" ref="H1402" si="344">H1403+H1405</f>
        <v>6178947.5999999996</v>
      </c>
      <c r="I1402" s="171"/>
      <c r="J1402" s="191"/>
      <c r="K1402" s="191"/>
      <c r="L1402" s="191"/>
      <c r="M1402" s="191"/>
      <c r="N1402" s="191"/>
      <c r="O1402" s="191"/>
      <c r="P1402" s="191"/>
      <c r="Q1402" s="191"/>
    </row>
    <row r="1403" spans="1:17" s="18" customFormat="1" ht="24.75" customHeight="1">
      <c r="A1403" s="81" t="s">
        <v>323</v>
      </c>
      <c r="B1403" s="145">
        <v>793</v>
      </c>
      <c r="C1403" s="83" t="s">
        <v>54</v>
      </c>
      <c r="D1403" s="83" t="s">
        <v>123</v>
      </c>
      <c r="E1403" s="83" t="s">
        <v>899</v>
      </c>
      <c r="F1403" s="83" t="s">
        <v>37</v>
      </c>
      <c r="G1403" s="86">
        <f t="shared" ref="G1403:H1403" si="345">G1404</f>
        <v>6178948</v>
      </c>
      <c r="H1403" s="86">
        <f t="shared" si="345"/>
        <v>6178947.5999999996</v>
      </c>
      <c r="I1403" s="171"/>
      <c r="J1403" s="191"/>
      <c r="K1403" s="191"/>
      <c r="L1403" s="191"/>
      <c r="M1403" s="191"/>
      <c r="N1403" s="191"/>
      <c r="O1403" s="191"/>
      <c r="P1403" s="191"/>
      <c r="Q1403" s="191"/>
    </row>
    <row r="1404" spans="1:17" s="18" customFormat="1" ht="30.75" customHeight="1">
      <c r="A1404" s="81" t="s">
        <v>38</v>
      </c>
      <c r="B1404" s="145">
        <v>793</v>
      </c>
      <c r="C1404" s="83" t="s">
        <v>54</v>
      </c>
      <c r="D1404" s="83" t="s">
        <v>123</v>
      </c>
      <c r="E1404" s="83" t="s">
        <v>899</v>
      </c>
      <c r="F1404" s="83" t="s">
        <v>39</v>
      </c>
      <c r="G1404" s="86">
        <f>5870000+308948</f>
        <v>6178948</v>
      </c>
      <c r="H1404" s="86">
        <v>6178947.5999999996</v>
      </c>
      <c r="I1404" s="171"/>
      <c r="J1404" s="191"/>
      <c r="K1404" s="191"/>
      <c r="L1404" s="191"/>
      <c r="M1404" s="191"/>
      <c r="N1404" s="191"/>
      <c r="O1404" s="191"/>
      <c r="P1404" s="191"/>
      <c r="Q1404" s="191"/>
    </row>
    <row r="1405" spans="1:17" s="89" customFormat="1" ht="22.5" hidden="1" customHeight="1">
      <c r="A1405" s="81" t="s">
        <v>156</v>
      </c>
      <c r="B1405" s="145">
        <v>793</v>
      </c>
      <c r="C1405" s="83" t="s">
        <v>54</v>
      </c>
      <c r="D1405" s="83" t="s">
        <v>123</v>
      </c>
      <c r="E1405" s="83" t="s">
        <v>618</v>
      </c>
      <c r="F1405" s="83" t="s">
        <v>157</v>
      </c>
      <c r="G1405" s="86">
        <f>G1406</f>
        <v>0</v>
      </c>
      <c r="H1405" s="86">
        <f t="shared" ref="H1405" si="346">H1406</f>
        <v>0</v>
      </c>
      <c r="I1405" s="171"/>
      <c r="J1405" s="177"/>
      <c r="K1405" s="177"/>
      <c r="L1405" s="177"/>
      <c r="M1405" s="177"/>
      <c r="N1405" s="177"/>
      <c r="O1405" s="177"/>
      <c r="P1405" s="177"/>
      <c r="Q1405" s="177"/>
    </row>
    <row r="1406" spans="1:17" s="89" customFormat="1" ht="16.5" hidden="1" customHeight="1">
      <c r="A1406" s="81" t="s">
        <v>178</v>
      </c>
      <c r="B1406" s="145">
        <v>793</v>
      </c>
      <c r="C1406" s="83" t="s">
        <v>54</v>
      </c>
      <c r="D1406" s="83" t="s">
        <v>123</v>
      </c>
      <c r="E1406" s="83" t="s">
        <v>618</v>
      </c>
      <c r="F1406" s="83" t="s">
        <v>179</v>
      </c>
      <c r="G1406" s="86"/>
      <c r="H1406" s="123"/>
      <c r="I1406" s="189"/>
      <c r="J1406" s="177"/>
      <c r="K1406" s="177"/>
      <c r="L1406" s="177"/>
      <c r="M1406" s="177"/>
      <c r="N1406" s="177"/>
      <c r="O1406" s="177"/>
      <c r="P1406" s="177"/>
      <c r="Q1406" s="177"/>
    </row>
    <row r="1407" spans="1:17" s="89" customFormat="1" ht="64.900000000000006" customHeight="1">
      <c r="A1407" s="81" t="s">
        <v>1005</v>
      </c>
      <c r="B1407" s="145">
        <v>793</v>
      </c>
      <c r="C1407" s="83" t="s">
        <v>54</v>
      </c>
      <c r="D1407" s="83" t="s">
        <v>123</v>
      </c>
      <c r="E1407" s="83" t="s">
        <v>1112</v>
      </c>
      <c r="F1407" s="83"/>
      <c r="G1407" s="86">
        <f t="shared" ref="G1407:H1409" si="347">G1408</f>
        <v>6800600</v>
      </c>
      <c r="H1407" s="86">
        <f t="shared" si="347"/>
        <v>6800600</v>
      </c>
      <c r="I1407" s="189"/>
      <c r="J1407" s="177"/>
      <c r="K1407" s="177"/>
      <c r="L1407" s="177"/>
      <c r="M1407" s="177"/>
      <c r="N1407" s="177"/>
      <c r="O1407" s="177"/>
      <c r="P1407" s="177"/>
      <c r="Q1407" s="177"/>
    </row>
    <row r="1408" spans="1:17" s="89" customFormat="1" ht="31.5" customHeight="1">
      <c r="A1408" s="81" t="s">
        <v>1006</v>
      </c>
      <c r="B1408" s="145">
        <v>793</v>
      </c>
      <c r="C1408" s="83" t="s">
        <v>54</v>
      </c>
      <c r="D1408" s="83" t="s">
        <v>123</v>
      </c>
      <c r="E1408" s="83" t="s">
        <v>1113</v>
      </c>
      <c r="F1408" s="83"/>
      <c r="G1408" s="86">
        <f t="shared" si="347"/>
        <v>6800600</v>
      </c>
      <c r="H1408" s="86">
        <f t="shared" si="347"/>
        <v>6800600</v>
      </c>
      <c r="I1408" s="189"/>
      <c r="J1408" s="177"/>
      <c r="K1408" s="177"/>
      <c r="L1408" s="177"/>
      <c r="M1408" s="177"/>
      <c r="N1408" s="177"/>
      <c r="O1408" s="177"/>
      <c r="P1408" s="177"/>
      <c r="Q1408" s="177"/>
    </row>
    <row r="1409" spans="1:17" s="89" customFormat="1" ht="25.5" customHeight="1">
      <c r="A1409" s="81" t="s">
        <v>323</v>
      </c>
      <c r="B1409" s="145">
        <v>793</v>
      </c>
      <c r="C1409" s="83" t="s">
        <v>54</v>
      </c>
      <c r="D1409" s="83" t="s">
        <v>123</v>
      </c>
      <c r="E1409" s="83" t="s">
        <v>1113</v>
      </c>
      <c r="F1409" s="83" t="s">
        <v>37</v>
      </c>
      <c r="G1409" s="86">
        <f t="shared" si="347"/>
        <v>6800600</v>
      </c>
      <c r="H1409" s="86">
        <f t="shared" si="347"/>
        <v>6800600</v>
      </c>
      <c r="I1409" s="189"/>
      <c r="J1409" s="177"/>
      <c r="K1409" s="177"/>
      <c r="L1409" s="177"/>
      <c r="M1409" s="177"/>
      <c r="N1409" s="177"/>
      <c r="O1409" s="177"/>
      <c r="P1409" s="177"/>
      <c r="Q1409" s="177"/>
    </row>
    <row r="1410" spans="1:17" s="89" customFormat="1" ht="33.75" customHeight="1">
      <c r="A1410" s="81" t="s">
        <v>38</v>
      </c>
      <c r="B1410" s="145">
        <v>793</v>
      </c>
      <c r="C1410" s="83" t="s">
        <v>54</v>
      </c>
      <c r="D1410" s="83" t="s">
        <v>123</v>
      </c>
      <c r="E1410" s="83" t="s">
        <v>1113</v>
      </c>
      <c r="F1410" s="83" t="s">
        <v>39</v>
      </c>
      <c r="G1410" s="86">
        <f>4200600+1100000+1500000</f>
        <v>6800600</v>
      </c>
      <c r="H1410" s="123">
        <v>6800600</v>
      </c>
      <c r="I1410" s="189"/>
      <c r="J1410" s="177"/>
      <c r="K1410" s="177"/>
      <c r="L1410" s="177"/>
      <c r="M1410" s="177"/>
      <c r="N1410" s="177"/>
      <c r="O1410" s="177"/>
      <c r="P1410" s="177"/>
      <c r="Q1410" s="177"/>
    </row>
    <row r="1411" spans="1:17" s="89" customFormat="1" ht="31.9" customHeight="1">
      <c r="A1411" s="81" t="s">
        <v>1015</v>
      </c>
      <c r="B1411" s="145">
        <v>793</v>
      </c>
      <c r="C1411" s="83" t="s">
        <v>54</v>
      </c>
      <c r="D1411" s="83" t="s">
        <v>123</v>
      </c>
      <c r="E1411" s="83" t="s">
        <v>1114</v>
      </c>
      <c r="F1411" s="83"/>
      <c r="G1411" s="86">
        <f t="shared" ref="G1411:H1413" si="348">G1412</f>
        <v>1700000</v>
      </c>
      <c r="H1411" s="86">
        <f t="shared" si="348"/>
        <v>1700000</v>
      </c>
      <c r="I1411" s="189"/>
      <c r="J1411" s="177"/>
      <c r="K1411" s="177"/>
      <c r="L1411" s="177"/>
      <c r="M1411" s="177"/>
      <c r="N1411" s="177"/>
      <c r="O1411" s="177"/>
      <c r="P1411" s="177"/>
      <c r="Q1411" s="177"/>
    </row>
    <row r="1412" spans="1:17" s="89" customFormat="1" ht="32.450000000000003" customHeight="1">
      <c r="A1412" s="81" t="s">
        <v>1004</v>
      </c>
      <c r="B1412" s="145">
        <v>793</v>
      </c>
      <c r="C1412" s="83" t="s">
        <v>54</v>
      </c>
      <c r="D1412" s="83" t="s">
        <v>123</v>
      </c>
      <c r="E1412" s="83" t="s">
        <v>1115</v>
      </c>
      <c r="F1412" s="83"/>
      <c r="G1412" s="86">
        <f t="shared" si="348"/>
        <v>1700000</v>
      </c>
      <c r="H1412" s="86">
        <f t="shared" si="348"/>
        <v>1700000</v>
      </c>
      <c r="I1412" s="189"/>
      <c r="J1412" s="177"/>
      <c r="K1412" s="177"/>
      <c r="L1412" s="177"/>
      <c r="M1412" s="177"/>
      <c r="N1412" s="177"/>
      <c r="O1412" s="177"/>
      <c r="P1412" s="177"/>
      <c r="Q1412" s="177"/>
    </row>
    <row r="1413" spans="1:17" s="89" customFormat="1" ht="32.450000000000003" customHeight="1">
      <c r="A1413" s="81" t="s">
        <v>323</v>
      </c>
      <c r="B1413" s="145">
        <v>793</v>
      </c>
      <c r="C1413" s="83" t="s">
        <v>54</v>
      </c>
      <c r="D1413" s="83" t="s">
        <v>123</v>
      </c>
      <c r="E1413" s="83" t="s">
        <v>1115</v>
      </c>
      <c r="F1413" s="83" t="s">
        <v>37</v>
      </c>
      <c r="G1413" s="86">
        <f t="shared" si="348"/>
        <v>1700000</v>
      </c>
      <c r="H1413" s="86">
        <f t="shared" si="348"/>
        <v>1700000</v>
      </c>
      <c r="I1413" s="189"/>
      <c r="J1413" s="177"/>
      <c r="K1413" s="177"/>
      <c r="L1413" s="177"/>
      <c r="M1413" s="177"/>
      <c r="N1413" s="177"/>
      <c r="O1413" s="177"/>
      <c r="P1413" s="177"/>
      <c r="Q1413" s="177"/>
    </row>
    <row r="1414" spans="1:17" s="89" customFormat="1" ht="26.45" customHeight="1">
      <c r="A1414" s="81" t="s">
        <v>38</v>
      </c>
      <c r="B1414" s="145">
        <v>793</v>
      </c>
      <c r="C1414" s="83" t="s">
        <v>54</v>
      </c>
      <c r="D1414" s="83" t="s">
        <v>123</v>
      </c>
      <c r="E1414" s="83" t="s">
        <v>1115</v>
      </c>
      <c r="F1414" s="83" t="s">
        <v>39</v>
      </c>
      <c r="G1414" s="86">
        <v>1700000</v>
      </c>
      <c r="H1414" s="123">
        <v>1700000</v>
      </c>
      <c r="I1414" s="189"/>
      <c r="J1414" s="177"/>
      <c r="K1414" s="177"/>
      <c r="L1414" s="177"/>
      <c r="M1414" s="177"/>
      <c r="N1414" s="177"/>
      <c r="O1414" s="177"/>
      <c r="P1414" s="177"/>
      <c r="Q1414" s="177"/>
    </row>
    <row r="1415" spans="1:17" ht="47.25" customHeight="1">
      <c r="A1415" s="81" t="s">
        <v>455</v>
      </c>
      <c r="B1415" s="145">
        <v>793</v>
      </c>
      <c r="C1415" s="83" t="s">
        <v>54</v>
      </c>
      <c r="D1415" s="83" t="s">
        <v>123</v>
      </c>
      <c r="E1415" s="83" t="s">
        <v>454</v>
      </c>
      <c r="F1415" s="83"/>
      <c r="G1415" s="86">
        <f>G1416</f>
        <v>22000</v>
      </c>
      <c r="H1415" s="86">
        <f t="shared" ref="H1415" si="349">H1416</f>
        <v>22000</v>
      </c>
      <c r="I1415" s="171"/>
    </row>
    <row r="1416" spans="1:17" ht="33.75" customHeight="1">
      <c r="A1416" s="81" t="s">
        <v>453</v>
      </c>
      <c r="B1416" s="145">
        <v>793</v>
      </c>
      <c r="C1416" s="83" t="s">
        <v>54</v>
      </c>
      <c r="D1416" s="83" t="s">
        <v>123</v>
      </c>
      <c r="E1416" s="83" t="s">
        <v>451</v>
      </c>
      <c r="F1416" s="83"/>
      <c r="G1416" s="86">
        <f>G1417</f>
        <v>22000</v>
      </c>
      <c r="H1416" s="86">
        <f t="shared" ref="H1416" si="350">H1417</f>
        <v>22000</v>
      </c>
      <c r="I1416" s="171"/>
    </row>
    <row r="1417" spans="1:17" ht="30.75" customHeight="1">
      <c r="A1417" s="81" t="s">
        <v>452</v>
      </c>
      <c r="B1417" s="145">
        <v>793</v>
      </c>
      <c r="C1417" s="83" t="s">
        <v>54</v>
      </c>
      <c r="D1417" s="83" t="s">
        <v>123</v>
      </c>
      <c r="E1417" s="83" t="s">
        <v>451</v>
      </c>
      <c r="F1417" s="83" t="s">
        <v>37</v>
      </c>
      <c r="G1417" s="86">
        <f>G1418</f>
        <v>22000</v>
      </c>
      <c r="H1417" s="86">
        <f t="shared" ref="H1417" si="351">H1418</f>
        <v>22000</v>
      </c>
      <c r="I1417" s="171"/>
    </row>
    <row r="1418" spans="1:17" ht="33" customHeight="1">
      <c r="A1418" s="81" t="s">
        <v>38</v>
      </c>
      <c r="B1418" s="145">
        <v>793</v>
      </c>
      <c r="C1418" s="83" t="s">
        <v>54</v>
      </c>
      <c r="D1418" s="83" t="s">
        <v>123</v>
      </c>
      <c r="E1418" s="83" t="s">
        <v>451</v>
      </c>
      <c r="F1418" s="83" t="s">
        <v>39</v>
      </c>
      <c r="G1418" s="86">
        <f>63000-41000</f>
        <v>22000</v>
      </c>
      <c r="H1418" s="86">
        <v>22000</v>
      </c>
      <c r="I1418" s="171"/>
    </row>
    <row r="1419" spans="1:17" s="18" customFormat="1" ht="32.25" customHeight="1">
      <c r="A1419" s="81" t="s">
        <v>513</v>
      </c>
      <c r="B1419" s="145">
        <v>793</v>
      </c>
      <c r="C1419" s="83" t="s">
        <v>54</v>
      </c>
      <c r="D1419" s="83" t="s">
        <v>123</v>
      </c>
      <c r="E1419" s="83" t="s">
        <v>202</v>
      </c>
      <c r="F1419" s="83"/>
      <c r="G1419" s="86">
        <f>G1423+G1420</f>
        <v>750000</v>
      </c>
      <c r="H1419" s="86">
        <f>H1423+H1420</f>
        <v>750000</v>
      </c>
      <c r="I1419" s="171"/>
      <c r="J1419" s="191"/>
      <c r="K1419" s="191"/>
      <c r="L1419" s="191"/>
      <c r="M1419" s="191"/>
      <c r="N1419" s="191"/>
      <c r="O1419" s="191"/>
      <c r="P1419" s="191"/>
      <c r="Q1419" s="191"/>
    </row>
    <row r="1420" spans="1:17" s="18" customFormat="1" ht="70.5" customHeight="1">
      <c r="A1420" s="81" t="s">
        <v>786</v>
      </c>
      <c r="B1420" s="145">
        <v>793</v>
      </c>
      <c r="C1420" s="83" t="s">
        <v>54</v>
      </c>
      <c r="D1420" s="83" t="s">
        <v>123</v>
      </c>
      <c r="E1420" s="83" t="s">
        <v>417</v>
      </c>
      <c r="F1420" s="83"/>
      <c r="G1420" s="86">
        <f t="shared" ref="G1420:H1421" si="352">G1421</f>
        <v>750000</v>
      </c>
      <c r="H1420" s="86">
        <f t="shared" si="352"/>
        <v>750000</v>
      </c>
      <c r="I1420" s="171"/>
      <c r="J1420" s="191"/>
      <c r="K1420" s="191"/>
      <c r="L1420" s="191"/>
      <c r="M1420" s="191"/>
      <c r="N1420" s="191"/>
      <c r="O1420" s="191"/>
      <c r="P1420" s="191"/>
      <c r="Q1420" s="191"/>
    </row>
    <row r="1421" spans="1:17" s="18" customFormat="1" ht="39" customHeight="1">
      <c r="A1421" s="81" t="s">
        <v>96</v>
      </c>
      <c r="B1421" s="145">
        <v>793</v>
      </c>
      <c r="C1421" s="83" t="s">
        <v>54</v>
      </c>
      <c r="D1421" s="83" t="s">
        <v>123</v>
      </c>
      <c r="E1421" s="83" t="s">
        <v>417</v>
      </c>
      <c r="F1421" s="83" t="s">
        <v>348</v>
      </c>
      <c r="G1421" s="86">
        <f t="shared" si="352"/>
        <v>750000</v>
      </c>
      <c r="H1421" s="86">
        <f t="shared" si="352"/>
        <v>750000</v>
      </c>
      <c r="I1421" s="171"/>
      <c r="J1421" s="191"/>
      <c r="K1421" s="191"/>
      <c r="L1421" s="191"/>
      <c r="M1421" s="191"/>
      <c r="N1421" s="191"/>
      <c r="O1421" s="191"/>
      <c r="P1421" s="191"/>
      <c r="Q1421" s="191"/>
    </row>
    <row r="1422" spans="1:17" s="18" customFormat="1" ht="15.75" customHeight="1">
      <c r="A1422" s="81" t="s">
        <v>349</v>
      </c>
      <c r="B1422" s="145">
        <v>793</v>
      </c>
      <c r="C1422" s="83" t="s">
        <v>54</v>
      </c>
      <c r="D1422" s="83" t="s">
        <v>123</v>
      </c>
      <c r="E1422" s="83" t="s">
        <v>417</v>
      </c>
      <c r="F1422" s="83" t="s">
        <v>350</v>
      </c>
      <c r="G1422" s="86">
        <v>750000</v>
      </c>
      <c r="H1422" s="86">
        <v>750000</v>
      </c>
      <c r="I1422" s="171"/>
      <c r="J1422" s="191"/>
      <c r="K1422" s="191"/>
      <c r="L1422" s="191"/>
      <c r="M1422" s="191"/>
      <c r="N1422" s="191"/>
      <c r="O1422" s="191"/>
      <c r="P1422" s="191"/>
      <c r="Q1422" s="191"/>
    </row>
    <row r="1423" spans="1:17" s="18" customFormat="1" ht="32.25" hidden="1" customHeight="1">
      <c r="A1423" s="81" t="s">
        <v>936</v>
      </c>
      <c r="B1423" s="145">
        <v>793</v>
      </c>
      <c r="C1423" s="83" t="s">
        <v>54</v>
      </c>
      <c r="D1423" s="83" t="s">
        <v>123</v>
      </c>
      <c r="E1423" s="83" t="s">
        <v>935</v>
      </c>
      <c r="F1423" s="83"/>
      <c r="G1423" s="86">
        <f>G1424</f>
        <v>0</v>
      </c>
      <c r="H1423" s="86">
        <f t="shared" ref="H1423" si="353">H1424</f>
        <v>0</v>
      </c>
      <c r="I1423" s="171"/>
      <c r="J1423" s="191"/>
      <c r="K1423" s="191"/>
      <c r="L1423" s="191"/>
      <c r="M1423" s="191"/>
      <c r="N1423" s="191"/>
      <c r="O1423" s="191"/>
      <c r="P1423" s="191"/>
      <c r="Q1423" s="191"/>
    </row>
    <row r="1424" spans="1:17" s="18" customFormat="1" ht="70.5" hidden="1" customHeight="1">
      <c r="A1424" s="81" t="s">
        <v>937</v>
      </c>
      <c r="B1424" s="145">
        <v>793</v>
      </c>
      <c r="C1424" s="83" t="s">
        <v>54</v>
      </c>
      <c r="D1424" s="83" t="s">
        <v>123</v>
      </c>
      <c r="E1424" s="83" t="s">
        <v>938</v>
      </c>
      <c r="F1424" s="83"/>
      <c r="G1424" s="86">
        <f t="shared" ref="G1424:H1425" si="354">G1425</f>
        <v>0</v>
      </c>
      <c r="H1424" s="86">
        <f t="shared" si="354"/>
        <v>0</v>
      </c>
      <c r="I1424" s="171"/>
      <c r="J1424" s="191"/>
      <c r="K1424" s="191"/>
      <c r="L1424" s="191"/>
      <c r="M1424" s="191"/>
      <c r="N1424" s="191"/>
      <c r="O1424" s="191"/>
      <c r="P1424" s="191"/>
      <c r="Q1424" s="191"/>
    </row>
    <row r="1425" spans="1:17" s="18" customFormat="1" ht="39" hidden="1" customHeight="1">
      <c r="A1425" s="81" t="s">
        <v>96</v>
      </c>
      <c r="B1425" s="145">
        <v>793</v>
      </c>
      <c r="C1425" s="83" t="s">
        <v>54</v>
      </c>
      <c r="D1425" s="83" t="s">
        <v>123</v>
      </c>
      <c r="E1425" s="83" t="s">
        <v>938</v>
      </c>
      <c r="F1425" s="83" t="s">
        <v>348</v>
      </c>
      <c r="G1425" s="86">
        <f t="shared" si="354"/>
        <v>0</v>
      </c>
      <c r="H1425" s="86">
        <f t="shared" si="354"/>
        <v>0</v>
      </c>
      <c r="I1425" s="171"/>
      <c r="J1425" s="191"/>
      <c r="K1425" s="191"/>
      <c r="L1425" s="191"/>
      <c r="M1425" s="191"/>
      <c r="N1425" s="191"/>
      <c r="O1425" s="191"/>
      <c r="P1425" s="191"/>
      <c r="Q1425" s="191"/>
    </row>
    <row r="1426" spans="1:17" s="18" customFormat="1" ht="15.75" hidden="1" customHeight="1">
      <c r="A1426" s="81" t="s">
        <v>349</v>
      </c>
      <c r="B1426" s="145">
        <v>793</v>
      </c>
      <c r="C1426" s="83" t="s">
        <v>54</v>
      </c>
      <c r="D1426" s="83" t="s">
        <v>123</v>
      </c>
      <c r="E1426" s="83" t="s">
        <v>938</v>
      </c>
      <c r="F1426" s="83" t="s">
        <v>350</v>
      </c>
      <c r="G1426" s="86"/>
      <c r="H1426" s="86">
        <v>0</v>
      </c>
      <c r="I1426" s="171"/>
      <c r="J1426" s="191"/>
      <c r="K1426" s="191"/>
      <c r="L1426" s="191"/>
      <c r="M1426" s="191"/>
      <c r="N1426" s="191"/>
      <c r="O1426" s="191"/>
      <c r="P1426" s="191"/>
      <c r="Q1426" s="191"/>
    </row>
    <row r="1427" spans="1:17" ht="18.75" customHeight="1">
      <c r="A1427" s="81" t="s">
        <v>87</v>
      </c>
      <c r="B1427" s="145">
        <v>793</v>
      </c>
      <c r="C1427" s="83" t="s">
        <v>54</v>
      </c>
      <c r="D1427" s="83" t="s">
        <v>88</v>
      </c>
      <c r="E1427" s="83"/>
      <c r="F1427" s="145"/>
      <c r="G1427" s="86">
        <f>G1428+G1445+G1463+G1459</f>
        <v>1607482.44</v>
      </c>
      <c r="H1427" s="86">
        <f>H1428+H1445+H1463+H1459</f>
        <v>1557432.44</v>
      </c>
      <c r="I1427" s="171"/>
      <c r="J1427" s="171"/>
      <c r="K1427" s="171"/>
      <c r="L1427" s="171"/>
      <c r="M1427" s="171"/>
      <c r="N1427" s="171"/>
    </row>
    <row r="1428" spans="1:17" ht="16.5" customHeight="1">
      <c r="A1428" s="135" t="s">
        <v>708</v>
      </c>
      <c r="B1428" s="145">
        <v>793</v>
      </c>
      <c r="C1428" s="83" t="s">
        <v>54</v>
      </c>
      <c r="D1428" s="83" t="s">
        <v>88</v>
      </c>
      <c r="E1428" s="145" t="s">
        <v>242</v>
      </c>
      <c r="F1428" s="145"/>
      <c r="G1428" s="86">
        <f>G1432+G1429+G1442+G1435</f>
        <v>1148715</v>
      </c>
      <c r="H1428" s="86">
        <f>H1432+H1429+H1442+H1435</f>
        <v>1148715</v>
      </c>
      <c r="I1428" s="171"/>
    </row>
    <row r="1429" spans="1:17" ht="27" customHeight="1">
      <c r="A1429" s="81" t="s">
        <v>344</v>
      </c>
      <c r="B1429" s="145">
        <v>793</v>
      </c>
      <c r="C1429" s="83" t="s">
        <v>54</v>
      </c>
      <c r="D1429" s="83" t="s">
        <v>88</v>
      </c>
      <c r="E1429" s="145" t="s">
        <v>395</v>
      </c>
      <c r="F1429" s="145"/>
      <c r="G1429" s="86">
        <f t="shared" ref="G1429:H1430" si="355">G1430</f>
        <v>414715</v>
      </c>
      <c r="H1429" s="86">
        <f t="shared" si="355"/>
        <v>414715</v>
      </c>
      <c r="I1429" s="171"/>
    </row>
    <row r="1430" spans="1:17">
      <c r="A1430" s="81" t="s">
        <v>63</v>
      </c>
      <c r="B1430" s="145">
        <v>793</v>
      </c>
      <c r="C1430" s="83" t="s">
        <v>54</v>
      </c>
      <c r="D1430" s="83" t="s">
        <v>88</v>
      </c>
      <c r="E1430" s="145" t="s">
        <v>395</v>
      </c>
      <c r="F1430" s="145">
        <v>800</v>
      </c>
      <c r="G1430" s="86">
        <f t="shared" si="355"/>
        <v>414715</v>
      </c>
      <c r="H1430" s="86">
        <f t="shared" si="355"/>
        <v>414715</v>
      </c>
      <c r="I1430" s="171"/>
    </row>
    <row r="1431" spans="1:17" ht="39" customHeight="1">
      <c r="A1431" s="81" t="s">
        <v>340</v>
      </c>
      <c r="B1431" s="145">
        <v>793</v>
      </c>
      <c r="C1431" s="83" t="s">
        <v>54</v>
      </c>
      <c r="D1431" s="83" t="s">
        <v>88</v>
      </c>
      <c r="E1431" s="145" t="s">
        <v>395</v>
      </c>
      <c r="F1431" s="145">
        <v>810</v>
      </c>
      <c r="G1431" s="86">
        <v>414715</v>
      </c>
      <c r="H1431" s="86">
        <v>414715</v>
      </c>
      <c r="I1431" s="171"/>
    </row>
    <row r="1432" spans="1:17" ht="47.25" customHeight="1">
      <c r="A1432" s="81" t="s">
        <v>345</v>
      </c>
      <c r="B1432" s="145">
        <v>793</v>
      </c>
      <c r="C1432" s="83" t="s">
        <v>54</v>
      </c>
      <c r="D1432" s="83" t="s">
        <v>88</v>
      </c>
      <c r="E1432" s="145" t="s">
        <v>258</v>
      </c>
      <c r="F1432" s="145"/>
      <c r="G1432" s="86">
        <f>G1433</f>
        <v>700000</v>
      </c>
      <c r="H1432" s="86">
        <f t="shared" ref="H1432" si="356">H1433</f>
        <v>700000</v>
      </c>
      <c r="I1432" s="171"/>
      <c r="J1432" s="1"/>
      <c r="K1432" s="1"/>
      <c r="L1432" s="1"/>
      <c r="M1432" s="1"/>
      <c r="N1432" s="1"/>
      <c r="O1432" s="1"/>
      <c r="P1432" s="1"/>
      <c r="Q1432" s="1"/>
    </row>
    <row r="1433" spans="1:17">
      <c r="A1433" s="81" t="s">
        <v>63</v>
      </c>
      <c r="B1433" s="145">
        <v>793</v>
      </c>
      <c r="C1433" s="83" t="s">
        <v>54</v>
      </c>
      <c r="D1433" s="83" t="s">
        <v>88</v>
      </c>
      <c r="E1433" s="145" t="s">
        <v>258</v>
      </c>
      <c r="F1433" s="145">
        <v>800</v>
      </c>
      <c r="G1433" s="86">
        <f t="shared" ref="G1433:H1433" si="357">G1434</f>
        <v>700000</v>
      </c>
      <c r="H1433" s="86">
        <f t="shared" si="357"/>
        <v>700000</v>
      </c>
      <c r="I1433" s="171"/>
      <c r="J1433" s="1"/>
      <c r="K1433" s="1"/>
      <c r="L1433" s="1"/>
      <c r="M1433" s="1"/>
      <c r="N1433" s="1"/>
      <c r="O1433" s="1"/>
      <c r="P1433" s="1"/>
      <c r="Q1433" s="1"/>
    </row>
    <row r="1434" spans="1:17" ht="45" customHeight="1">
      <c r="A1434" s="81" t="s">
        <v>340</v>
      </c>
      <c r="B1434" s="145">
        <v>793</v>
      </c>
      <c r="C1434" s="83" t="s">
        <v>54</v>
      </c>
      <c r="D1434" s="83" t="s">
        <v>88</v>
      </c>
      <c r="E1434" s="145" t="s">
        <v>258</v>
      </c>
      <c r="F1434" s="145">
        <v>810</v>
      </c>
      <c r="G1434" s="86">
        <v>700000</v>
      </c>
      <c r="H1434" s="86">
        <v>700000</v>
      </c>
      <c r="I1434" s="171"/>
      <c r="J1434" s="1"/>
      <c r="K1434" s="1"/>
      <c r="L1434" s="1"/>
      <c r="M1434" s="1"/>
      <c r="N1434" s="1"/>
      <c r="O1434" s="1"/>
      <c r="P1434" s="1"/>
      <c r="Q1434" s="1"/>
    </row>
    <row r="1435" spans="1:17" ht="40.5" customHeight="1">
      <c r="A1435" s="81" t="s">
        <v>947</v>
      </c>
      <c r="B1435" s="145">
        <v>793</v>
      </c>
      <c r="C1435" s="83" t="s">
        <v>54</v>
      </c>
      <c r="D1435" s="83" t="s">
        <v>88</v>
      </c>
      <c r="E1435" s="145" t="s">
        <v>946</v>
      </c>
      <c r="F1435" s="145"/>
      <c r="G1435" s="86">
        <f>G1436+G1438+G1440</f>
        <v>34000</v>
      </c>
      <c r="H1435" s="86">
        <f>H1436+H1438</f>
        <v>34000</v>
      </c>
      <c r="I1435" s="171"/>
      <c r="J1435" s="1"/>
      <c r="K1435" s="1"/>
      <c r="L1435" s="1"/>
      <c r="M1435" s="1"/>
      <c r="N1435" s="1"/>
      <c r="O1435" s="1"/>
      <c r="P1435" s="1"/>
      <c r="Q1435" s="1"/>
    </row>
    <row r="1436" spans="1:17" ht="25.5">
      <c r="A1436" s="81" t="s">
        <v>323</v>
      </c>
      <c r="B1436" s="145">
        <v>793</v>
      </c>
      <c r="C1436" s="83" t="s">
        <v>54</v>
      </c>
      <c r="D1436" s="83" t="s">
        <v>88</v>
      </c>
      <c r="E1436" s="145" t="s">
        <v>946</v>
      </c>
      <c r="F1436" s="145">
        <v>200</v>
      </c>
      <c r="G1436" s="86">
        <f t="shared" ref="G1436:H1436" si="358">G1437</f>
        <v>34000</v>
      </c>
      <c r="H1436" s="86">
        <f t="shared" si="358"/>
        <v>34000</v>
      </c>
      <c r="I1436" s="171"/>
      <c r="J1436" s="1"/>
      <c r="K1436" s="1"/>
      <c r="L1436" s="1"/>
      <c r="M1436" s="1"/>
      <c r="N1436" s="1"/>
      <c r="O1436" s="1"/>
      <c r="P1436" s="1"/>
      <c r="Q1436" s="1"/>
    </row>
    <row r="1437" spans="1:17" ht="31.5" customHeight="1">
      <c r="A1437" s="81" t="s">
        <v>38</v>
      </c>
      <c r="B1437" s="145">
        <v>793</v>
      </c>
      <c r="C1437" s="83" t="s">
        <v>54</v>
      </c>
      <c r="D1437" s="83" t="s">
        <v>88</v>
      </c>
      <c r="E1437" s="145" t="s">
        <v>946</v>
      </c>
      <c r="F1437" s="145">
        <v>240</v>
      </c>
      <c r="G1437" s="86">
        <f>50000-16000</f>
        <v>34000</v>
      </c>
      <c r="H1437" s="84">
        <v>34000</v>
      </c>
      <c r="I1437" s="172"/>
      <c r="J1437" s="1"/>
      <c r="K1437" s="1"/>
      <c r="L1437" s="1"/>
      <c r="M1437" s="1"/>
      <c r="N1437" s="1"/>
      <c r="O1437" s="1"/>
      <c r="P1437" s="1"/>
      <c r="Q1437" s="1"/>
    </row>
    <row r="1438" spans="1:17" ht="24.75" hidden="1" customHeight="1">
      <c r="A1438" s="81" t="s">
        <v>156</v>
      </c>
      <c r="B1438" s="145">
        <v>793</v>
      </c>
      <c r="C1438" s="83" t="s">
        <v>54</v>
      </c>
      <c r="D1438" s="83" t="s">
        <v>88</v>
      </c>
      <c r="E1438" s="145" t="s">
        <v>637</v>
      </c>
      <c r="F1438" s="145">
        <v>500</v>
      </c>
      <c r="G1438" s="86">
        <f>G1439</f>
        <v>0</v>
      </c>
      <c r="H1438" s="86">
        <f>H1439</f>
        <v>0</v>
      </c>
      <c r="I1438" s="171"/>
      <c r="J1438" s="1"/>
      <c r="K1438" s="1"/>
      <c r="L1438" s="1"/>
      <c r="M1438" s="1"/>
      <c r="N1438" s="1"/>
      <c r="O1438" s="1"/>
      <c r="P1438" s="1"/>
      <c r="Q1438" s="1"/>
    </row>
    <row r="1439" spans="1:17" ht="21.75" hidden="1" customHeight="1">
      <c r="A1439" s="81" t="s">
        <v>170</v>
      </c>
      <c r="B1439" s="145">
        <v>793</v>
      </c>
      <c r="C1439" s="83" t="s">
        <v>54</v>
      </c>
      <c r="D1439" s="83" t="s">
        <v>88</v>
      </c>
      <c r="E1439" s="145" t="s">
        <v>637</v>
      </c>
      <c r="F1439" s="145">
        <v>520</v>
      </c>
      <c r="G1439" s="270"/>
      <c r="H1439" s="84"/>
      <c r="I1439" s="172"/>
      <c r="J1439" s="1"/>
      <c r="K1439" s="1"/>
      <c r="L1439" s="1"/>
      <c r="M1439" s="1"/>
      <c r="N1439" s="1"/>
      <c r="O1439" s="1"/>
      <c r="P1439" s="1"/>
      <c r="Q1439" s="1"/>
    </row>
    <row r="1440" spans="1:17" ht="21" hidden="1" customHeight="1">
      <c r="A1440" s="81" t="s">
        <v>63</v>
      </c>
      <c r="B1440" s="145">
        <v>793</v>
      </c>
      <c r="C1440" s="83" t="s">
        <v>54</v>
      </c>
      <c r="D1440" s="83" t="s">
        <v>88</v>
      </c>
      <c r="E1440" s="145" t="s">
        <v>637</v>
      </c>
      <c r="F1440" s="145">
        <v>800</v>
      </c>
      <c r="G1440" s="270">
        <f>G1441</f>
        <v>0</v>
      </c>
      <c r="H1440" s="84"/>
      <c r="I1440" s="172"/>
      <c r="J1440" s="1"/>
      <c r="K1440" s="1"/>
      <c r="L1440" s="1"/>
      <c r="M1440" s="1"/>
      <c r="N1440" s="1"/>
      <c r="O1440" s="1"/>
      <c r="P1440" s="1"/>
      <c r="Q1440" s="1"/>
    </row>
    <row r="1441" spans="1:17" ht="20.25" hidden="1" customHeight="1">
      <c r="A1441" s="81" t="s">
        <v>180</v>
      </c>
      <c r="B1441" s="145">
        <v>793</v>
      </c>
      <c r="C1441" s="83" t="s">
        <v>54</v>
      </c>
      <c r="D1441" s="83" t="s">
        <v>88</v>
      </c>
      <c r="E1441" s="145" t="s">
        <v>637</v>
      </c>
      <c r="F1441" s="145">
        <v>870</v>
      </c>
      <c r="G1441" s="270">
        <f>50000-50000</f>
        <v>0</v>
      </c>
      <c r="H1441" s="84"/>
      <c r="I1441" s="172"/>
      <c r="J1441" s="1"/>
      <c r="K1441" s="1"/>
      <c r="L1441" s="1"/>
      <c r="M1441" s="1"/>
      <c r="N1441" s="1"/>
      <c r="O1441" s="1"/>
      <c r="P1441" s="1"/>
      <c r="Q1441" s="1"/>
    </row>
    <row r="1442" spans="1:17" ht="65.25" hidden="1" customHeight="1">
      <c r="A1442" s="81" t="s">
        <v>599</v>
      </c>
      <c r="B1442" s="145">
        <v>793</v>
      </c>
      <c r="C1442" s="83" t="s">
        <v>54</v>
      </c>
      <c r="D1442" s="83" t="s">
        <v>88</v>
      </c>
      <c r="E1442" s="145" t="s">
        <v>449</v>
      </c>
      <c r="F1442" s="145"/>
      <c r="G1442" s="86">
        <f>G1443</f>
        <v>0</v>
      </c>
      <c r="H1442" s="86">
        <f t="shared" ref="H1442" si="359">H1443</f>
        <v>0</v>
      </c>
      <c r="I1442" s="171"/>
      <c r="J1442" s="1"/>
      <c r="K1442" s="1"/>
      <c r="L1442" s="1"/>
      <c r="M1442" s="1"/>
      <c r="N1442" s="1"/>
      <c r="O1442" s="1"/>
      <c r="P1442" s="1"/>
      <c r="Q1442" s="1"/>
    </row>
    <row r="1443" spans="1:17" ht="20.25" hidden="1" customHeight="1">
      <c r="A1443" s="81" t="s">
        <v>63</v>
      </c>
      <c r="B1443" s="145">
        <v>793</v>
      </c>
      <c r="C1443" s="83" t="s">
        <v>54</v>
      </c>
      <c r="D1443" s="83" t="s">
        <v>88</v>
      </c>
      <c r="E1443" s="145" t="s">
        <v>449</v>
      </c>
      <c r="F1443" s="145">
        <v>800</v>
      </c>
      <c r="G1443" s="86">
        <f>G1444</f>
        <v>0</v>
      </c>
      <c r="H1443" s="86">
        <f t="shared" ref="H1443" si="360">H1444</f>
        <v>0</v>
      </c>
      <c r="I1443" s="171"/>
      <c r="J1443" s="1"/>
      <c r="K1443" s="1"/>
      <c r="L1443" s="1"/>
      <c r="M1443" s="1"/>
      <c r="N1443" s="1"/>
      <c r="O1443" s="1"/>
      <c r="P1443" s="1"/>
      <c r="Q1443" s="1"/>
    </row>
    <row r="1444" spans="1:17" ht="38.25" hidden="1" customHeight="1">
      <c r="A1444" s="81" t="s">
        <v>340</v>
      </c>
      <c r="B1444" s="145">
        <v>793</v>
      </c>
      <c r="C1444" s="83" t="s">
        <v>54</v>
      </c>
      <c r="D1444" s="83" t="s">
        <v>88</v>
      </c>
      <c r="E1444" s="145" t="s">
        <v>449</v>
      </c>
      <c r="F1444" s="145">
        <v>810</v>
      </c>
      <c r="G1444" s="86"/>
      <c r="H1444" s="86">
        <v>0</v>
      </c>
      <c r="I1444" s="171"/>
      <c r="J1444" s="1"/>
      <c r="K1444" s="1"/>
      <c r="L1444" s="1"/>
      <c r="M1444" s="1"/>
      <c r="N1444" s="1"/>
      <c r="O1444" s="1"/>
      <c r="P1444" s="1"/>
      <c r="Q1444" s="1"/>
    </row>
    <row r="1445" spans="1:17" ht="36" customHeight="1">
      <c r="A1445" s="81" t="s">
        <v>472</v>
      </c>
      <c r="B1445" s="145">
        <v>793</v>
      </c>
      <c r="C1445" s="83" t="s">
        <v>54</v>
      </c>
      <c r="D1445" s="83" t="s">
        <v>88</v>
      </c>
      <c r="E1445" s="145" t="s">
        <v>259</v>
      </c>
      <c r="F1445" s="145"/>
      <c r="G1445" s="86">
        <f>G1446</f>
        <v>50000</v>
      </c>
      <c r="H1445" s="86">
        <f>H1446</f>
        <v>0</v>
      </c>
      <c r="I1445" s="171"/>
      <c r="J1445" s="1"/>
      <c r="K1445" s="1"/>
      <c r="L1445" s="1"/>
      <c r="M1445" s="1"/>
      <c r="N1445" s="1"/>
      <c r="O1445" s="1"/>
      <c r="P1445" s="1"/>
      <c r="Q1445" s="1"/>
    </row>
    <row r="1446" spans="1:17" ht="39" customHeight="1">
      <c r="A1446" s="81" t="s">
        <v>369</v>
      </c>
      <c r="B1446" s="145">
        <v>793</v>
      </c>
      <c r="C1446" s="83" t="s">
        <v>54</v>
      </c>
      <c r="D1446" s="83" t="s">
        <v>88</v>
      </c>
      <c r="E1446" s="145" t="s">
        <v>260</v>
      </c>
      <c r="F1446" s="145"/>
      <c r="G1446" s="86">
        <f>G1447</f>
        <v>50000</v>
      </c>
      <c r="H1446" s="86">
        <f t="shared" ref="H1446" si="361">H1447</f>
        <v>0</v>
      </c>
      <c r="I1446" s="171"/>
      <c r="J1446" s="1"/>
      <c r="K1446" s="1"/>
      <c r="L1446" s="1"/>
      <c r="M1446" s="1"/>
      <c r="N1446" s="1"/>
      <c r="O1446" s="1"/>
      <c r="P1446" s="1"/>
      <c r="Q1446" s="1"/>
    </row>
    <row r="1447" spans="1:17" ht="17.25" customHeight="1">
      <c r="A1447" s="81" t="s">
        <v>323</v>
      </c>
      <c r="B1447" s="145">
        <v>793</v>
      </c>
      <c r="C1447" s="83" t="s">
        <v>54</v>
      </c>
      <c r="D1447" s="83" t="s">
        <v>88</v>
      </c>
      <c r="E1447" s="145" t="s">
        <v>260</v>
      </c>
      <c r="F1447" s="145">
        <v>200</v>
      </c>
      <c r="G1447" s="86">
        <f>G1448</f>
        <v>50000</v>
      </c>
      <c r="H1447" s="86">
        <f>H1448</f>
        <v>0</v>
      </c>
      <c r="I1447" s="171"/>
      <c r="J1447" s="1"/>
      <c r="K1447" s="1"/>
      <c r="L1447" s="1"/>
      <c r="M1447" s="1"/>
      <c r="N1447" s="1"/>
      <c r="O1447" s="1"/>
      <c r="P1447" s="1"/>
      <c r="Q1447" s="1"/>
    </row>
    <row r="1448" spans="1:17" ht="27.75" customHeight="1">
      <c r="A1448" s="81" t="s">
        <v>38</v>
      </c>
      <c r="B1448" s="145">
        <v>793</v>
      </c>
      <c r="C1448" s="83" t="s">
        <v>54</v>
      </c>
      <c r="D1448" s="83" t="s">
        <v>88</v>
      </c>
      <c r="E1448" s="145" t="s">
        <v>260</v>
      </c>
      <c r="F1448" s="145">
        <v>240</v>
      </c>
      <c r="G1448" s="86">
        <v>50000</v>
      </c>
      <c r="H1448" s="86">
        <v>0</v>
      </c>
      <c r="I1448" s="171"/>
    </row>
    <row r="1449" spans="1:17" ht="15" hidden="1" customHeight="1">
      <c r="A1449" s="130" t="s">
        <v>346</v>
      </c>
      <c r="B1449" s="243">
        <v>793</v>
      </c>
      <c r="C1449" s="254" t="s">
        <v>173</v>
      </c>
      <c r="D1449" s="254"/>
      <c r="E1449" s="254"/>
      <c r="F1449" s="254"/>
      <c r="G1449" s="251">
        <f>G1450</f>
        <v>0</v>
      </c>
      <c r="H1449" s="251">
        <f t="shared" ref="H1449" si="362">H1450</f>
        <v>0</v>
      </c>
      <c r="I1449" s="182"/>
    </row>
    <row r="1450" spans="1:17" s="22" customFormat="1" ht="17.25" hidden="1" customHeight="1">
      <c r="A1450" s="81" t="s">
        <v>284</v>
      </c>
      <c r="B1450" s="145">
        <v>793</v>
      </c>
      <c r="C1450" s="83" t="s">
        <v>173</v>
      </c>
      <c r="D1450" s="83" t="s">
        <v>70</v>
      </c>
      <c r="E1450" s="83"/>
      <c r="F1450" s="83"/>
      <c r="G1450" s="86">
        <f>G1451+G1455</f>
        <v>0</v>
      </c>
      <c r="H1450" s="86">
        <f t="shared" ref="H1450" si="363">H1451+H1455</f>
        <v>0</v>
      </c>
      <c r="I1450" s="171"/>
      <c r="J1450" s="198"/>
      <c r="K1450" s="198"/>
      <c r="L1450" s="198"/>
      <c r="M1450" s="198"/>
      <c r="N1450" s="198"/>
      <c r="O1450" s="198"/>
      <c r="P1450" s="198"/>
      <c r="Q1450" s="198"/>
    </row>
    <row r="1451" spans="1:17" s="22" customFormat="1" ht="53.25" hidden="1" customHeight="1">
      <c r="A1451" s="81" t="s">
        <v>489</v>
      </c>
      <c r="B1451" s="145">
        <v>793</v>
      </c>
      <c r="C1451" s="83" t="s">
        <v>173</v>
      </c>
      <c r="D1451" s="83" t="s">
        <v>70</v>
      </c>
      <c r="E1451" s="83" t="s">
        <v>295</v>
      </c>
      <c r="F1451" s="152"/>
      <c r="G1451" s="86">
        <f t="shared" ref="G1451:H1453" si="364">G1452</f>
        <v>0</v>
      </c>
      <c r="H1451" s="86">
        <f t="shared" si="364"/>
        <v>0</v>
      </c>
      <c r="I1451" s="171"/>
      <c r="J1451" s="198"/>
      <c r="K1451" s="198"/>
      <c r="L1451" s="198"/>
      <c r="M1451" s="198"/>
      <c r="N1451" s="198"/>
      <c r="O1451" s="198"/>
      <c r="P1451" s="198"/>
      <c r="Q1451" s="198"/>
    </row>
    <row r="1452" spans="1:17" s="46" customFormat="1" ht="17.25" hidden="1" customHeight="1">
      <c r="A1452" s="81" t="s">
        <v>380</v>
      </c>
      <c r="B1452" s="145">
        <v>793</v>
      </c>
      <c r="C1452" s="83" t="s">
        <v>173</v>
      </c>
      <c r="D1452" s="83" t="s">
        <v>70</v>
      </c>
      <c r="E1452" s="83" t="s">
        <v>379</v>
      </c>
      <c r="F1452" s="83"/>
      <c r="G1452" s="86">
        <f t="shared" si="364"/>
        <v>0</v>
      </c>
      <c r="H1452" s="86">
        <f t="shared" si="364"/>
        <v>0</v>
      </c>
      <c r="I1452" s="171"/>
      <c r="J1452" s="213"/>
      <c r="K1452" s="213"/>
      <c r="L1452" s="213"/>
      <c r="M1452" s="213"/>
      <c r="N1452" s="213"/>
      <c r="O1452" s="213"/>
      <c r="P1452" s="213"/>
      <c r="Q1452" s="213"/>
    </row>
    <row r="1453" spans="1:17" s="46" customFormat="1" ht="17.25" hidden="1" customHeight="1">
      <c r="A1453" s="81" t="s">
        <v>323</v>
      </c>
      <c r="B1453" s="145">
        <v>793</v>
      </c>
      <c r="C1453" s="83" t="s">
        <v>173</v>
      </c>
      <c r="D1453" s="83" t="s">
        <v>70</v>
      </c>
      <c r="E1453" s="83" t="s">
        <v>379</v>
      </c>
      <c r="F1453" s="83" t="s">
        <v>37</v>
      </c>
      <c r="G1453" s="86">
        <f t="shared" si="364"/>
        <v>0</v>
      </c>
      <c r="H1453" s="86">
        <f t="shared" si="364"/>
        <v>0</v>
      </c>
      <c r="I1453" s="171"/>
      <c r="J1453" s="213"/>
      <c r="K1453" s="213"/>
      <c r="L1453" s="213"/>
      <c r="M1453" s="213"/>
      <c r="N1453" s="213"/>
      <c r="O1453" s="213"/>
      <c r="P1453" s="213"/>
      <c r="Q1453" s="213"/>
    </row>
    <row r="1454" spans="1:17" s="46" customFormat="1" ht="31.5" hidden="1" customHeight="1">
      <c r="A1454" s="81" t="s">
        <v>38</v>
      </c>
      <c r="B1454" s="145">
        <v>793</v>
      </c>
      <c r="C1454" s="83" t="s">
        <v>173</v>
      </c>
      <c r="D1454" s="83" t="s">
        <v>70</v>
      </c>
      <c r="E1454" s="83" t="s">
        <v>379</v>
      </c>
      <c r="F1454" s="83" t="s">
        <v>39</v>
      </c>
      <c r="G1454" s="86"/>
      <c r="H1454" s="86"/>
      <c r="I1454" s="171"/>
      <c r="J1454" s="213"/>
      <c r="K1454" s="213"/>
      <c r="L1454" s="213"/>
      <c r="M1454" s="213"/>
      <c r="N1454" s="213"/>
      <c r="O1454" s="213"/>
      <c r="P1454" s="213"/>
      <c r="Q1454" s="213"/>
    </row>
    <row r="1455" spans="1:17" ht="30.75" hidden="1" customHeight="1">
      <c r="A1455" s="81" t="s">
        <v>470</v>
      </c>
      <c r="B1455" s="145">
        <v>793</v>
      </c>
      <c r="C1455" s="83" t="s">
        <v>173</v>
      </c>
      <c r="D1455" s="83" t="s">
        <v>70</v>
      </c>
      <c r="E1455" s="83" t="s">
        <v>262</v>
      </c>
      <c r="F1455" s="83"/>
      <c r="G1455" s="86">
        <f>G1456</f>
        <v>0</v>
      </c>
      <c r="H1455" s="86">
        <v>0</v>
      </c>
      <c r="I1455" s="171"/>
    </row>
    <row r="1456" spans="1:17" ht="21.75" hidden="1" customHeight="1">
      <c r="A1456" s="129" t="s">
        <v>510</v>
      </c>
      <c r="B1456" s="145">
        <v>793</v>
      </c>
      <c r="C1456" s="83" t="s">
        <v>173</v>
      </c>
      <c r="D1456" s="83" t="s">
        <v>70</v>
      </c>
      <c r="E1456" s="83" t="s">
        <v>515</v>
      </c>
      <c r="F1456" s="83"/>
      <c r="G1456" s="86">
        <f>G1457</f>
        <v>0</v>
      </c>
      <c r="H1456" s="86">
        <v>0</v>
      </c>
      <c r="I1456" s="171"/>
    </row>
    <row r="1457" spans="1:17" ht="21" hidden="1" customHeight="1">
      <c r="A1457" s="81" t="s">
        <v>156</v>
      </c>
      <c r="B1457" s="145">
        <v>793</v>
      </c>
      <c r="C1457" s="83" t="s">
        <v>173</v>
      </c>
      <c r="D1457" s="83" t="s">
        <v>70</v>
      </c>
      <c r="E1457" s="83" t="s">
        <v>515</v>
      </c>
      <c r="F1457" s="83" t="s">
        <v>157</v>
      </c>
      <c r="G1457" s="86">
        <f>G1458</f>
        <v>0</v>
      </c>
      <c r="H1457" s="86">
        <v>0</v>
      </c>
      <c r="I1457" s="171"/>
    </row>
    <row r="1458" spans="1:17" ht="1.5" customHeight="1">
      <c r="A1458" s="81" t="s">
        <v>170</v>
      </c>
      <c r="B1458" s="145">
        <v>793</v>
      </c>
      <c r="C1458" s="83" t="s">
        <v>173</v>
      </c>
      <c r="D1458" s="83" t="s">
        <v>70</v>
      </c>
      <c r="E1458" s="83" t="s">
        <v>515</v>
      </c>
      <c r="F1458" s="83" t="s">
        <v>171</v>
      </c>
      <c r="G1458" s="86"/>
      <c r="H1458" s="86">
        <v>0</v>
      </c>
      <c r="I1458" s="171"/>
    </row>
    <row r="1459" spans="1:17" ht="36" customHeight="1">
      <c r="A1459" s="81" t="s">
        <v>833</v>
      </c>
      <c r="B1459" s="145">
        <v>793</v>
      </c>
      <c r="C1459" s="83" t="s">
        <v>54</v>
      </c>
      <c r="D1459" s="83" t="s">
        <v>88</v>
      </c>
      <c r="E1459" s="145" t="s">
        <v>834</v>
      </c>
      <c r="F1459" s="145"/>
      <c r="G1459" s="86">
        <f>G1460</f>
        <v>363450</v>
      </c>
      <c r="H1459" s="86">
        <f>H1460</f>
        <v>363400</v>
      </c>
      <c r="I1459" s="171"/>
    </row>
    <row r="1460" spans="1:17" ht="39" customHeight="1">
      <c r="A1460" s="81" t="s">
        <v>836</v>
      </c>
      <c r="B1460" s="145">
        <v>793</v>
      </c>
      <c r="C1460" s="83" t="s">
        <v>54</v>
      </c>
      <c r="D1460" s="83" t="s">
        <v>88</v>
      </c>
      <c r="E1460" s="145" t="s">
        <v>835</v>
      </c>
      <c r="F1460" s="145"/>
      <c r="G1460" s="86">
        <f>G1461</f>
        <v>363450</v>
      </c>
      <c r="H1460" s="86">
        <f t="shared" ref="H1460" si="365">H1461</f>
        <v>363400</v>
      </c>
      <c r="I1460" s="171"/>
    </row>
    <row r="1461" spans="1:17" ht="17.25" customHeight="1">
      <c r="A1461" s="81" t="s">
        <v>323</v>
      </c>
      <c r="B1461" s="145">
        <v>793</v>
      </c>
      <c r="C1461" s="83" t="s">
        <v>54</v>
      </c>
      <c r="D1461" s="83" t="s">
        <v>88</v>
      </c>
      <c r="E1461" s="145" t="s">
        <v>835</v>
      </c>
      <c r="F1461" s="145">
        <v>200</v>
      </c>
      <c r="G1461" s="86">
        <f>G1462</f>
        <v>363450</v>
      </c>
      <c r="H1461" s="86">
        <f>H1462</f>
        <v>363400</v>
      </c>
      <c r="I1461" s="171"/>
    </row>
    <row r="1462" spans="1:17" ht="27.75" customHeight="1">
      <c r="A1462" s="81" t="s">
        <v>38</v>
      </c>
      <c r="B1462" s="145">
        <v>793</v>
      </c>
      <c r="C1462" s="83" t="s">
        <v>54</v>
      </c>
      <c r="D1462" s="83" t="s">
        <v>88</v>
      </c>
      <c r="E1462" s="145" t="s">
        <v>835</v>
      </c>
      <c r="F1462" s="145">
        <v>240</v>
      </c>
      <c r="G1462" s="86">
        <v>363450</v>
      </c>
      <c r="H1462" s="86">
        <v>363400</v>
      </c>
      <c r="I1462" s="171"/>
    </row>
    <row r="1463" spans="1:17" s="28" customFormat="1" ht="24.75" customHeight="1">
      <c r="A1463" s="135" t="s">
        <v>169</v>
      </c>
      <c r="B1463" s="145">
        <v>793</v>
      </c>
      <c r="C1463" s="83" t="s">
        <v>54</v>
      </c>
      <c r="D1463" s="83" t="s">
        <v>88</v>
      </c>
      <c r="E1463" s="83" t="s">
        <v>233</v>
      </c>
      <c r="F1463" s="163"/>
      <c r="G1463" s="86">
        <f t="shared" ref="G1463:H1467" si="366">G1464</f>
        <v>45317.440000000002</v>
      </c>
      <c r="H1463" s="86">
        <f t="shared" si="366"/>
        <v>45317.440000000002</v>
      </c>
      <c r="I1463" s="171"/>
      <c r="J1463" s="195"/>
      <c r="K1463" s="195"/>
      <c r="L1463" s="195"/>
      <c r="M1463" s="195"/>
      <c r="N1463" s="195"/>
      <c r="O1463" s="195"/>
      <c r="P1463" s="195"/>
      <c r="Q1463" s="195"/>
    </row>
    <row r="1464" spans="1:17" ht="25.5">
      <c r="A1464" s="135" t="s">
        <v>169</v>
      </c>
      <c r="B1464" s="145">
        <v>793</v>
      </c>
      <c r="C1464" s="83" t="s">
        <v>54</v>
      </c>
      <c r="D1464" s="83" t="s">
        <v>88</v>
      </c>
      <c r="E1464" s="83" t="s">
        <v>275</v>
      </c>
      <c r="F1464" s="145"/>
      <c r="G1464" s="86">
        <f>G1467+G1465</f>
        <v>45317.440000000002</v>
      </c>
      <c r="H1464" s="86">
        <f>H1467+H1465</f>
        <v>45317.440000000002</v>
      </c>
      <c r="I1464" s="171"/>
    </row>
    <row r="1465" spans="1:17" ht="17.25" customHeight="1">
      <c r="A1465" s="81" t="s">
        <v>323</v>
      </c>
      <c r="B1465" s="145">
        <v>793</v>
      </c>
      <c r="C1465" s="83" t="s">
        <v>54</v>
      </c>
      <c r="D1465" s="83" t="s">
        <v>88</v>
      </c>
      <c r="E1465" s="145" t="s">
        <v>275</v>
      </c>
      <c r="F1465" s="145">
        <v>200</v>
      </c>
      <c r="G1465" s="86">
        <f>G1466</f>
        <v>35000</v>
      </c>
      <c r="H1465" s="86">
        <f>H1466</f>
        <v>35000</v>
      </c>
      <c r="I1465" s="171"/>
    </row>
    <row r="1466" spans="1:17" ht="27.75" customHeight="1">
      <c r="A1466" s="81" t="s">
        <v>38</v>
      </c>
      <c r="B1466" s="145">
        <v>793</v>
      </c>
      <c r="C1466" s="83" t="s">
        <v>54</v>
      </c>
      <c r="D1466" s="83" t="s">
        <v>88</v>
      </c>
      <c r="E1466" s="145" t="s">
        <v>275</v>
      </c>
      <c r="F1466" s="145">
        <v>240</v>
      </c>
      <c r="G1466" s="86">
        <v>35000</v>
      </c>
      <c r="H1466" s="86">
        <v>35000</v>
      </c>
      <c r="I1466" s="171"/>
    </row>
    <row r="1467" spans="1:17">
      <c r="A1467" s="81" t="s">
        <v>156</v>
      </c>
      <c r="B1467" s="145">
        <v>793</v>
      </c>
      <c r="C1467" s="83" t="s">
        <v>54</v>
      </c>
      <c r="D1467" s="83" t="s">
        <v>88</v>
      </c>
      <c r="E1467" s="83" t="s">
        <v>275</v>
      </c>
      <c r="F1467" s="83" t="s">
        <v>157</v>
      </c>
      <c r="G1467" s="86">
        <f t="shared" si="366"/>
        <v>10317.44</v>
      </c>
      <c r="H1467" s="86">
        <f t="shared" si="366"/>
        <v>10317.44</v>
      </c>
      <c r="I1467" s="171"/>
    </row>
    <row r="1468" spans="1:17">
      <c r="A1468" s="81" t="s">
        <v>178</v>
      </c>
      <c r="B1468" s="145">
        <v>793</v>
      </c>
      <c r="C1468" s="83" t="s">
        <v>54</v>
      </c>
      <c r="D1468" s="83" t="s">
        <v>88</v>
      </c>
      <c r="E1468" s="83" t="s">
        <v>275</v>
      </c>
      <c r="F1468" s="83" t="s">
        <v>179</v>
      </c>
      <c r="G1468" s="86">
        <v>10317.44</v>
      </c>
      <c r="H1468" s="86">
        <v>10317.44</v>
      </c>
      <c r="I1468" s="171"/>
    </row>
    <row r="1469" spans="1:17">
      <c r="A1469" s="130" t="s">
        <v>346</v>
      </c>
      <c r="B1469" s="257">
        <v>793</v>
      </c>
      <c r="C1469" s="254" t="s">
        <v>173</v>
      </c>
      <c r="D1469" s="254"/>
      <c r="E1469" s="254"/>
      <c r="F1469" s="254"/>
      <c r="G1469" s="251">
        <f>G1711+G1576+G1830+G1853+G1470+G1512+G1609</f>
        <v>82896161.849999994</v>
      </c>
      <c r="H1469" s="251">
        <f>H1711+H1576+H1830+H1853+H1470+H1512+H1609</f>
        <v>66446427.470000006</v>
      </c>
      <c r="I1469" s="182"/>
      <c r="O1469" s="200"/>
      <c r="P1469" s="200"/>
    </row>
    <row r="1470" spans="1:17">
      <c r="A1470" s="128" t="s">
        <v>174</v>
      </c>
      <c r="B1470" s="82">
        <v>793</v>
      </c>
      <c r="C1470" s="149" t="s">
        <v>173</v>
      </c>
      <c r="D1470" s="149" t="s">
        <v>19</v>
      </c>
      <c r="E1470" s="254"/>
      <c r="F1470" s="254"/>
      <c r="G1470" s="93">
        <f>G1471+G1488</f>
        <v>50407350</v>
      </c>
      <c r="H1470" s="93">
        <f t="shared" ref="H1470" si="367">H1471+H1488</f>
        <v>42610071.460000001</v>
      </c>
      <c r="I1470" s="185"/>
      <c r="J1470" s="185"/>
      <c r="K1470" s="185"/>
      <c r="L1470" s="185"/>
      <c r="M1470" s="185"/>
      <c r="N1470" s="185"/>
    </row>
    <row r="1471" spans="1:17" ht="51">
      <c r="A1471" s="81" t="s">
        <v>489</v>
      </c>
      <c r="B1471" s="82">
        <v>793</v>
      </c>
      <c r="C1471" s="83" t="s">
        <v>173</v>
      </c>
      <c r="D1471" s="83" t="s">
        <v>19</v>
      </c>
      <c r="E1471" s="83" t="s">
        <v>295</v>
      </c>
      <c r="F1471" s="83"/>
      <c r="G1471" s="86">
        <f>G1474+G1478+G1481+G1487+G1482</f>
        <v>2353350</v>
      </c>
      <c r="H1471" s="86">
        <f t="shared" ref="H1471" si="368">H1474+H1478+H1481+H1487+H1482</f>
        <v>2325316.2800000003</v>
      </c>
      <c r="I1471" s="171"/>
    </row>
    <row r="1472" spans="1:17" s="18" customFormat="1" ht="20.25" hidden="1" customHeight="1">
      <c r="A1472" s="81" t="s">
        <v>85</v>
      </c>
      <c r="B1472" s="82">
        <v>793</v>
      </c>
      <c r="C1472" s="83" t="s">
        <v>173</v>
      </c>
      <c r="D1472" s="83" t="s">
        <v>19</v>
      </c>
      <c r="E1472" s="83" t="s">
        <v>84</v>
      </c>
      <c r="F1472" s="83"/>
      <c r="G1472" s="86">
        <f t="shared" ref="G1472:H1473" si="369">G1473</f>
        <v>0</v>
      </c>
      <c r="H1472" s="86">
        <f t="shared" si="369"/>
        <v>0</v>
      </c>
      <c r="I1472" s="171"/>
      <c r="J1472" s="191"/>
      <c r="K1472" s="191"/>
      <c r="L1472" s="191"/>
      <c r="M1472" s="191"/>
      <c r="N1472" s="191"/>
      <c r="O1472" s="191"/>
      <c r="P1472" s="191"/>
      <c r="Q1472" s="191"/>
    </row>
    <row r="1473" spans="1:17" ht="30.75" hidden="1" customHeight="1">
      <c r="A1473" s="81" t="s">
        <v>36</v>
      </c>
      <c r="B1473" s="82">
        <v>793</v>
      </c>
      <c r="C1473" s="83" t="s">
        <v>173</v>
      </c>
      <c r="D1473" s="83" t="s">
        <v>19</v>
      </c>
      <c r="E1473" s="83" t="s">
        <v>84</v>
      </c>
      <c r="F1473" s="83" t="s">
        <v>37</v>
      </c>
      <c r="G1473" s="86">
        <f t="shared" si="369"/>
        <v>0</v>
      </c>
      <c r="H1473" s="86">
        <f t="shared" si="369"/>
        <v>0</v>
      </c>
      <c r="I1473" s="171"/>
    </row>
    <row r="1474" spans="1:17" s="18" customFormat="1" ht="34.5" hidden="1" customHeight="1">
      <c r="A1474" s="81" t="s">
        <v>38</v>
      </c>
      <c r="B1474" s="82">
        <v>793</v>
      </c>
      <c r="C1474" s="83" t="s">
        <v>173</v>
      </c>
      <c r="D1474" s="83" t="s">
        <v>19</v>
      </c>
      <c r="E1474" s="83" t="s">
        <v>84</v>
      </c>
      <c r="F1474" s="83" t="s">
        <v>39</v>
      </c>
      <c r="G1474" s="86"/>
      <c r="H1474" s="86"/>
      <c r="I1474" s="171"/>
      <c r="J1474" s="191"/>
      <c r="K1474" s="191"/>
      <c r="L1474" s="191"/>
      <c r="M1474" s="191"/>
      <c r="N1474" s="191"/>
      <c r="O1474" s="191"/>
      <c r="P1474" s="191"/>
      <c r="Q1474" s="191"/>
    </row>
    <row r="1475" spans="1:17" s="3" customFormat="1" ht="52.5" hidden="1" customHeight="1">
      <c r="A1475" s="81"/>
      <c r="B1475" s="82"/>
      <c r="C1475" s="83"/>
      <c r="D1475" s="83"/>
      <c r="E1475" s="83"/>
      <c r="F1475" s="83"/>
      <c r="G1475" s="86"/>
      <c r="H1475" s="86"/>
      <c r="I1475" s="171"/>
      <c r="J1475" s="190"/>
      <c r="K1475" s="190"/>
      <c r="L1475" s="190"/>
      <c r="M1475" s="190"/>
      <c r="N1475" s="190"/>
      <c r="O1475" s="190"/>
      <c r="P1475" s="190"/>
      <c r="Q1475" s="190"/>
    </row>
    <row r="1476" spans="1:17" s="18" customFormat="1" ht="63" hidden="1" customHeight="1">
      <c r="A1476" s="81" t="s">
        <v>81</v>
      </c>
      <c r="B1476" s="82">
        <v>793</v>
      </c>
      <c r="C1476" s="83" t="s">
        <v>173</v>
      </c>
      <c r="D1476" s="83" t="s">
        <v>19</v>
      </c>
      <c r="E1476" s="83" t="s">
        <v>80</v>
      </c>
      <c r="F1476" s="83"/>
      <c r="G1476" s="86">
        <f t="shared" ref="G1476:H1477" si="370">G1477</f>
        <v>0</v>
      </c>
      <c r="H1476" s="86">
        <f t="shared" si="370"/>
        <v>0</v>
      </c>
      <c r="I1476" s="171"/>
      <c r="J1476" s="191"/>
      <c r="K1476" s="191"/>
      <c r="L1476" s="191"/>
      <c r="M1476" s="191"/>
      <c r="N1476" s="191"/>
      <c r="O1476" s="191"/>
      <c r="P1476" s="191"/>
      <c r="Q1476" s="191"/>
    </row>
    <row r="1477" spans="1:17" ht="30.75" hidden="1" customHeight="1">
      <c r="A1477" s="81" t="s">
        <v>36</v>
      </c>
      <c r="B1477" s="82">
        <v>793</v>
      </c>
      <c r="C1477" s="83" t="s">
        <v>173</v>
      </c>
      <c r="D1477" s="83" t="s">
        <v>19</v>
      </c>
      <c r="E1477" s="83" t="s">
        <v>80</v>
      </c>
      <c r="F1477" s="83" t="s">
        <v>37</v>
      </c>
      <c r="G1477" s="86">
        <f t="shared" si="370"/>
        <v>0</v>
      </c>
      <c r="H1477" s="86">
        <f t="shared" si="370"/>
        <v>0</v>
      </c>
      <c r="I1477" s="171"/>
    </row>
    <row r="1478" spans="1:17" s="18" customFormat="1" ht="34.5" hidden="1" customHeight="1">
      <c r="A1478" s="81" t="s">
        <v>38</v>
      </c>
      <c r="B1478" s="82">
        <v>793</v>
      </c>
      <c r="C1478" s="83" t="s">
        <v>173</v>
      </c>
      <c r="D1478" s="83" t="s">
        <v>19</v>
      </c>
      <c r="E1478" s="83" t="s">
        <v>80</v>
      </c>
      <c r="F1478" s="83" t="s">
        <v>39</v>
      </c>
      <c r="G1478" s="86"/>
      <c r="H1478" s="86"/>
      <c r="I1478" s="171"/>
      <c r="J1478" s="191"/>
      <c r="K1478" s="191"/>
      <c r="L1478" s="191"/>
      <c r="M1478" s="191"/>
      <c r="N1478" s="191"/>
      <c r="O1478" s="191"/>
      <c r="P1478" s="191"/>
      <c r="Q1478" s="191"/>
    </row>
    <row r="1479" spans="1:17" s="18" customFormat="1" ht="35.25" customHeight="1">
      <c r="A1479" s="81" t="s">
        <v>960</v>
      </c>
      <c r="B1479" s="82">
        <v>793</v>
      </c>
      <c r="C1479" s="83" t="s">
        <v>173</v>
      </c>
      <c r="D1479" s="83" t="s">
        <v>19</v>
      </c>
      <c r="E1479" s="83" t="s">
        <v>82</v>
      </c>
      <c r="F1479" s="83"/>
      <c r="G1479" s="86">
        <f t="shared" ref="G1479:H1483" si="371">G1480</f>
        <v>1353350</v>
      </c>
      <c r="H1479" s="86">
        <f t="shared" si="371"/>
        <v>1325316.28</v>
      </c>
      <c r="I1479" s="171"/>
      <c r="J1479" s="191"/>
      <c r="K1479" s="191"/>
      <c r="L1479" s="191"/>
      <c r="M1479" s="191"/>
      <c r="N1479" s="191"/>
      <c r="O1479" s="191"/>
      <c r="P1479" s="191"/>
      <c r="Q1479" s="191"/>
    </row>
    <row r="1480" spans="1:17" ht="35.25" customHeight="1">
      <c r="A1480" s="81" t="s">
        <v>36</v>
      </c>
      <c r="B1480" s="82">
        <v>793</v>
      </c>
      <c r="C1480" s="83" t="s">
        <v>173</v>
      </c>
      <c r="D1480" s="83" t="s">
        <v>19</v>
      </c>
      <c r="E1480" s="83" t="s">
        <v>82</v>
      </c>
      <c r="F1480" s="83" t="s">
        <v>37</v>
      </c>
      <c r="G1480" s="86">
        <f t="shared" si="371"/>
        <v>1353350</v>
      </c>
      <c r="H1480" s="86">
        <f t="shared" si="371"/>
        <v>1325316.28</v>
      </c>
      <c r="I1480" s="171"/>
    </row>
    <row r="1481" spans="1:17" s="18" customFormat="1" ht="35.25" customHeight="1">
      <c r="A1481" s="81" t="s">
        <v>38</v>
      </c>
      <c r="B1481" s="82">
        <v>793</v>
      </c>
      <c r="C1481" s="83" t="s">
        <v>173</v>
      </c>
      <c r="D1481" s="83" t="s">
        <v>19</v>
      </c>
      <c r="E1481" s="83" t="s">
        <v>82</v>
      </c>
      <c r="F1481" s="83" t="s">
        <v>39</v>
      </c>
      <c r="G1481" s="86">
        <f>2000000-125000-875000+353350</f>
        <v>1353350</v>
      </c>
      <c r="H1481" s="86">
        <v>1325316.28</v>
      </c>
      <c r="I1481" s="171"/>
      <c r="J1481" s="191"/>
      <c r="K1481" s="191"/>
      <c r="L1481" s="191"/>
      <c r="M1481" s="191"/>
      <c r="N1481" s="191"/>
      <c r="O1481" s="191"/>
      <c r="P1481" s="191"/>
      <c r="Q1481" s="191"/>
    </row>
    <row r="1482" spans="1:17" s="18" customFormat="1" ht="35.25" customHeight="1">
      <c r="A1482" s="81" t="s">
        <v>954</v>
      </c>
      <c r="B1482" s="82">
        <v>793</v>
      </c>
      <c r="C1482" s="83" t="s">
        <v>173</v>
      </c>
      <c r="D1482" s="83" t="s">
        <v>19</v>
      </c>
      <c r="E1482" s="83" t="s">
        <v>953</v>
      </c>
      <c r="F1482" s="83"/>
      <c r="G1482" s="86">
        <f t="shared" si="371"/>
        <v>875000</v>
      </c>
      <c r="H1482" s="86">
        <f t="shared" si="371"/>
        <v>875000</v>
      </c>
      <c r="I1482" s="171"/>
      <c r="J1482" s="191"/>
      <c r="K1482" s="191"/>
      <c r="L1482" s="191"/>
      <c r="M1482" s="191"/>
      <c r="N1482" s="191"/>
      <c r="O1482" s="191"/>
      <c r="P1482" s="191"/>
      <c r="Q1482" s="191"/>
    </row>
    <row r="1483" spans="1:17" ht="35.25" customHeight="1">
      <c r="A1483" s="81" t="s">
        <v>36</v>
      </c>
      <c r="B1483" s="82">
        <v>793</v>
      </c>
      <c r="C1483" s="83" t="s">
        <v>173</v>
      </c>
      <c r="D1483" s="83" t="s">
        <v>19</v>
      </c>
      <c r="E1483" s="83" t="s">
        <v>953</v>
      </c>
      <c r="F1483" s="83" t="s">
        <v>37</v>
      </c>
      <c r="G1483" s="86">
        <f t="shared" si="371"/>
        <v>875000</v>
      </c>
      <c r="H1483" s="86">
        <f t="shared" si="371"/>
        <v>875000</v>
      </c>
      <c r="I1483" s="171"/>
    </row>
    <row r="1484" spans="1:17" s="18" customFormat="1" ht="35.25" customHeight="1">
      <c r="A1484" s="81" t="s">
        <v>38</v>
      </c>
      <c r="B1484" s="82">
        <v>793</v>
      </c>
      <c r="C1484" s="83" t="s">
        <v>173</v>
      </c>
      <c r="D1484" s="83" t="s">
        <v>19</v>
      </c>
      <c r="E1484" s="83" t="s">
        <v>953</v>
      </c>
      <c r="F1484" s="83" t="s">
        <v>39</v>
      </c>
      <c r="G1484" s="86">
        <v>875000</v>
      </c>
      <c r="H1484" s="86">
        <v>875000</v>
      </c>
      <c r="I1484" s="171"/>
      <c r="J1484" s="191"/>
      <c r="K1484" s="191"/>
      <c r="L1484" s="191"/>
      <c r="M1484" s="191"/>
      <c r="N1484" s="191"/>
      <c r="O1484" s="191"/>
      <c r="P1484" s="191"/>
      <c r="Q1484" s="191"/>
    </row>
    <row r="1485" spans="1:17" s="18" customFormat="1" ht="20.25" customHeight="1">
      <c r="A1485" s="81" t="s">
        <v>85</v>
      </c>
      <c r="B1485" s="82">
        <v>793</v>
      </c>
      <c r="C1485" s="83" t="s">
        <v>173</v>
      </c>
      <c r="D1485" s="83" t="s">
        <v>19</v>
      </c>
      <c r="E1485" s="83" t="s">
        <v>84</v>
      </c>
      <c r="F1485" s="83"/>
      <c r="G1485" s="86">
        <f t="shared" ref="G1485:H1486" si="372">G1486</f>
        <v>125000</v>
      </c>
      <c r="H1485" s="86">
        <f t="shared" si="372"/>
        <v>125000</v>
      </c>
      <c r="I1485" s="171"/>
      <c r="J1485" s="191"/>
      <c r="K1485" s="191"/>
      <c r="L1485" s="191"/>
      <c r="M1485" s="191"/>
      <c r="N1485" s="191"/>
      <c r="O1485" s="191"/>
      <c r="P1485" s="191"/>
      <c r="Q1485" s="191"/>
    </row>
    <row r="1486" spans="1:17" ht="30.75" customHeight="1">
      <c r="A1486" s="81" t="s">
        <v>36</v>
      </c>
      <c r="B1486" s="82">
        <v>793</v>
      </c>
      <c r="C1486" s="83" t="s">
        <v>173</v>
      </c>
      <c r="D1486" s="83" t="s">
        <v>19</v>
      </c>
      <c r="E1486" s="83" t="s">
        <v>84</v>
      </c>
      <c r="F1486" s="83" t="s">
        <v>37</v>
      </c>
      <c r="G1486" s="86">
        <f t="shared" si="372"/>
        <v>125000</v>
      </c>
      <c r="H1486" s="86">
        <f t="shared" si="372"/>
        <v>125000</v>
      </c>
      <c r="I1486" s="171"/>
    </row>
    <row r="1487" spans="1:17" s="18" customFormat="1" ht="34.5" customHeight="1">
      <c r="A1487" s="81" t="s">
        <v>38</v>
      </c>
      <c r="B1487" s="82">
        <v>793</v>
      </c>
      <c r="C1487" s="83" t="s">
        <v>173</v>
      </c>
      <c r="D1487" s="83" t="s">
        <v>19</v>
      </c>
      <c r="E1487" s="83" t="s">
        <v>84</v>
      </c>
      <c r="F1487" s="83" t="s">
        <v>39</v>
      </c>
      <c r="G1487" s="86">
        <v>125000</v>
      </c>
      <c r="H1487" s="86">
        <v>125000</v>
      </c>
      <c r="I1487" s="171"/>
      <c r="J1487" s="191"/>
      <c r="K1487" s="191"/>
      <c r="L1487" s="191"/>
      <c r="M1487" s="191"/>
      <c r="N1487" s="191"/>
      <c r="O1487" s="191"/>
      <c r="P1487" s="191"/>
      <c r="Q1487" s="191"/>
    </row>
    <row r="1488" spans="1:17" s="18" customFormat="1" ht="51">
      <c r="A1488" s="81" t="s">
        <v>508</v>
      </c>
      <c r="B1488" s="82">
        <v>793</v>
      </c>
      <c r="C1488" s="149" t="s">
        <v>173</v>
      </c>
      <c r="D1488" s="149" t="s">
        <v>19</v>
      </c>
      <c r="E1488" s="83" t="s">
        <v>214</v>
      </c>
      <c r="F1488" s="83"/>
      <c r="G1488" s="86">
        <f>G1489+G1495+G1492+G1499+G1504+G1509</f>
        <v>48054000</v>
      </c>
      <c r="H1488" s="86">
        <f t="shared" ref="H1488" si="373">H1489+H1495+H1492+H1499+H1504+H1509</f>
        <v>40284755.18</v>
      </c>
      <c r="I1488" s="171"/>
      <c r="J1488" s="191"/>
      <c r="K1488" s="191"/>
      <c r="L1488" s="191"/>
      <c r="M1488" s="191"/>
      <c r="N1488" s="191"/>
      <c r="O1488" s="191"/>
      <c r="P1488" s="191"/>
      <c r="Q1488" s="191"/>
    </row>
    <row r="1489" spans="1:17" s="18" customFormat="1" ht="89.25" hidden="1">
      <c r="A1489" s="81" t="s">
        <v>436</v>
      </c>
      <c r="B1489" s="82">
        <v>793</v>
      </c>
      <c r="C1489" s="149" t="s">
        <v>173</v>
      </c>
      <c r="D1489" s="149" t="s">
        <v>19</v>
      </c>
      <c r="E1489" s="83" t="s">
        <v>519</v>
      </c>
      <c r="F1489" s="83"/>
      <c r="G1489" s="86">
        <f>G1490</f>
        <v>0</v>
      </c>
      <c r="H1489" s="86">
        <f t="shared" ref="H1489:H1493" si="374">H1490</f>
        <v>0</v>
      </c>
      <c r="I1489" s="171"/>
      <c r="J1489" s="191"/>
      <c r="K1489" s="191"/>
      <c r="L1489" s="191"/>
      <c r="M1489" s="191"/>
      <c r="N1489" s="191"/>
      <c r="O1489" s="191"/>
      <c r="P1489" s="191"/>
      <c r="Q1489" s="191"/>
    </row>
    <row r="1490" spans="1:17" s="18" customFormat="1" ht="23.25" hidden="1" customHeight="1">
      <c r="A1490" s="81" t="s">
        <v>63</v>
      </c>
      <c r="B1490" s="82">
        <v>793</v>
      </c>
      <c r="C1490" s="149" t="s">
        <v>173</v>
      </c>
      <c r="D1490" s="149" t="s">
        <v>19</v>
      </c>
      <c r="E1490" s="83" t="s">
        <v>519</v>
      </c>
      <c r="F1490" s="83" t="s">
        <v>64</v>
      </c>
      <c r="G1490" s="86">
        <f>G1491</f>
        <v>0</v>
      </c>
      <c r="H1490" s="86">
        <f t="shared" si="374"/>
        <v>0</v>
      </c>
      <c r="I1490" s="171"/>
      <c r="J1490" s="191"/>
      <c r="K1490" s="191"/>
      <c r="L1490" s="191"/>
      <c r="M1490" s="191"/>
      <c r="N1490" s="191"/>
      <c r="O1490" s="191"/>
      <c r="P1490" s="191"/>
      <c r="Q1490" s="191"/>
    </row>
    <row r="1491" spans="1:17" s="18" customFormat="1" ht="20.25" hidden="1" customHeight="1">
      <c r="A1491" s="129" t="s">
        <v>144</v>
      </c>
      <c r="B1491" s="82">
        <v>793</v>
      </c>
      <c r="C1491" s="149" t="s">
        <v>173</v>
      </c>
      <c r="D1491" s="149" t="s">
        <v>19</v>
      </c>
      <c r="E1491" s="83" t="s">
        <v>519</v>
      </c>
      <c r="F1491" s="83" t="s">
        <v>67</v>
      </c>
      <c r="G1491" s="86"/>
      <c r="H1491" s="86"/>
      <c r="I1491" s="171"/>
      <c r="J1491" s="191"/>
      <c r="K1491" s="191"/>
      <c r="L1491" s="191"/>
      <c r="M1491" s="191"/>
      <c r="N1491" s="191"/>
      <c r="O1491" s="191"/>
      <c r="P1491" s="191"/>
      <c r="Q1491" s="191"/>
    </row>
    <row r="1492" spans="1:17" s="18" customFormat="1" ht="76.5" hidden="1">
      <c r="A1492" s="81" t="s">
        <v>437</v>
      </c>
      <c r="B1492" s="82">
        <v>793</v>
      </c>
      <c r="C1492" s="149" t="s">
        <v>173</v>
      </c>
      <c r="D1492" s="149" t="s">
        <v>19</v>
      </c>
      <c r="E1492" s="83" t="s">
        <v>520</v>
      </c>
      <c r="F1492" s="83"/>
      <c r="G1492" s="86">
        <f>G1493</f>
        <v>0</v>
      </c>
      <c r="H1492" s="86">
        <f t="shared" si="374"/>
        <v>0</v>
      </c>
      <c r="I1492" s="171"/>
      <c r="J1492" s="191"/>
      <c r="K1492" s="191"/>
      <c r="L1492" s="191"/>
      <c r="M1492" s="191"/>
      <c r="N1492" s="191"/>
      <c r="O1492" s="191"/>
      <c r="P1492" s="191"/>
      <c r="Q1492" s="191"/>
    </row>
    <row r="1493" spans="1:17" s="18" customFormat="1" ht="22.5" hidden="1" customHeight="1">
      <c r="A1493" s="81" t="s">
        <v>63</v>
      </c>
      <c r="B1493" s="82">
        <v>793</v>
      </c>
      <c r="C1493" s="149" t="s">
        <v>173</v>
      </c>
      <c r="D1493" s="149" t="s">
        <v>19</v>
      </c>
      <c r="E1493" s="83" t="s">
        <v>520</v>
      </c>
      <c r="F1493" s="83" t="s">
        <v>64</v>
      </c>
      <c r="G1493" s="86">
        <f>G1494</f>
        <v>0</v>
      </c>
      <c r="H1493" s="86">
        <f t="shared" si="374"/>
        <v>0</v>
      </c>
      <c r="I1493" s="171"/>
      <c r="J1493" s="191"/>
      <c r="K1493" s="191"/>
      <c r="L1493" s="191"/>
      <c r="M1493" s="191"/>
      <c r="N1493" s="191"/>
      <c r="O1493" s="191"/>
      <c r="P1493" s="191"/>
      <c r="Q1493" s="191"/>
    </row>
    <row r="1494" spans="1:17" s="18" customFormat="1" ht="17.25" hidden="1" customHeight="1">
      <c r="A1494" s="129" t="s">
        <v>144</v>
      </c>
      <c r="B1494" s="82">
        <v>793</v>
      </c>
      <c r="C1494" s="149" t="s">
        <v>173</v>
      </c>
      <c r="D1494" s="149" t="s">
        <v>19</v>
      </c>
      <c r="E1494" s="83" t="s">
        <v>520</v>
      </c>
      <c r="F1494" s="83" t="s">
        <v>67</v>
      </c>
      <c r="G1494" s="86"/>
      <c r="H1494" s="86"/>
      <c r="I1494" s="171"/>
      <c r="J1494" s="191"/>
      <c r="K1494" s="191"/>
      <c r="L1494" s="191"/>
      <c r="M1494" s="191"/>
      <c r="N1494" s="191"/>
      <c r="O1494" s="191"/>
      <c r="P1494" s="191"/>
      <c r="Q1494" s="191"/>
    </row>
    <row r="1495" spans="1:17" s="46" customFormat="1" ht="48.75" customHeight="1">
      <c r="A1495" s="81" t="s">
        <v>422</v>
      </c>
      <c r="B1495" s="82">
        <v>793</v>
      </c>
      <c r="C1495" s="149" t="s">
        <v>173</v>
      </c>
      <c r="D1495" s="149" t="s">
        <v>19</v>
      </c>
      <c r="E1495" s="83" t="s">
        <v>377</v>
      </c>
      <c r="F1495" s="83"/>
      <c r="G1495" s="86">
        <f>G1496</f>
        <v>4058000</v>
      </c>
      <c r="H1495" s="86">
        <f t="shared" ref="G1495:H1496" si="375">H1496</f>
        <v>2688620.18</v>
      </c>
      <c r="I1495" s="171"/>
      <c r="J1495" s="213"/>
      <c r="K1495" s="213"/>
      <c r="L1495" s="213"/>
      <c r="M1495" s="213"/>
      <c r="N1495" s="213"/>
      <c r="O1495" s="213"/>
      <c r="P1495" s="213"/>
      <c r="Q1495" s="213"/>
    </row>
    <row r="1496" spans="1:17" s="46" customFormat="1" ht="21" customHeight="1">
      <c r="A1496" s="81" t="s">
        <v>323</v>
      </c>
      <c r="B1496" s="82">
        <v>793</v>
      </c>
      <c r="C1496" s="149" t="s">
        <v>173</v>
      </c>
      <c r="D1496" s="149" t="s">
        <v>19</v>
      </c>
      <c r="E1496" s="83" t="s">
        <v>377</v>
      </c>
      <c r="F1496" s="83" t="s">
        <v>37</v>
      </c>
      <c r="G1496" s="86">
        <f t="shared" si="375"/>
        <v>4058000</v>
      </c>
      <c r="H1496" s="86">
        <f t="shared" si="375"/>
        <v>2688620.18</v>
      </c>
      <c r="I1496" s="171"/>
      <c r="J1496" s="213"/>
      <c r="K1496" s="213"/>
      <c r="L1496" s="213"/>
      <c r="M1496" s="213"/>
      <c r="N1496" s="213"/>
      <c r="O1496" s="213"/>
      <c r="P1496" s="213"/>
      <c r="Q1496" s="213"/>
    </row>
    <row r="1497" spans="1:17" s="46" customFormat="1" ht="28.5" customHeight="1">
      <c r="A1497" s="81" t="s">
        <v>38</v>
      </c>
      <c r="B1497" s="82">
        <v>793</v>
      </c>
      <c r="C1497" s="149" t="s">
        <v>173</v>
      </c>
      <c r="D1497" s="149" t="s">
        <v>19</v>
      </c>
      <c r="E1497" s="83" t="s">
        <v>377</v>
      </c>
      <c r="F1497" s="83" t="s">
        <v>39</v>
      </c>
      <c r="G1497" s="86">
        <f>1760000+1697500+600500</f>
        <v>4058000</v>
      </c>
      <c r="H1497" s="86">
        <v>2688620.18</v>
      </c>
      <c r="I1497" s="171"/>
      <c r="J1497" s="213"/>
      <c r="K1497" s="213"/>
      <c r="L1497" s="213"/>
      <c r="M1497" s="213"/>
      <c r="N1497" s="213"/>
      <c r="O1497" s="213"/>
      <c r="P1497" s="213"/>
      <c r="Q1497" s="213"/>
    </row>
    <row r="1498" spans="1:17" s="18" customFormat="1" hidden="1">
      <c r="A1498" s="81"/>
      <c r="B1498" s="82">
        <v>793</v>
      </c>
      <c r="C1498" s="149"/>
      <c r="D1498" s="149"/>
      <c r="E1498" s="83"/>
      <c r="F1498" s="83"/>
      <c r="G1498" s="86"/>
      <c r="H1498" s="86"/>
      <c r="I1498" s="171"/>
      <c r="J1498" s="191"/>
      <c r="K1498" s="191"/>
      <c r="L1498" s="191"/>
      <c r="M1498" s="191"/>
      <c r="N1498" s="191"/>
      <c r="O1498" s="191"/>
      <c r="P1498" s="191"/>
      <c r="Q1498" s="191"/>
    </row>
    <row r="1499" spans="1:17" s="18" customFormat="1" ht="89.25">
      <c r="A1499" s="81" t="s">
        <v>436</v>
      </c>
      <c r="B1499" s="82">
        <v>793</v>
      </c>
      <c r="C1499" s="149" t="s">
        <v>173</v>
      </c>
      <c r="D1499" s="149" t="s">
        <v>19</v>
      </c>
      <c r="E1499" s="83" t="s">
        <v>519</v>
      </c>
      <c r="F1499" s="83"/>
      <c r="G1499" s="86">
        <f>G1502+G1500</f>
        <v>43120000</v>
      </c>
      <c r="H1499" s="86">
        <f t="shared" ref="H1499" si="376">H1502+H1500</f>
        <v>36844212.299999997</v>
      </c>
      <c r="I1499" s="171"/>
      <c r="J1499" s="191"/>
      <c r="K1499" s="191"/>
      <c r="L1499" s="191"/>
      <c r="M1499" s="191"/>
      <c r="N1499" s="191"/>
      <c r="O1499" s="191"/>
      <c r="P1499" s="191"/>
      <c r="Q1499" s="191"/>
    </row>
    <row r="1500" spans="1:17" s="18" customFormat="1" ht="35.25" customHeight="1">
      <c r="A1500" s="81" t="s">
        <v>96</v>
      </c>
      <c r="B1500" s="82">
        <v>793</v>
      </c>
      <c r="C1500" s="149" t="s">
        <v>173</v>
      </c>
      <c r="D1500" s="149" t="s">
        <v>19</v>
      </c>
      <c r="E1500" s="83" t="s">
        <v>519</v>
      </c>
      <c r="F1500" s="83" t="s">
        <v>348</v>
      </c>
      <c r="G1500" s="86">
        <f>G1501</f>
        <v>0</v>
      </c>
      <c r="H1500" s="86">
        <f t="shared" ref="H1500:H1507" si="377">H1501</f>
        <v>0</v>
      </c>
      <c r="I1500" s="171"/>
      <c r="J1500" s="191"/>
      <c r="K1500" s="191"/>
      <c r="L1500" s="191"/>
      <c r="M1500" s="191"/>
      <c r="N1500" s="191"/>
      <c r="O1500" s="191"/>
      <c r="P1500" s="191"/>
      <c r="Q1500" s="191"/>
    </row>
    <row r="1501" spans="1:17" s="18" customFormat="1" ht="20.25" customHeight="1">
      <c r="A1501" s="129" t="s">
        <v>349</v>
      </c>
      <c r="B1501" s="82">
        <v>793</v>
      </c>
      <c r="C1501" s="149" t="s">
        <v>173</v>
      </c>
      <c r="D1501" s="149" t="s">
        <v>19</v>
      </c>
      <c r="E1501" s="83" t="s">
        <v>519</v>
      </c>
      <c r="F1501" s="83" t="s">
        <v>350</v>
      </c>
      <c r="G1501" s="86"/>
      <c r="H1501" s="86"/>
      <c r="I1501" s="171"/>
      <c r="J1501" s="191"/>
      <c r="K1501" s="191"/>
      <c r="L1501" s="191"/>
      <c r="M1501" s="191"/>
      <c r="N1501" s="191"/>
      <c r="O1501" s="191"/>
      <c r="P1501" s="191"/>
      <c r="Q1501" s="191"/>
    </row>
    <row r="1502" spans="1:17" s="18" customFormat="1" ht="23.25" customHeight="1">
      <c r="A1502" s="81" t="s">
        <v>63</v>
      </c>
      <c r="B1502" s="82">
        <v>793</v>
      </c>
      <c r="C1502" s="149" t="s">
        <v>173</v>
      </c>
      <c r="D1502" s="149" t="s">
        <v>19</v>
      </c>
      <c r="E1502" s="83" t="s">
        <v>519</v>
      </c>
      <c r="F1502" s="83" t="s">
        <v>64</v>
      </c>
      <c r="G1502" s="86">
        <f>G1503</f>
        <v>43120000</v>
      </c>
      <c r="H1502" s="86">
        <f t="shared" si="377"/>
        <v>36844212.299999997</v>
      </c>
      <c r="I1502" s="171"/>
      <c r="J1502" s="191"/>
      <c r="K1502" s="191"/>
      <c r="L1502" s="191"/>
      <c r="M1502" s="191"/>
      <c r="N1502" s="191"/>
      <c r="O1502" s="191"/>
      <c r="P1502" s="191"/>
      <c r="Q1502" s="191"/>
    </row>
    <row r="1503" spans="1:17" s="18" customFormat="1" ht="20.25" customHeight="1">
      <c r="A1503" s="129" t="s">
        <v>144</v>
      </c>
      <c r="B1503" s="82">
        <v>793</v>
      </c>
      <c r="C1503" s="149" t="s">
        <v>173</v>
      </c>
      <c r="D1503" s="149" t="s">
        <v>19</v>
      </c>
      <c r="E1503" s="83" t="s">
        <v>519</v>
      </c>
      <c r="F1503" s="83" t="s">
        <v>67</v>
      </c>
      <c r="G1503" s="86">
        <v>43120000</v>
      </c>
      <c r="H1503" s="86">
        <v>36844212.299999997</v>
      </c>
      <c r="I1503" s="171"/>
      <c r="J1503" s="191"/>
      <c r="K1503" s="191"/>
      <c r="L1503" s="191"/>
      <c r="M1503" s="191"/>
      <c r="N1503" s="191"/>
      <c r="O1503" s="191"/>
      <c r="P1503" s="191"/>
      <c r="Q1503" s="191"/>
    </row>
    <row r="1504" spans="1:17" s="18" customFormat="1" ht="87.75" customHeight="1">
      <c r="A1504" s="81" t="s">
        <v>437</v>
      </c>
      <c r="B1504" s="82">
        <v>793</v>
      </c>
      <c r="C1504" s="149" t="s">
        <v>173</v>
      </c>
      <c r="D1504" s="149" t="s">
        <v>19</v>
      </c>
      <c r="E1504" s="83" t="s">
        <v>520</v>
      </c>
      <c r="F1504" s="83"/>
      <c r="G1504" s="86">
        <f>G1507+G1505</f>
        <v>836000</v>
      </c>
      <c r="H1504" s="86">
        <f t="shared" ref="H1504" si="378">H1507+H1505</f>
        <v>714326.56</v>
      </c>
      <c r="I1504" s="171"/>
      <c r="J1504" s="191"/>
      <c r="K1504" s="191"/>
      <c r="L1504" s="191"/>
      <c r="M1504" s="191"/>
      <c r="N1504" s="191"/>
      <c r="O1504" s="191"/>
      <c r="P1504" s="191"/>
      <c r="Q1504" s="191"/>
    </row>
    <row r="1505" spans="1:17" s="18" customFormat="1" ht="23.25" hidden="1" customHeight="1">
      <c r="A1505" s="81" t="s">
        <v>96</v>
      </c>
      <c r="B1505" s="82">
        <v>793</v>
      </c>
      <c r="C1505" s="149" t="s">
        <v>173</v>
      </c>
      <c r="D1505" s="149" t="s">
        <v>19</v>
      </c>
      <c r="E1505" s="83" t="s">
        <v>520</v>
      </c>
      <c r="F1505" s="83" t="s">
        <v>348</v>
      </c>
      <c r="G1505" s="86">
        <f>G1506</f>
        <v>0</v>
      </c>
      <c r="H1505" s="86">
        <f t="shared" si="377"/>
        <v>0</v>
      </c>
      <c r="I1505" s="171"/>
      <c r="J1505" s="191"/>
      <c r="K1505" s="191"/>
      <c r="L1505" s="191"/>
      <c r="M1505" s="191"/>
      <c r="N1505" s="191"/>
      <c r="O1505" s="191"/>
      <c r="P1505" s="191"/>
      <c r="Q1505" s="191"/>
    </row>
    <row r="1506" spans="1:17" s="18" customFormat="1" ht="20.25" hidden="1" customHeight="1">
      <c r="A1506" s="129" t="s">
        <v>349</v>
      </c>
      <c r="B1506" s="82">
        <v>793</v>
      </c>
      <c r="C1506" s="149" t="s">
        <v>173</v>
      </c>
      <c r="D1506" s="149" t="s">
        <v>19</v>
      </c>
      <c r="E1506" s="83" t="s">
        <v>520</v>
      </c>
      <c r="F1506" s="83" t="s">
        <v>350</v>
      </c>
      <c r="G1506" s="86"/>
      <c r="H1506" s="86"/>
      <c r="I1506" s="171"/>
      <c r="J1506" s="191"/>
      <c r="K1506" s="191"/>
      <c r="L1506" s="191"/>
      <c r="M1506" s="191"/>
      <c r="N1506" s="191"/>
      <c r="O1506" s="191"/>
      <c r="P1506" s="191"/>
      <c r="Q1506" s="191"/>
    </row>
    <row r="1507" spans="1:17" s="18" customFormat="1" ht="22.5" customHeight="1">
      <c r="A1507" s="81" t="s">
        <v>63</v>
      </c>
      <c r="B1507" s="82">
        <v>793</v>
      </c>
      <c r="C1507" s="149" t="s">
        <v>173</v>
      </c>
      <c r="D1507" s="149" t="s">
        <v>19</v>
      </c>
      <c r="E1507" s="83" t="s">
        <v>520</v>
      </c>
      <c r="F1507" s="83" t="s">
        <v>64</v>
      </c>
      <c r="G1507" s="86">
        <f>G1508</f>
        <v>836000</v>
      </c>
      <c r="H1507" s="86">
        <f t="shared" si="377"/>
        <v>714326.56</v>
      </c>
      <c r="I1507" s="171"/>
      <c r="J1507" s="191"/>
      <c r="K1507" s="191"/>
      <c r="L1507" s="191"/>
      <c r="M1507" s="191"/>
      <c r="N1507" s="191"/>
      <c r="O1507" s="191"/>
      <c r="P1507" s="191"/>
      <c r="Q1507" s="191"/>
    </row>
    <row r="1508" spans="1:17" s="18" customFormat="1" ht="37.5" customHeight="1">
      <c r="A1508" s="129" t="s">
        <v>144</v>
      </c>
      <c r="B1508" s="82">
        <v>793</v>
      </c>
      <c r="C1508" s="149" t="s">
        <v>173</v>
      </c>
      <c r="D1508" s="149" t="s">
        <v>19</v>
      </c>
      <c r="E1508" s="83" t="s">
        <v>520</v>
      </c>
      <c r="F1508" s="83" t="s">
        <v>67</v>
      </c>
      <c r="G1508" s="86">
        <v>836000</v>
      </c>
      <c r="H1508" s="86">
        <v>714326.56</v>
      </c>
      <c r="I1508" s="171"/>
      <c r="J1508" s="191"/>
      <c r="K1508" s="191"/>
      <c r="L1508" s="191"/>
      <c r="M1508" s="191"/>
      <c r="N1508" s="191"/>
      <c r="O1508" s="191"/>
      <c r="P1508" s="191"/>
      <c r="Q1508" s="191"/>
    </row>
    <row r="1509" spans="1:17" s="18" customFormat="1" ht="84.75" customHeight="1">
      <c r="A1509" s="81" t="s">
        <v>990</v>
      </c>
      <c r="B1509" s="82">
        <v>793</v>
      </c>
      <c r="C1509" s="149" t="s">
        <v>173</v>
      </c>
      <c r="D1509" s="149" t="s">
        <v>19</v>
      </c>
      <c r="E1509" s="83" t="s">
        <v>989</v>
      </c>
      <c r="F1509" s="83"/>
      <c r="G1509" s="86">
        <f>G1510</f>
        <v>40000</v>
      </c>
      <c r="H1509" s="86">
        <f t="shared" ref="H1509" si="379">H1510</f>
        <v>37596.14</v>
      </c>
      <c r="I1509" s="171"/>
      <c r="J1509" s="191"/>
      <c r="K1509" s="191"/>
      <c r="L1509" s="191"/>
      <c r="M1509" s="191"/>
      <c r="N1509" s="191"/>
      <c r="O1509" s="191"/>
      <c r="P1509" s="191"/>
      <c r="Q1509" s="191"/>
    </row>
    <row r="1510" spans="1:17" s="18" customFormat="1" ht="22.5" customHeight="1">
      <c r="A1510" s="81" t="s">
        <v>63</v>
      </c>
      <c r="B1510" s="82">
        <v>793</v>
      </c>
      <c r="C1510" s="149" t="s">
        <v>173</v>
      </c>
      <c r="D1510" s="149" t="s">
        <v>19</v>
      </c>
      <c r="E1510" s="83" t="s">
        <v>989</v>
      </c>
      <c r="F1510" s="83" t="s">
        <v>64</v>
      </c>
      <c r="G1510" s="86">
        <f>G1511</f>
        <v>40000</v>
      </c>
      <c r="H1510" s="86">
        <f t="shared" ref="H1510" si="380">H1511</f>
        <v>37596.14</v>
      </c>
      <c r="I1510" s="171"/>
      <c r="J1510" s="191"/>
      <c r="K1510" s="191"/>
      <c r="L1510" s="191"/>
      <c r="M1510" s="191"/>
      <c r="N1510" s="191"/>
      <c r="O1510" s="191"/>
      <c r="P1510" s="191"/>
      <c r="Q1510" s="191"/>
    </row>
    <row r="1511" spans="1:17" s="18" customFormat="1" ht="37.5" customHeight="1">
      <c r="A1511" s="129" t="s">
        <v>144</v>
      </c>
      <c r="B1511" s="82">
        <v>793</v>
      </c>
      <c r="C1511" s="149" t="s">
        <v>173</v>
      </c>
      <c r="D1511" s="149" t="s">
        <v>19</v>
      </c>
      <c r="E1511" s="83" t="s">
        <v>989</v>
      </c>
      <c r="F1511" s="83" t="s">
        <v>67</v>
      </c>
      <c r="G1511" s="86">
        <v>40000</v>
      </c>
      <c r="H1511" s="86">
        <v>37596.14</v>
      </c>
      <c r="I1511" s="171"/>
      <c r="J1511" s="191"/>
      <c r="K1511" s="191"/>
      <c r="L1511" s="191"/>
      <c r="M1511" s="191"/>
      <c r="N1511" s="191"/>
      <c r="O1511" s="191"/>
      <c r="P1511" s="191"/>
      <c r="Q1511" s="191"/>
    </row>
    <row r="1512" spans="1:17" ht="16.5" customHeight="1">
      <c r="A1512" s="131" t="s">
        <v>175</v>
      </c>
      <c r="B1512" s="82">
        <v>793</v>
      </c>
      <c r="C1512" s="83" t="s">
        <v>173</v>
      </c>
      <c r="D1512" s="83" t="s">
        <v>28</v>
      </c>
      <c r="E1512" s="83"/>
      <c r="F1512" s="83"/>
      <c r="G1512" s="86">
        <f>G1513+G1567+G1573</f>
        <v>26084986.380000003</v>
      </c>
      <c r="H1512" s="86">
        <f>H1513+H1567+H1573</f>
        <v>19934198.290000003</v>
      </c>
      <c r="I1512" s="171"/>
    </row>
    <row r="1513" spans="1:17" s="3" customFormat="1" ht="52.5" customHeight="1">
      <c r="A1513" s="81" t="s">
        <v>489</v>
      </c>
      <c r="B1513" s="82">
        <v>793</v>
      </c>
      <c r="C1513" s="83" t="s">
        <v>173</v>
      </c>
      <c r="D1513" s="83" t="s">
        <v>28</v>
      </c>
      <c r="E1513" s="83" t="s">
        <v>295</v>
      </c>
      <c r="F1513" s="83"/>
      <c r="G1513" s="86">
        <f>G1516+G1559+G1561+G1531+G1528+G1525+G1564+G1554</f>
        <v>18525853.580000002</v>
      </c>
      <c r="H1513" s="86">
        <f>H1516+H1559+H1561+H1531+H1528+H1525+H1564+H1554</f>
        <v>12459955.370000001</v>
      </c>
      <c r="I1513" s="171"/>
      <c r="J1513" s="190"/>
      <c r="K1513" s="190"/>
      <c r="L1513" s="190"/>
      <c r="M1513" s="190"/>
      <c r="N1513" s="190"/>
      <c r="O1513" s="190"/>
      <c r="P1513" s="190"/>
      <c r="Q1513" s="190"/>
    </row>
    <row r="1514" spans="1:17">
      <c r="A1514" s="81" t="s">
        <v>749</v>
      </c>
      <c r="B1514" s="82">
        <v>793</v>
      </c>
      <c r="C1514" s="83" t="s">
        <v>173</v>
      </c>
      <c r="D1514" s="83" t="s">
        <v>28</v>
      </c>
      <c r="E1514" s="308" t="s">
        <v>296</v>
      </c>
      <c r="F1514" s="83"/>
      <c r="G1514" s="86">
        <f>G1515+G1517</f>
        <v>7229389.1500000004</v>
      </c>
      <c r="H1514" s="86">
        <f t="shared" ref="G1514:H1529" si="381">H1515</f>
        <v>7229388.9500000002</v>
      </c>
      <c r="I1514" s="171"/>
    </row>
    <row r="1515" spans="1:17" ht="25.5">
      <c r="A1515" s="81" t="s">
        <v>36</v>
      </c>
      <c r="B1515" s="82">
        <v>793</v>
      </c>
      <c r="C1515" s="83" t="s">
        <v>173</v>
      </c>
      <c r="D1515" s="83" t="s">
        <v>28</v>
      </c>
      <c r="E1515" s="83" t="s">
        <v>296</v>
      </c>
      <c r="F1515" s="83" t="s">
        <v>37</v>
      </c>
      <c r="G1515" s="86">
        <f t="shared" si="381"/>
        <v>7229389.1500000004</v>
      </c>
      <c r="H1515" s="86">
        <f t="shared" si="381"/>
        <v>7229388.9500000002</v>
      </c>
      <c r="I1515" s="171"/>
    </row>
    <row r="1516" spans="1:17" ht="25.5">
      <c r="A1516" s="81" t="s">
        <v>38</v>
      </c>
      <c r="B1516" s="82">
        <v>793</v>
      </c>
      <c r="C1516" s="83" t="s">
        <v>173</v>
      </c>
      <c r="D1516" s="83" t="s">
        <v>28</v>
      </c>
      <c r="E1516" s="83" t="s">
        <v>296</v>
      </c>
      <c r="F1516" s="83" t="s">
        <v>39</v>
      </c>
      <c r="G1516" s="86">
        <f>2200000-656946.05+3000000-1700000+4380135.2-20000+26200</f>
        <v>7229389.1500000004</v>
      </c>
      <c r="H1516" s="86">
        <v>7229388.9500000002</v>
      </c>
      <c r="I1516" s="171"/>
    </row>
    <row r="1517" spans="1:17" hidden="1">
      <c r="A1517" s="81" t="s">
        <v>63</v>
      </c>
      <c r="B1517" s="82">
        <v>793</v>
      </c>
      <c r="C1517" s="83" t="s">
        <v>173</v>
      </c>
      <c r="D1517" s="83" t="s">
        <v>28</v>
      </c>
      <c r="E1517" s="83" t="s">
        <v>296</v>
      </c>
      <c r="F1517" s="83" t="s">
        <v>64</v>
      </c>
      <c r="G1517" s="86">
        <f>G1518</f>
        <v>0</v>
      </c>
      <c r="H1517" s="86"/>
      <c r="I1517" s="171"/>
    </row>
    <row r="1518" spans="1:17" hidden="1">
      <c r="A1518" s="81" t="s">
        <v>180</v>
      </c>
      <c r="B1518" s="82">
        <v>793</v>
      </c>
      <c r="C1518" s="83" t="s">
        <v>173</v>
      </c>
      <c r="D1518" s="83" t="s">
        <v>28</v>
      </c>
      <c r="E1518" s="83" t="s">
        <v>296</v>
      </c>
      <c r="F1518" s="83" t="s">
        <v>181</v>
      </c>
      <c r="G1518" s="86">
        <v>0</v>
      </c>
      <c r="H1518" s="86"/>
      <c r="I1518" s="171"/>
    </row>
    <row r="1519" spans="1:17" hidden="1">
      <c r="A1519" s="81" t="s">
        <v>694</v>
      </c>
      <c r="B1519" s="82">
        <v>793</v>
      </c>
      <c r="C1519" s="83" t="s">
        <v>173</v>
      </c>
      <c r="D1519" s="83" t="s">
        <v>28</v>
      </c>
      <c r="E1519" s="83" t="s">
        <v>693</v>
      </c>
      <c r="F1519" s="83"/>
      <c r="G1519" s="86">
        <f t="shared" si="381"/>
        <v>0</v>
      </c>
      <c r="H1519" s="86">
        <f t="shared" si="381"/>
        <v>0</v>
      </c>
      <c r="I1519" s="171"/>
    </row>
    <row r="1520" spans="1:17" ht="25.5" hidden="1">
      <c r="A1520" s="81" t="s">
        <v>36</v>
      </c>
      <c r="B1520" s="82">
        <v>793</v>
      </c>
      <c r="C1520" s="83" t="s">
        <v>173</v>
      </c>
      <c r="D1520" s="83" t="s">
        <v>28</v>
      </c>
      <c r="E1520" s="83" t="s">
        <v>693</v>
      </c>
      <c r="F1520" s="83" t="s">
        <v>37</v>
      </c>
      <c r="G1520" s="86">
        <f t="shared" si="381"/>
        <v>0</v>
      </c>
      <c r="H1520" s="86">
        <f t="shared" si="381"/>
        <v>0</v>
      </c>
      <c r="I1520" s="171"/>
    </row>
    <row r="1521" spans="1:17" ht="25.5" hidden="1">
      <c r="A1521" s="81" t="s">
        <v>38</v>
      </c>
      <c r="B1521" s="82">
        <v>793</v>
      </c>
      <c r="C1521" s="83" t="s">
        <v>173</v>
      </c>
      <c r="D1521" s="83" t="s">
        <v>28</v>
      </c>
      <c r="E1521" s="83" t="s">
        <v>693</v>
      </c>
      <c r="F1521" s="83" t="s">
        <v>39</v>
      </c>
      <c r="G1521" s="86"/>
      <c r="H1521" s="86">
        <v>0</v>
      </c>
      <c r="I1521" s="171"/>
    </row>
    <row r="1522" spans="1:17" hidden="1">
      <c r="A1522" s="81" t="s">
        <v>740</v>
      </c>
      <c r="B1522" s="82">
        <v>793</v>
      </c>
      <c r="C1522" s="83" t="s">
        <v>173</v>
      </c>
      <c r="D1522" s="83" t="s">
        <v>28</v>
      </c>
      <c r="E1522" s="83" t="s">
        <v>739</v>
      </c>
      <c r="F1522" s="83"/>
      <c r="G1522" s="86">
        <f t="shared" si="381"/>
        <v>0</v>
      </c>
      <c r="H1522" s="86">
        <f t="shared" si="381"/>
        <v>0</v>
      </c>
      <c r="I1522" s="171"/>
    </row>
    <row r="1523" spans="1:17" ht="25.5" hidden="1">
      <c r="A1523" s="81" t="s">
        <v>36</v>
      </c>
      <c r="B1523" s="82">
        <v>793</v>
      </c>
      <c r="C1523" s="83" t="s">
        <v>173</v>
      </c>
      <c r="D1523" s="83" t="s">
        <v>28</v>
      </c>
      <c r="E1523" s="83" t="s">
        <v>739</v>
      </c>
      <c r="F1523" s="83" t="s">
        <v>37</v>
      </c>
      <c r="G1523" s="86">
        <f t="shared" si="381"/>
        <v>0</v>
      </c>
      <c r="H1523" s="86">
        <f t="shared" si="381"/>
        <v>0</v>
      </c>
      <c r="I1523" s="171"/>
    </row>
    <row r="1524" spans="1:17" ht="25.5" hidden="1">
      <c r="A1524" s="81" t="s">
        <v>38</v>
      </c>
      <c r="B1524" s="82">
        <v>793</v>
      </c>
      <c r="C1524" s="83" t="s">
        <v>173</v>
      </c>
      <c r="D1524" s="83" t="s">
        <v>28</v>
      </c>
      <c r="E1524" s="83" t="s">
        <v>739</v>
      </c>
      <c r="F1524" s="83" t="s">
        <v>39</v>
      </c>
      <c r="G1524" s="86"/>
      <c r="H1524" s="86"/>
      <c r="I1524" s="171"/>
    </row>
    <row r="1525" spans="1:17" ht="25.5">
      <c r="A1525" s="81" t="s">
        <v>1046</v>
      </c>
      <c r="B1525" s="82">
        <v>793</v>
      </c>
      <c r="C1525" s="83" t="s">
        <v>173</v>
      </c>
      <c r="D1525" s="83" t="s">
        <v>28</v>
      </c>
      <c r="E1525" s="83" t="s">
        <v>1049</v>
      </c>
      <c r="F1525" s="83"/>
      <c r="G1525" s="86">
        <f>G1526</f>
        <v>270000</v>
      </c>
      <c r="H1525" s="86">
        <f t="shared" si="381"/>
        <v>260000</v>
      </c>
      <c r="I1525" s="171"/>
    </row>
    <row r="1526" spans="1:17" ht="25.5">
      <c r="A1526" s="81" t="s">
        <v>36</v>
      </c>
      <c r="B1526" s="82">
        <v>793</v>
      </c>
      <c r="C1526" s="83" t="s">
        <v>173</v>
      </c>
      <c r="D1526" s="83" t="s">
        <v>28</v>
      </c>
      <c r="E1526" s="83" t="s">
        <v>1049</v>
      </c>
      <c r="F1526" s="83" t="s">
        <v>348</v>
      </c>
      <c r="G1526" s="86">
        <f t="shared" si="381"/>
        <v>270000</v>
      </c>
      <c r="H1526" s="86">
        <f t="shared" si="381"/>
        <v>260000</v>
      </c>
      <c r="I1526" s="171"/>
    </row>
    <row r="1527" spans="1:17" ht="25.5">
      <c r="A1527" s="81" t="s">
        <v>38</v>
      </c>
      <c r="B1527" s="82">
        <v>793</v>
      </c>
      <c r="C1527" s="83" t="s">
        <v>173</v>
      </c>
      <c r="D1527" s="83" t="s">
        <v>28</v>
      </c>
      <c r="E1527" s="83" t="s">
        <v>1049</v>
      </c>
      <c r="F1527" s="83" t="s">
        <v>350</v>
      </c>
      <c r="G1527" s="86">
        <f>20000+250000</f>
        <v>270000</v>
      </c>
      <c r="H1527" s="86">
        <v>260000</v>
      </c>
      <c r="I1527" s="171"/>
    </row>
    <row r="1528" spans="1:17" ht="25.5">
      <c r="A1528" s="81" t="s">
        <v>992</v>
      </c>
      <c r="B1528" s="82">
        <v>793</v>
      </c>
      <c r="C1528" s="83" t="s">
        <v>173</v>
      </c>
      <c r="D1528" s="83" t="s">
        <v>28</v>
      </c>
      <c r="E1528" s="83" t="s">
        <v>991</v>
      </c>
      <c r="F1528" s="83"/>
      <c r="G1528" s="86">
        <f>G1529</f>
        <v>656946.05000000005</v>
      </c>
      <c r="H1528" s="86">
        <f t="shared" si="381"/>
        <v>656946.05000000005</v>
      </c>
      <c r="I1528" s="171"/>
    </row>
    <row r="1529" spans="1:17" ht="25.5">
      <c r="A1529" s="81" t="s">
        <v>96</v>
      </c>
      <c r="B1529" s="82">
        <v>793</v>
      </c>
      <c r="C1529" s="83" t="s">
        <v>173</v>
      </c>
      <c r="D1529" s="83" t="s">
        <v>28</v>
      </c>
      <c r="E1529" s="83" t="s">
        <v>991</v>
      </c>
      <c r="F1529" s="83" t="s">
        <v>348</v>
      </c>
      <c r="G1529" s="86">
        <f t="shared" si="381"/>
        <v>656946.05000000005</v>
      </c>
      <c r="H1529" s="86">
        <f t="shared" si="381"/>
        <v>656946.05000000005</v>
      </c>
      <c r="I1529" s="171"/>
    </row>
    <row r="1530" spans="1:17">
      <c r="A1530" s="81" t="s">
        <v>349</v>
      </c>
      <c r="B1530" s="82">
        <v>793</v>
      </c>
      <c r="C1530" s="83" t="s">
        <v>173</v>
      </c>
      <c r="D1530" s="83" t="s">
        <v>28</v>
      </c>
      <c r="E1530" s="83" t="s">
        <v>991</v>
      </c>
      <c r="F1530" s="83" t="s">
        <v>350</v>
      </c>
      <c r="G1530" s="86">
        <v>656946.05000000005</v>
      </c>
      <c r="H1530" s="86">
        <v>656946.05000000005</v>
      </c>
      <c r="I1530" s="171"/>
    </row>
    <row r="1531" spans="1:17" s="3" customFormat="1" ht="67.5" customHeight="1">
      <c r="A1531" s="81" t="s">
        <v>320</v>
      </c>
      <c r="B1531" s="82">
        <v>793</v>
      </c>
      <c r="C1531" s="83" t="s">
        <v>173</v>
      </c>
      <c r="D1531" s="83" t="s">
        <v>28</v>
      </c>
      <c r="E1531" s="83" t="s">
        <v>321</v>
      </c>
      <c r="F1531" s="83"/>
      <c r="G1531" s="86">
        <f>G1535+G1533</f>
        <v>776719</v>
      </c>
      <c r="H1531" s="86">
        <f>H1535+H1533</f>
        <v>771477</v>
      </c>
      <c r="I1531" s="171"/>
      <c r="J1531" s="190"/>
      <c r="K1531" s="190"/>
      <c r="L1531" s="190"/>
      <c r="M1531" s="190"/>
      <c r="N1531" s="190"/>
      <c r="O1531" s="190"/>
      <c r="P1531" s="190"/>
      <c r="Q1531" s="190"/>
    </row>
    <row r="1532" spans="1:17" ht="25.5">
      <c r="A1532" s="81" t="s">
        <v>36</v>
      </c>
      <c r="B1532" s="82">
        <v>793</v>
      </c>
      <c r="C1532" s="83" t="s">
        <v>173</v>
      </c>
      <c r="D1532" s="83" t="s">
        <v>28</v>
      </c>
      <c r="E1532" s="83" t="s">
        <v>321</v>
      </c>
      <c r="F1532" s="83" t="s">
        <v>37</v>
      </c>
      <c r="G1532" s="86">
        <f>G1533</f>
        <v>0</v>
      </c>
      <c r="H1532" s="86">
        <f>H1533</f>
        <v>0</v>
      </c>
      <c r="I1532" s="171"/>
    </row>
    <row r="1533" spans="1:17" ht="25.5">
      <c r="A1533" s="81" t="s">
        <v>38</v>
      </c>
      <c r="B1533" s="82">
        <v>793</v>
      </c>
      <c r="C1533" s="83" t="s">
        <v>173</v>
      </c>
      <c r="D1533" s="83" t="s">
        <v>28</v>
      </c>
      <c r="E1533" s="83" t="s">
        <v>321</v>
      </c>
      <c r="F1533" s="83" t="s">
        <v>39</v>
      </c>
      <c r="G1533" s="86">
        <v>0</v>
      </c>
      <c r="H1533" s="86">
        <v>0</v>
      </c>
      <c r="I1533" s="171"/>
    </row>
    <row r="1534" spans="1:17">
      <c r="A1534" s="81" t="s">
        <v>156</v>
      </c>
      <c r="B1534" s="82">
        <v>793</v>
      </c>
      <c r="C1534" s="83" t="s">
        <v>173</v>
      </c>
      <c r="D1534" s="83" t="s">
        <v>28</v>
      </c>
      <c r="E1534" s="83" t="s">
        <v>321</v>
      </c>
      <c r="F1534" s="83" t="s">
        <v>157</v>
      </c>
      <c r="G1534" s="86">
        <f>G1535</f>
        <v>776719</v>
      </c>
      <c r="H1534" s="86">
        <f>H1535</f>
        <v>771477</v>
      </c>
      <c r="I1534" s="171"/>
    </row>
    <row r="1535" spans="1:17">
      <c r="A1535" s="81" t="s">
        <v>178</v>
      </c>
      <c r="B1535" s="82">
        <v>793</v>
      </c>
      <c r="C1535" s="83" t="s">
        <v>173</v>
      </c>
      <c r="D1535" s="83" t="s">
        <v>28</v>
      </c>
      <c r="E1535" s="83" t="s">
        <v>321</v>
      </c>
      <c r="F1535" s="83" t="s">
        <v>179</v>
      </c>
      <c r="G1535" s="86">
        <f>700000+76719-119892.03+119892.03</f>
        <v>776719</v>
      </c>
      <c r="H1535" s="86">
        <v>771477</v>
      </c>
      <c r="I1535" s="171"/>
    </row>
    <row r="1536" spans="1:17" ht="44.25" hidden="1" customHeight="1">
      <c r="A1536" s="81" t="s">
        <v>806</v>
      </c>
      <c r="B1536" s="82">
        <v>793</v>
      </c>
      <c r="C1536" s="83" t="s">
        <v>173</v>
      </c>
      <c r="D1536" s="83" t="s">
        <v>28</v>
      </c>
      <c r="E1536" s="83" t="s">
        <v>805</v>
      </c>
      <c r="F1536" s="83"/>
      <c r="G1536" s="86">
        <f t="shared" ref="G1536:H1546" si="382">G1537</f>
        <v>0</v>
      </c>
      <c r="H1536" s="86">
        <f t="shared" si="382"/>
        <v>0</v>
      </c>
      <c r="I1536" s="171"/>
    </row>
    <row r="1537" spans="1:9" ht="34.5" hidden="1" customHeight="1">
      <c r="A1537" s="81" t="s">
        <v>36</v>
      </c>
      <c r="B1537" s="82">
        <v>793</v>
      </c>
      <c r="C1537" s="83" t="s">
        <v>173</v>
      </c>
      <c r="D1537" s="83" t="s">
        <v>28</v>
      </c>
      <c r="E1537" s="83" t="s">
        <v>805</v>
      </c>
      <c r="F1537" s="83" t="s">
        <v>348</v>
      </c>
      <c r="G1537" s="86">
        <f t="shared" si="382"/>
        <v>0</v>
      </c>
      <c r="H1537" s="86">
        <f t="shared" si="382"/>
        <v>0</v>
      </c>
      <c r="I1537" s="171"/>
    </row>
    <row r="1538" spans="1:9" ht="34.5" hidden="1" customHeight="1">
      <c r="A1538" s="81" t="s">
        <v>38</v>
      </c>
      <c r="B1538" s="82">
        <v>793</v>
      </c>
      <c r="C1538" s="83" t="s">
        <v>173</v>
      </c>
      <c r="D1538" s="83" t="s">
        <v>28</v>
      </c>
      <c r="E1538" s="83" t="s">
        <v>805</v>
      </c>
      <c r="F1538" s="83" t="s">
        <v>350</v>
      </c>
      <c r="G1538" s="86"/>
      <c r="H1538" s="86"/>
      <c r="I1538" s="171"/>
    </row>
    <row r="1539" spans="1:9" ht="44.25" hidden="1" customHeight="1">
      <c r="A1539" s="81" t="s">
        <v>808</v>
      </c>
      <c r="B1539" s="82">
        <v>793</v>
      </c>
      <c r="C1539" s="83" t="s">
        <v>173</v>
      </c>
      <c r="D1539" s="83" t="s">
        <v>28</v>
      </c>
      <c r="E1539" s="83" t="s">
        <v>807</v>
      </c>
      <c r="F1539" s="83"/>
      <c r="G1539" s="86">
        <f t="shared" si="382"/>
        <v>0</v>
      </c>
      <c r="H1539" s="86">
        <f t="shared" si="382"/>
        <v>0</v>
      </c>
      <c r="I1539" s="171"/>
    </row>
    <row r="1540" spans="1:9" ht="34.5" hidden="1" customHeight="1">
      <c r="A1540" s="81" t="s">
        <v>36</v>
      </c>
      <c r="B1540" s="82">
        <v>793</v>
      </c>
      <c r="C1540" s="83" t="s">
        <v>173</v>
      </c>
      <c r="D1540" s="83" t="s">
        <v>28</v>
      </c>
      <c r="E1540" s="83" t="s">
        <v>807</v>
      </c>
      <c r="F1540" s="83" t="s">
        <v>348</v>
      </c>
      <c r="G1540" s="86">
        <f t="shared" si="382"/>
        <v>0</v>
      </c>
      <c r="H1540" s="86">
        <f t="shared" si="382"/>
        <v>0</v>
      </c>
      <c r="I1540" s="171"/>
    </row>
    <row r="1541" spans="1:9" ht="34.5" hidden="1" customHeight="1">
      <c r="A1541" s="81" t="s">
        <v>38</v>
      </c>
      <c r="B1541" s="82">
        <v>793</v>
      </c>
      <c r="C1541" s="83" t="s">
        <v>173</v>
      </c>
      <c r="D1541" s="83" t="s">
        <v>28</v>
      </c>
      <c r="E1541" s="83" t="s">
        <v>807</v>
      </c>
      <c r="F1541" s="83" t="s">
        <v>350</v>
      </c>
      <c r="G1541" s="86"/>
      <c r="H1541" s="86"/>
      <c r="I1541" s="171"/>
    </row>
    <row r="1542" spans="1:9" ht="44.25" hidden="1" customHeight="1">
      <c r="A1542" s="81" t="s">
        <v>810</v>
      </c>
      <c r="B1542" s="82">
        <v>793</v>
      </c>
      <c r="C1542" s="83" t="s">
        <v>173</v>
      </c>
      <c r="D1542" s="83" t="s">
        <v>28</v>
      </c>
      <c r="E1542" s="83" t="s">
        <v>809</v>
      </c>
      <c r="F1542" s="83"/>
      <c r="G1542" s="86">
        <f t="shared" si="382"/>
        <v>0</v>
      </c>
      <c r="H1542" s="86">
        <f t="shared" si="382"/>
        <v>0</v>
      </c>
      <c r="I1542" s="171"/>
    </row>
    <row r="1543" spans="1:9" ht="34.5" hidden="1" customHeight="1">
      <c r="A1543" s="81" t="s">
        <v>36</v>
      </c>
      <c r="B1543" s="82">
        <v>793</v>
      </c>
      <c r="C1543" s="83" t="s">
        <v>173</v>
      </c>
      <c r="D1543" s="83" t="s">
        <v>28</v>
      </c>
      <c r="E1543" s="83" t="s">
        <v>809</v>
      </c>
      <c r="F1543" s="83" t="s">
        <v>348</v>
      </c>
      <c r="G1543" s="86">
        <f t="shared" si="382"/>
        <v>0</v>
      </c>
      <c r="H1543" s="86">
        <f t="shared" si="382"/>
        <v>0</v>
      </c>
      <c r="I1543" s="171"/>
    </row>
    <row r="1544" spans="1:9" ht="34.5" hidden="1" customHeight="1">
      <c r="A1544" s="81" t="s">
        <v>38</v>
      </c>
      <c r="B1544" s="82">
        <v>793</v>
      </c>
      <c r="C1544" s="83" t="s">
        <v>173</v>
      </c>
      <c r="D1544" s="83" t="s">
        <v>28</v>
      </c>
      <c r="E1544" s="83" t="s">
        <v>809</v>
      </c>
      <c r="F1544" s="83" t="s">
        <v>350</v>
      </c>
      <c r="G1544" s="86"/>
      <c r="H1544" s="86"/>
      <c r="I1544" s="171"/>
    </row>
    <row r="1545" spans="1:9" ht="57" hidden="1" customHeight="1">
      <c r="A1545" s="81" t="s">
        <v>812</v>
      </c>
      <c r="B1545" s="82">
        <v>793</v>
      </c>
      <c r="C1545" s="83" t="s">
        <v>173</v>
      </c>
      <c r="D1545" s="83" t="s">
        <v>28</v>
      </c>
      <c r="E1545" s="83" t="s">
        <v>811</v>
      </c>
      <c r="F1545" s="83"/>
      <c r="G1545" s="86">
        <f t="shared" si="382"/>
        <v>0</v>
      </c>
      <c r="H1545" s="86">
        <f t="shared" si="382"/>
        <v>0</v>
      </c>
      <c r="I1545" s="171"/>
    </row>
    <row r="1546" spans="1:9" ht="34.5" hidden="1" customHeight="1">
      <c r="A1546" s="81" t="s">
        <v>36</v>
      </c>
      <c r="B1546" s="82">
        <v>793</v>
      </c>
      <c r="C1546" s="83" t="s">
        <v>173</v>
      </c>
      <c r="D1546" s="83" t="s">
        <v>28</v>
      </c>
      <c r="E1546" s="83" t="s">
        <v>811</v>
      </c>
      <c r="F1546" s="83" t="s">
        <v>348</v>
      </c>
      <c r="G1546" s="86">
        <f t="shared" si="382"/>
        <v>0</v>
      </c>
      <c r="H1546" s="86">
        <f t="shared" si="382"/>
        <v>0</v>
      </c>
      <c r="I1546" s="171"/>
    </row>
    <row r="1547" spans="1:9" ht="34.5" hidden="1" customHeight="1">
      <c r="A1547" s="81" t="s">
        <v>38</v>
      </c>
      <c r="B1547" s="82">
        <v>793</v>
      </c>
      <c r="C1547" s="83" t="s">
        <v>173</v>
      </c>
      <c r="D1547" s="83" t="s">
        <v>28</v>
      </c>
      <c r="E1547" s="83" t="s">
        <v>811</v>
      </c>
      <c r="F1547" s="83" t="s">
        <v>350</v>
      </c>
      <c r="G1547" s="86"/>
      <c r="H1547" s="86"/>
      <c r="I1547" s="171"/>
    </row>
    <row r="1548" spans="1:9" ht="34.5" hidden="1" customHeight="1">
      <c r="A1548" s="81" t="s">
        <v>504</v>
      </c>
      <c r="B1548" s="82">
        <v>793</v>
      </c>
      <c r="C1548" s="83" t="s">
        <v>173</v>
      </c>
      <c r="D1548" s="83" t="s">
        <v>28</v>
      </c>
      <c r="E1548" s="83" t="s">
        <v>505</v>
      </c>
      <c r="F1548" s="83"/>
      <c r="G1548" s="86">
        <f t="shared" ref="G1548:H1558" si="383">G1549</f>
        <v>0</v>
      </c>
      <c r="H1548" s="86">
        <f t="shared" si="383"/>
        <v>0</v>
      </c>
      <c r="I1548" s="171"/>
    </row>
    <row r="1549" spans="1:9" ht="34.5" hidden="1" customHeight="1">
      <c r="A1549" s="81" t="s">
        <v>36</v>
      </c>
      <c r="B1549" s="82">
        <v>793</v>
      </c>
      <c r="C1549" s="83" t="s">
        <v>173</v>
      </c>
      <c r="D1549" s="83" t="s">
        <v>28</v>
      </c>
      <c r="E1549" s="83" t="s">
        <v>505</v>
      </c>
      <c r="F1549" s="83" t="s">
        <v>37</v>
      </c>
      <c r="G1549" s="86">
        <f t="shared" si="383"/>
        <v>0</v>
      </c>
      <c r="H1549" s="86">
        <f t="shared" si="383"/>
        <v>0</v>
      </c>
      <c r="I1549" s="171"/>
    </row>
    <row r="1550" spans="1:9" ht="34.5" hidden="1" customHeight="1">
      <c r="A1550" s="81" t="s">
        <v>38</v>
      </c>
      <c r="B1550" s="82">
        <v>793</v>
      </c>
      <c r="C1550" s="83" t="s">
        <v>173</v>
      </c>
      <c r="D1550" s="83" t="s">
        <v>28</v>
      </c>
      <c r="E1550" s="83" t="s">
        <v>505</v>
      </c>
      <c r="F1550" s="83" t="s">
        <v>39</v>
      </c>
      <c r="G1550" s="86">
        <v>0</v>
      </c>
      <c r="H1550" s="86">
        <f>167220-167220</f>
        <v>0</v>
      </c>
      <c r="I1550" s="171"/>
    </row>
    <row r="1551" spans="1:9" ht="18" hidden="1" customHeight="1">
      <c r="A1551" s="81" t="s">
        <v>156</v>
      </c>
      <c r="B1551" s="82">
        <v>793</v>
      </c>
      <c r="C1551" s="83" t="s">
        <v>173</v>
      </c>
      <c r="D1551" s="83" t="s">
        <v>28</v>
      </c>
      <c r="E1551" s="83" t="s">
        <v>714</v>
      </c>
      <c r="F1551" s="83" t="s">
        <v>157</v>
      </c>
      <c r="G1551" s="86">
        <f>G1552</f>
        <v>0</v>
      </c>
      <c r="H1551" s="86">
        <f>H1552</f>
        <v>0</v>
      </c>
      <c r="I1551" s="171"/>
    </row>
    <row r="1552" spans="1:9" ht="18" hidden="1" customHeight="1">
      <c r="A1552" s="81" t="s">
        <v>178</v>
      </c>
      <c r="B1552" s="82">
        <v>793</v>
      </c>
      <c r="C1552" s="83" t="s">
        <v>173</v>
      </c>
      <c r="D1552" s="83" t="s">
        <v>28</v>
      </c>
      <c r="E1552" s="83" t="s">
        <v>714</v>
      </c>
      <c r="F1552" s="83" t="s">
        <v>179</v>
      </c>
      <c r="G1552" s="86"/>
      <c r="H1552" s="86">
        <v>0</v>
      </c>
      <c r="I1552" s="171"/>
    </row>
    <row r="1553" spans="1:17" s="3" customFormat="1" ht="67.5" hidden="1" customHeight="1">
      <c r="A1553" s="81" t="s">
        <v>320</v>
      </c>
      <c r="B1553" s="82">
        <v>793</v>
      </c>
      <c r="C1553" s="83" t="s">
        <v>173</v>
      </c>
      <c r="D1553" s="83" t="s">
        <v>28</v>
      </c>
      <c r="E1553" s="83" t="s">
        <v>321</v>
      </c>
      <c r="F1553" s="83"/>
      <c r="G1553" s="86">
        <f>G1533</f>
        <v>0</v>
      </c>
      <c r="H1553" s="86"/>
      <c r="I1553" s="171"/>
      <c r="J1553" s="190"/>
      <c r="K1553" s="190"/>
      <c r="L1553" s="190"/>
      <c r="M1553" s="190"/>
      <c r="N1553" s="190"/>
      <c r="O1553" s="190"/>
      <c r="P1553" s="190"/>
      <c r="Q1553" s="190"/>
    </row>
    <row r="1554" spans="1:17" ht="25.5">
      <c r="A1554" s="81" t="s">
        <v>1107</v>
      </c>
      <c r="B1554" s="82">
        <v>793</v>
      </c>
      <c r="C1554" s="83" t="s">
        <v>173</v>
      </c>
      <c r="D1554" s="83" t="s">
        <v>28</v>
      </c>
      <c r="E1554" s="83" t="s">
        <v>1106</v>
      </c>
      <c r="F1554" s="83"/>
      <c r="G1554" s="86">
        <f>G1555</f>
        <v>712816.76</v>
      </c>
      <c r="H1554" s="86">
        <f t="shared" ref="G1554:H1555" si="384">H1555</f>
        <v>20000</v>
      </c>
      <c r="I1554" s="171"/>
    </row>
    <row r="1555" spans="1:17" ht="25.5">
      <c r="A1555" s="81" t="s">
        <v>96</v>
      </c>
      <c r="B1555" s="82">
        <v>793</v>
      </c>
      <c r="C1555" s="83" t="s">
        <v>173</v>
      </c>
      <c r="D1555" s="83" t="s">
        <v>28</v>
      </c>
      <c r="E1555" s="83" t="s">
        <v>1106</v>
      </c>
      <c r="F1555" s="83" t="s">
        <v>348</v>
      </c>
      <c r="G1555" s="86">
        <f t="shared" si="384"/>
        <v>712816.76</v>
      </c>
      <c r="H1555" s="86">
        <f t="shared" si="384"/>
        <v>20000</v>
      </c>
      <c r="I1555" s="171"/>
    </row>
    <row r="1556" spans="1:17">
      <c r="A1556" s="81" t="s">
        <v>349</v>
      </c>
      <c r="B1556" s="82">
        <v>793</v>
      </c>
      <c r="C1556" s="83" t="s">
        <v>173</v>
      </c>
      <c r="D1556" s="83" t="s">
        <v>28</v>
      </c>
      <c r="E1556" s="83" t="s">
        <v>1106</v>
      </c>
      <c r="F1556" s="83" t="s">
        <v>350</v>
      </c>
      <c r="G1556" s="86">
        <v>712816.76</v>
      </c>
      <c r="H1556" s="86">
        <v>20000</v>
      </c>
      <c r="I1556" s="171"/>
    </row>
    <row r="1557" spans="1:17" ht="34.5" customHeight="1">
      <c r="A1557" s="81" t="s">
        <v>530</v>
      </c>
      <c r="B1557" s="82">
        <v>793</v>
      </c>
      <c r="C1557" s="83" t="s">
        <v>173</v>
      </c>
      <c r="D1557" s="83" t="s">
        <v>28</v>
      </c>
      <c r="E1557" s="83" t="s">
        <v>529</v>
      </c>
      <c r="F1557" s="83"/>
      <c r="G1557" s="86">
        <f t="shared" si="383"/>
        <v>500000</v>
      </c>
      <c r="H1557" s="86">
        <f t="shared" si="383"/>
        <v>308227.83</v>
      </c>
      <c r="I1557" s="171"/>
    </row>
    <row r="1558" spans="1:17" ht="34.5" customHeight="1">
      <c r="A1558" s="81" t="s">
        <v>36</v>
      </c>
      <c r="B1558" s="82">
        <v>793</v>
      </c>
      <c r="C1558" s="83" t="s">
        <v>173</v>
      </c>
      <c r="D1558" s="83" t="s">
        <v>28</v>
      </c>
      <c r="E1558" s="83" t="s">
        <v>529</v>
      </c>
      <c r="F1558" s="83" t="s">
        <v>37</v>
      </c>
      <c r="G1558" s="86">
        <f t="shared" si="383"/>
        <v>500000</v>
      </c>
      <c r="H1558" s="86">
        <f t="shared" si="383"/>
        <v>308227.83</v>
      </c>
      <c r="I1558" s="171"/>
    </row>
    <row r="1559" spans="1:17" ht="34.5" customHeight="1">
      <c r="A1559" s="81" t="s">
        <v>38</v>
      </c>
      <c r="B1559" s="82">
        <v>793</v>
      </c>
      <c r="C1559" s="83" t="s">
        <v>173</v>
      </c>
      <c r="D1559" s="83" t="s">
        <v>28</v>
      </c>
      <c r="E1559" s="83" t="s">
        <v>529</v>
      </c>
      <c r="F1559" s="83" t="s">
        <v>39</v>
      </c>
      <c r="G1559" s="86">
        <v>500000</v>
      </c>
      <c r="H1559" s="86">
        <v>308227.83</v>
      </c>
      <c r="I1559" s="171"/>
    </row>
    <row r="1560" spans="1:17" s="22" customFormat="1" ht="57" hidden="1" customHeight="1">
      <c r="A1560" s="81"/>
      <c r="B1560" s="82"/>
      <c r="C1560" s="144"/>
      <c r="D1560" s="144"/>
      <c r="E1560" s="144"/>
      <c r="F1560" s="143"/>
      <c r="G1560" s="92"/>
      <c r="H1560" s="92"/>
      <c r="I1560" s="198"/>
      <c r="J1560" s="198"/>
      <c r="K1560" s="198"/>
      <c r="L1560" s="198"/>
      <c r="M1560" s="198"/>
      <c r="N1560" s="198"/>
      <c r="O1560" s="198"/>
      <c r="P1560" s="198"/>
      <c r="Q1560" s="198"/>
    </row>
    <row r="1561" spans="1:17" ht="34.5" customHeight="1">
      <c r="A1561" s="81" t="s">
        <v>887</v>
      </c>
      <c r="B1561" s="145">
        <v>793</v>
      </c>
      <c r="C1561" s="83" t="s">
        <v>173</v>
      </c>
      <c r="D1561" s="83" t="s">
        <v>28</v>
      </c>
      <c r="E1561" s="83" t="s">
        <v>888</v>
      </c>
      <c r="F1561" s="83"/>
      <c r="G1561" s="86">
        <f t="shared" ref="G1561:H1565" si="385">G1562</f>
        <v>3379982.6199999996</v>
      </c>
      <c r="H1561" s="86">
        <f t="shared" si="385"/>
        <v>3213915.54</v>
      </c>
      <c r="I1561" s="177"/>
    </row>
    <row r="1562" spans="1:17" ht="34.5" customHeight="1">
      <c r="A1562" s="81" t="s">
        <v>36</v>
      </c>
      <c r="B1562" s="145">
        <v>793</v>
      </c>
      <c r="C1562" s="83" t="s">
        <v>173</v>
      </c>
      <c r="D1562" s="83" t="s">
        <v>28</v>
      </c>
      <c r="E1562" s="83" t="s">
        <v>888</v>
      </c>
      <c r="F1562" s="83" t="s">
        <v>37</v>
      </c>
      <c r="G1562" s="86">
        <f t="shared" si="385"/>
        <v>3379982.6199999996</v>
      </c>
      <c r="H1562" s="86">
        <f t="shared" si="385"/>
        <v>3213915.54</v>
      </c>
      <c r="I1562" s="177"/>
    </row>
    <row r="1563" spans="1:17" ht="34.5" customHeight="1">
      <c r="A1563" s="81" t="s">
        <v>38</v>
      </c>
      <c r="B1563" s="145">
        <v>793</v>
      </c>
      <c r="C1563" s="83" t="s">
        <v>173</v>
      </c>
      <c r="D1563" s="83" t="s">
        <v>28</v>
      </c>
      <c r="E1563" s="83" t="s">
        <v>888</v>
      </c>
      <c r="F1563" s="83" t="s">
        <v>39</v>
      </c>
      <c r="G1563" s="86">
        <f>1150000+1000000+202090.59+550000+15000+343000+119892.03</f>
        <v>3379982.6199999996</v>
      </c>
      <c r="H1563" s="86">
        <v>3213915.54</v>
      </c>
      <c r="I1563" s="177"/>
    </row>
    <row r="1564" spans="1:17" ht="69" customHeight="1">
      <c r="A1564" s="81" t="s">
        <v>1051</v>
      </c>
      <c r="B1564" s="145">
        <v>793</v>
      </c>
      <c r="C1564" s="83" t="s">
        <v>173</v>
      </c>
      <c r="D1564" s="83" t="s">
        <v>28</v>
      </c>
      <c r="E1564" s="83" t="s">
        <v>1048</v>
      </c>
      <c r="F1564" s="83"/>
      <c r="G1564" s="86">
        <f t="shared" si="385"/>
        <v>5000000</v>
      </c>
      <c r="H1564" s="86">
        <f t="shared" si="385"/>
        <v>0</v>
      </c>
      <c r="I1564" s="177"/>
    </row>
    <row r="1565" spans="1:17" ht="34.5" customHeight="1">
      <c r="A1565" s="81" t="s">
        <v>63</v>
      </c>
      <c r="B1565" s="145">
        <v>793</v>
      </c>
      <c r="C1565" s="83" t="s">
        <v>173</v>
      </c>
      <c r="D1565" s="83" t="s">
        <v>28</v>
      </c>
      <c r="E1565" s="83" t="s">
        <v>1048</v>
      </c>
      <c r="F1565" s="83" t="s">
        <v>64</v>
      </c>
      <c r="G1565" s="86">
        <f t="shared" si="385"/>
        <v>5000000</v>
      </c>
      <c r="H1565" s="86">
        <f t="shared" si="385"/>
        <v>0</v>
      </c>
      <c r="I1565" s="177"/>
    </row>
    <row r="1566" spans="1:17" ht="34.5" customHeight="1">
      <c r="A1566" s="81" t="s">
        <v>180</v>
      </c>
      <c r="B1566" s="145">
        <v>793</v>
      </c>
      <c r="C1566" s="83" t="s">
        <v>173</v>
      </c>
      <c r="D1566" s="83" t="s">
        <v>28</v>
      </c>
      <c r="E1566" s="83" t="s">
        <v>1048</v>
      </c>
      <c r="F1566" s="83" t="s">
        <v>181</v>
      </c>
      <c r="G1566" s="86">
        <v>5000000</v>
      </c>
      <c r="H1566" s="86">
        <v>0</v>
      </c>
      <c r="I1566" s="177"/>
    </row>
    <row r="1567" spans="1:17" ht="27.75" customHeight="1">
      <c r="A1567" s="81" t="s">
        <v>272</v>
      </c>
      <c r="B1567" s="82">
        <v>793</v>
      </c>
      <c r="C1567" s="83" t="s">
        <v>173</v>
      </c>
      <c r="D1567" s="83" t="s">
        <v>28</v>
      </c>
      <c r="E1567" s="83" t="s">
        <v>565</v>
      </c>
      <c r="F1567" s="83"/>
      <c r="G1567" s="86">
        <f>G1568</f>
        <v>7505380</v>
      </c>
      <c r="H1567" s="86">
        <f>H1568</f>
        <v>7466180</v>
      </c>
      <c r="I1567" s="171"/>
    </row>
    <row r="1568" spans="1:17" ht="23.25" customHeight="1">
      <c r="A1568" s="81" t="s">
        <v>272</v>
      </c>
      <c r="B1568" s="82">
        <v>793</v>
      </c>
      <c r="C1568" s="83" t="s">
        <v>173</v>
      </c>
      <c r="D1568" s="83" t="s">
        <v>28</v>
      </c>
      <c r="E1568" s="83" t="s">
        <v>566</v>
      </c>
      <c r="F1568" s="83"/>
      <c r="G1568" s="86">
        <f>G1571+G1569</f>
        <v>7505380</v>
      </c>
      <c r="H1568" s="86">
        <f>H1571+H1569</f>
        <v>7466180</v>
      </c>
      <c r="I1568" s="171"/>
    </row>
    <row r="1569" spans="1:19" ht="23.25" customHeight="1">
      <c r="A1569" s="81" t="s">
        <v>323</v>
      </c>
      <c r="B1569" s="82">
        <v>793</v>
      </c>
      <c r="C1569" s="83" t="s">
        <v>173</v>
      </c>
      <c r="D1569" s="83" t="s">
        <v>28</v>
      </c>
      <c r="E1569" s="83" t="s">
        <v>566</v>
      </c>
      <c r="F1569" s="83" t="s">
        <v>37</v>
      </c>
      <c r="G1569" s="86">
        <f>G1570</f>
        <v>2092400</v>
      </c>
      <c r="H1569" s="86">
        <f>H1570</f>
        <v>2053200</v>
      </c>
      <c r="I1569" s="171"/>
    </row>
    <row r="1570" spans="1:19" ht="37.5" customHeight="1">
      <c r="A1570" s="81" t="s">
        <v>38</v>
      </c>
      <c r="B1570" s="82">
        <v>793</v>
      </c>
      <c r="C1570" s="83" t="s">
        <v>173</v>
      </c>
      <c r="D1570" s="83" t="s">
        <v>28</v>
      </c>
      <c r="E1570" s="83" t="s">
        <v>566</v>
      </c>
      <c r="F1570" s="83" t="s">
        <v>39</v>
      </c>
      <c r="G1570" s="86">
        <v>2092400</v>
      </c>
      <c r="H1570" s="86">
        <v>2053200</v>
      </c>
      <c r="I1570" s="171"/>
    </row>
    <row r="1571" spans="1:19" ht="34.5" customHeight="1">
      <c r="A1571" s="81" t="s">
        <v>36</v>
      </c>
      <c r="B1571" s="82">
        <v>793</v>
      </c>
      <c r="C1571" s="83" t="s">
        <v>173</v>
      </c>
      <c r="D1571" s="83" t="s">
        <v>28</v>
      </c>
      <c r="E1571" s="83" t="s">
        <v>566</v>
      </c>
      <c r="F1571" s="83" t="s">
        <v>348</v>
      </c>
      <c r="G1571" s="86">
        <f>G1572</f>
        <v>5412980</v>
      </c>
      <c r="H1571" s="86">
        <f>H1572</f>
        <v>5412980</v>
      </c>
      <c r="I1571" s="171"/>
    </row>
    <row r="1572" spans="1:19" ht="34.5" customHeight="1">
      <c r="A1572" s="81" t="s">
        <v>38</v>
      </c>
      <c r="B1572" s="82">
        <v>793</v>
      </c>
      <c r="C1572" s="83" t="s">
        <v>173</v>
      </c>
      <c r="D1572" s="83" t="s">
        <v>28</v>
      </c>
      <c r="E1572" s="83" t="s">
        <v>566</v>
      </c>
      <c r="F1572" s="83" t="s">
        <v>350</v>
      </c>
      <c r="G1572" s="86">
        <v>5412980</v>
      </c>
      <c r="H1572" s="86">
        <v>5412980</v>
      </c>
      <c r="I1572" s="171"/>
    </row>
    <row r="1573" spans="1:19" s="89" customFormat="1" ht="25.5">
      <c r="A1573" s="135" t="s">
        <v>169</v>
      </c>
      <c r="B1573" s="145">
        <v>793</v>
      </c>
      <c r="C1573" s="83" t="s">
        <v>173</v>
      </c>
      <c r="D1573" s="83" t="s">
        <v>28</v>
      </c>
      <c r="E1573" s="83" t="s">
        <v>275</v>
      </c>
      <c r="F1573" s="145"/>
      <c r="G1573" s="86">
        <f>G1574</f>
        <v>53752.800000000003</v>
      </c>
      <c r="H1573" s="86">
        <f>H1574</f>
        <v>8062.92</v>
      </c>
      <c r="I1573" s="122"/>
      <c r="O1573" s="122"/>
      <c r="P1573" s="122"/>
      <c r="Q1573" s="122"/>
      <c r="R1573" s="122"/>
      <c r="S1573" s="122"/>
    </row>
    <row r="1574" spans="1:19" s="89" customFormat="1" ht="27.75" customHeight="1">
      <c r="A1574" s="16" t="s">
        <v>323</v>
      </c>
      <c r="B1574" s="14">
        <v>793</v>
      </c>
      <c r="C1574" s="15" t="s">
        <v>173</v>
      </c>
      <c r="D1574" s="15" t="s">
        <v>28</v>
      </c>
      <c r="E1574" s="15" t="s">
        <v>275</v>
      </c>
      <c r="F1574" s="15" t="s">
        <v>37</v>
      </c>
      <c r="G1574" s="86">
        <f>G1575</f>
        <v>53752.800000000003</v>
      </c>
      <c r="H1574" s="86">
        <f>H1575</f>
        <v>8062.92</v>
      </c>
      <c r="I1574" s="122"/>
      <c r="O1574" s="122"/>
      <c r="P1574" s="122"/>
      <c r="Q1574" s="122"/>
      <c r="R1574" s="122"/>
      <c r="S1574" s="122"/>
    </row>
    <row r="1575" spans="1:19" s="89" customFormat="1" ht="27.75" customHeight="1">
      <c r="A1575" s="16" t="s">
        <v>38</v>
      </c>
      <c r="B1575" s="14">
        <v>793</v>
      </c>
      <c r="C1575" s="15" t="s">
        <v>173</v>
      </c>
      <c r="D1575" s="15" t="s">
        <v>28</v>
      </c>
      <c r="E1575" s="15" t="s">
        <v>275</v>
      </c>
      <c r="F1575" s="15" t="s">
        <v>39</v>
      </c>
      <c r="G1575" s="86">
        <v>53752.800000000003</v>
      </c>
      <c r="H1575" s="86">
        <v>8062.92</v>
      </c>
      <c r="I1575" s="122"/>
      <c r="O1575" s="122"/>
      <c r="P1575" s="122"/>
      <c r="Q1575" s="122"/>
      <c r="R1575" s="122"/>
      <c r="S1575" s="122"/>
    </row>
    <row r="1576" spans="1:19" s="22" customFormat="1" ht="17.25" customHeight="1">
      <c r="A1576" s="150" t="s">
        <v>284</v>
      </c>
      <c r="B1576" s="257">
        <v>793</v>
      </c>
      <c r="C1576" s="152" t="s">
        <v>173</v>
      </c>
      <c r="D1576" s="152" t="s">
        <v>70</v>
      </c>
      <c r="E1576" s="152"/>
      <c r="F1576" s="152"/>
      <c r="G1576" s="153">
        <f>G1581+G1605+G1577</f>
        <v>2059082.54</v>
      </c>
      <c r="H1576" s="153">
        <f>H1581+H1605+H1577</f>
        <v>1838475.54</v>
      </c>
      <c r="I1576" s="187"/>
      <c r="J1576" s="198"/>
      <c r="K1576" s="198"/>
      <c r="L1576" s="198"/>
      <c r="M1576" s="198"/>
      <c r="N1576" s="198"/>
      <c r="O1576" s="198"/>
      <c r="P1576" s="198"/>
      <c r="Q1576" s="198"/>
    </row>
    <row r="1577" spans="1:19" s="46" customFormat="1" ht="39" customHeight="1">
      <c r="A1577" s="81" t="s">
        <v>823</v>
      </c>
      <c r="B1577" s="82">
        <v>793</v>
      </c>
      <c r="C1577" s="83" t="s">
        <v>173</v>
      </c>
      <c r="D1577" s="83" t="s">
        <v>70</v>
      </c>
      <c r="E1577" s="83" t="s">
        <v>262</v>
      </c>
      <c r="F1577" s="83"/>
      <c r="G1577" s="86">
        <f>G1578</f>
        <v>40000</v>
      </c>
      <c r="H1577" s="86">
        <f t="shared" ref="H1577" si="386">H1578</f>
        <v>40000</v>
      </c>
      <c r="I1577" s="171"/>
      <c r="J1577" s="213"/>
      <c r="K1577" s="213"/>
      <c r="L1577" s="213"/>
      <c r="M1577" s="213"/>
      <c r="N1577" s="213"/>
      <c r="O1577" s="213"/>
      <c r="P1577" s="213"/>
      <c r="Q1577" s="213"/>
    </row>
    <row r="1578" spans="1:19" s="46" customFormat="1" ht="29.25" customHeight="1">
      <c r="A1578" s="81" t="s">
        <v>1111</v>
      </c>
      <c r="B1578" s="82">
        <v>793</v>
      </c>
      <c r="C1578" s="83" t="s">
        <v>173</v>
      </c>
      <c r="D1578" s="83" t="s">
        <v>70</v>
      </c>
      <c r="E1578" s="83" t="s">
        <v>1110</v>
      </c>
      <c r="F1578" s="83"/>
      <c r="G1578" s="86">
        <f>G1579</f>
        <v>40000</v>
      </c>
      <c r="H1578" s="86">
        <f t="shared" ref="H1578" si="387">H1579</f>
        <v>40000</v>
      </c>
      <c r="I1578" s="171"/>
      <c r="J1578" s="213"/>
      <c r="K1578" s="213"/>
      <c r="L1578" s="213"/>
      <c r="M1578" s="213"/>
      <c r="N1578" s="213"/>
      <c r="O1578" s="213"/>
      <c r="P1578" s="213"/>
      <c r="Q1578" s="213"/>
    </row>
    <row r="1579" spans="1:19" s="46" customFormat="1" ht="17.25" customHeight="1">
      <c r="A1579" s="81" t="s">
        <v>323</v>
      </c>
      <c r="B1579" s="82">
        <v>793</v>
      </c>
      <c r="C1579" s="83" t="s">
        <v>173</v>
      </c>
      <c r="D1579" s="83" t="s">
        <v>70</v>
      </c>
      <c r="E1579" s="83" t="s">
        <v>1110</v>
      </c>
      <c r="F1579" s="83" t="s">
        <v>37</v>
      </c>
      <c r="G1579" s="86">
        <f>G1580</f>
        <v>40000</v>
      </c>
      <c r="H1579" s="86">
        <f t="shared" ref="H1579" si="388">H1580</f>
        <v>40000</v>
      </c>
      <c r="I1579" s="171"/>
      <c r="J1579" s="213"/>
      <c r="K1579" s="213"/>
      <c r="L1579" s="213"/>
      <c r="M1579" s="213"/>
      <c r="N1579" s="213"/>
      <c r="O1579" s="213"/>
      <c r="P1579" s="213"/>
      <c r="Q1579" s="213"/>
    </row>
    <row r="1580" spans="1:19" s="46" customFormat="1" ht="36.75" customHeight="1">
      <c r="A1580" s="81" t="s">
        <v>38</v>
      </c>
      <c r="B1580" s="82">
        <v>793</v>
      </c>
      <c r="C1580" s="83" t="s">
        <v>173</v>
      </c>
      <c r="D1580" s="83" t="s">
        <v>70</v>
      </c>
      <c r="E1580" s="83" t="s">
        <v>1110</v>
      </c>
      <c r="F1580" s="83" t="s">
        <v>39</v>
      </c>
      <c r="G1580" s="86">
        <v>40000</v>
      </c>
      <c r="H1580" s="86">
        <v>40000</v>
      </c>
      <c r="I1580" s="171"/>
      <c r="J1580" s="213"/>
      <c r="K1580" s="213"/>
      <c r="L1580" s="213"/>
      <c r="M1580" s="213"/>
      <c r="N1580" s="213"/>
      <c r="O1580" s="213"/>
      <c r="P1580" s="213"/>
      <c r="Q1580" s="213"/>
    </row>
    <row r="1581" spans="1:19" ht="51">
      <c r="A1581" s="81" t="s">
        <v>489</v>
      </c>
      <c r="B1581" s="82">
        <v>793</v>
      </c>
      <c r="C1581" s="83" t="s">
        <v>173</v>
      </c>
      <c r="D1581" s="83" t="s">
        <v>70</v>
      </c>
      <c r="E1581" s="83" t="s">
        <v>295</v>
      </c>
      <c r="F1581" s="83"/>
      <c r="G1581" s="86">
        <f>G1582+G1592+G1595+G1601+G1604</f>
        <v>839607</v>
      </c>
      <c r="H1581" s="86">
        <f>H1593+H1596+H1601+H1604</f>
        <v>619000</v>
      </c>
      <c r="I1581" s="171"/>
    </row>
    <row r="1582" spans="1:19" s="46" customFormat="1" ht="17.25" customHeight="1">
      <c r="A1582" s="81" t="s">
        <v>380</v>
      </c>
      <c r="B1582" s="82">
        <v>793</v>
      </c>
      <c r="C1582" s="83" t="s">
        <v>173</v>
      </c>
      <c r="D1582" s="83" t="s">
        <v>70</v>
      </c>
      <c r="E1582" s="83" t="s">
        <v>379</v>
      </c>
      <c r="F1582" s="83"/>
      <c r="G1582" s="86">
        <f t="shared" ref="G1582:H1582" si="389">G1583</f>
        <v>9607</v>
      </c>
      <c r="H1582" s="86">
        <f t="shared" si="389"/>
        <v>0</v>
      </c>
      <c r="I1582" s="171"/>
      <c r="J1582" s="213"/>
      <c r="K1582" s="213"/>
      <c r="L1582" s="213"/>
      <c r="M1582" s="213"/>
      <c r="N1582" s="213"/>
      <c r="O1582" s="213"/>
      <c r="P1582" s="213"/>
      <c r="Q1582" s="213"/>
    </row>
    <row r="1583" spans="1:19" s="46" customFormat="1" ht="17.25" customHeight="1">
      <c r="A1583" s="81" t="s">
        <v>323</v>
      </c>
      <c r="B1583" s="82">
        <v>793</v>
      </c>
      <c r="C1583" s="83" t="s">
        <v>173</v>
      </c>
      <c r="D1583" s="83" t="s">
        <v>70</v>
      </c>
      <c r="E1583" s="83" t="s">
        <v>379</v>
      </c>
      <c r="F1583" s="83" t="s">
        <v>37</v>
      </c>
      <c r="G1583" s="86">
        <f>9607+100000-100000</f>
        <v>9607</v>
      </c>
      <c r="H1583" s="86">
        <f>H1593</f>
        <v>0</v>
      </c>
      <c r="I1583" s="171"/>
      <c r="J1583" s="213"/>
      <c r="K1583" s="213"/>
      <c r="L1583" s="213"/>
      <c r="M1583" s="213"/>
      <c r="N1583" s="213"/>
      <c r="O1583" s="213"/>
      <c r="P1583" s="213"/>
      <c r="Q1583" s="213"/>
    </row>
    <row r="1584" spans="1:19" s="28" customFormat="1" ht="24.75" hidden="1" customHeight="1">
      <c r="A1584" s="135" t="s">
        <v>169</v>
      </c>
      <c r="B1584" s="82">
        <v>793</v>
      </c>
      <c r="C1584" s="83" t="s">
        <v>173</v>
      </c>
      <c r="D1584" s="83" t="s">
        <v>70</v>
      </c>
      <c r="E1584" s="83" t="s">
        <v>233</v>
      </c>
      <c r="F1584" s="163"/>
      <c r="G1584" s="86">
        <f t="shared" ref="G1584:H1584" si="390">G1585</f>
        <v>0</v>
      </c>
      <c r="H1584" s="86">
        <f t="shared" si="390"/>
        <v>0</v>
      </c>
      <c r="I1584" s="171"/>
      <c r="J1584" s="195"/>
      <c r="K1584" s="195"/>
      <c r="L1584" s="195"/>
      <c r="M1584" s="195"/>
      <c r="N1584" s="195"/>
      <c r="O1584" s="195"/>
      <c r="P1584" s="195"/>
      <c r="Q1584" s="195"/>
    </row>
    <row r="1585" spans="1:17" ht="25.5" hidden="1">
      <c r="A1585" s="135" t="s">
        <v>169</v>
      </c>
      <c r="B1585" s="82">
        <v>793</v>
      </c>
      <c r="C1585" s="83" t="s">
        <v>173</v>
      </c>
      <c r="D1585" s="83" t="s">
        <v>70</v>
      </c>
      <c r="E1585" s="83" t="s">
        <v>275</v>
      </c>
      <c r="F1585" s="83"/>
      <c r="G1585" s="86">
        <f>G1586+G1588</f>
        <v>0</v>
      </c>
      <c r="H1585" s="86">
        <f>H1586+H1588</f>
        <v>0</v>
      </c>
      <c r="I1585" s="171"/>
    </row>
    <row r="1586" spans="1:17" hidden="1">
      <c r="A1586" s="81"/>
      <c r="B1586" s="82">
        <v>793</v>
      </c>
      <c r="C1586" s="83" t="s">
        <v>173</v>
      </c>
      <c r="D1586" s="83" t="s">
        <v>70</v>
      </c>
      <c r="E1586" s="83" t="s">
        <v>275</v>
      </c>
      <c r="F1586" s="83"/>
      <c r="G1586" s="86"/>
      <c r="H1586" s="86"/>
      <c r="I1586" s="171"/>
    </row>
    <row r="1587" spans="1:17" ht="30.75" hidden="1" customHeight="1">
      <c r="A1587" s="81"/>
      <c r="B1587" s="82">
        <v>793</v>
      </c>
      <c r="C1587" s="83" t="s">
        <v>173</v>
      </c>
      <c r="D1587" s="83" t="s">
        <v>70</v>
      </c>
      <c r="E1587" s="83" t="s">
        <v>275</v>
      </c>
      <c r="F1587" s="83"/>
      <c r="G1587" s="86"/>
      <c r="H1587" s="86"/>
      <c r="I1587" s="171"/>
    </row>
    <row r="1588" spans="1:17" ht="18" hidden="1" customHeight="1">
      <c r="A1588" s="81" t="s">
        <v>156</v>
      </c>
      <c r="B1588" s="82">
        <v>793</v>
      </c>
      <c r="C1588" s="83" t="s">
        <v>173</v>
      </c>
      <c r="D1588" s="83" t="s">
        <v>70</v>
      </c>
      <c r="E1588" s="83" t="s">
        <v>275</v>
      </c>
      <c r="F1588" s="83" t="s">
        <v>157</v>
      </c>
      <c r="G1588" s="86">
        <f>G1589</f>
        <v>0</v>
      </c>
      <c r="H1588" s="86">
        <f>H1589</f>
        <v>0</v>
      </c>
      <c r="I1588" s="171"/>
    </row>
    <row r="1589" spans="1:17" ht="18" hidden="1" customHeight="1">
      <c r="A1589" s="81" t="s">
        <v>178</v>
      </c>
      <c r="B1589" s="82">
        <v>793</v>
      </c>
      <c r="C1589" s="83" t="s">
        <v>173</v>
      </c>
      <c r="D1589" s="83" t="s">
        <v>70</v>
      </c>
      <c r="E1589" s="83" t="s">
        <v>275</v>
      </c>
      <c r="F1589" s="83" t="s">
        <v>179</v>
      </c>
      <c r="G1589" s="86"/>
      <c r="H1589" s="86"/>
      <c r="I1589" s="171"/>
    </row>
    <row r="1590" spans="1:17" ht="51" hidden="1">
      <c r="A1590" s="81" t="s">
        <v>489</v>
      </c>
      <c r="B1590" s="82">
        <v>793</v>
      </c>
      <c r="C1590" s="83" t="s">
        <v>173</v>
      </c>
      <c r="D1590" s="83" t="s">
        <v>70</v>
      </c>
      <c r="E1590" s="83" t="s">
        <v>295</v>
      </c>
      <c r="F1590" s="83"/>
      <c r="G1590" s="86"/>
      <c r="H1590" s="86">
        <f t="shared" ref="H1590" si="391">H1591+H1594+H1599+H1602</f>
        <v>619000</v>
      </c>
      <c r="I1590" s="171"/>
    </row>
    <row r="1591" spans="1:17" s="46" customFormat="1" ht="17.25" hidden="1" customHeight="1">
      <c r="A1591" s="81" t="s">
        <v>380</v>
      </c>
      <c r="B1591" s="82">
        <v>793</v>
      </c>
      <c r="C1591" s="83" t="s">
        <v>173</v>
      </c>
      <c r="D1591" s="83" t="s">
        <v>70</v>
      </c>
      <c r="E1591" s="83" t="s">
        <v>379</v>
      </c>
      <c r="F1591" s="83"/>
      <c r="G1591" s="86">
        <f t="shared" ref="G1591:H1592" si="392">G1592</f>
        <v>0</v>
      </c>
      <c r="H1591" s="86">
        <f t="shared" si="392"/>
        <v>0</v>
      </c>
      <c r="I1591" s="171"/>
      <c r="J1591" s="213"/>
      <c r="K1591" s="213"/>
      <c r="L1591" s="213"/>
      <c r="M1591" s="213"/>
      <c r="N1591" s="213"/>
      <c r="O1591" s="213"/>
      <c r="P1591" s="213"/>
      <c r="Q1591" s="213"/>
    </row>
    <row r="1592" spans="1:17" s="46" customFormat="1" ht="17.25" hidden="1" customHeight="1">
      <c r="A1592" s="81" t="s">
        <v>323</v>
      </c>
      <c r="B1592" s="82">
        <v>793</v>
      </c>
      <c r="C1592" s="83" t="s">
        <v>173</v>
      </c>
      <c r="D1592" s="83" t="s">
        <v>70</v>
      </c>
      <c r="E1592" s="83" t="s">
        <v>379</v>
      </c>
      <c r="F1592" s="83" t="s">
        <v>37</v>
      </c>
      <c r="G1592" s="86"/>
      <c r="H1592" s="86">
        <f t="shared" si="392"/>
        <v>0</v>
      </c>
      <c r="I1592" s="171"/>
      <c r="J1592" s="213"/>
      <c r="K1592" s="213"/>
      <c r="L1592" s="213"/>
      <c r="M1592" s="213"/>
      <c r="N1592" s="213"/>
      <c r="O1592" s="213"/>
      <c r="P1592" s="213"/>
      <c r="Q1592" s="213"/>
    </row>
    <row r="1593" spans="1:17" s="46" customFormat="1" ht="32.25" customHeight="1">
      <c r="A1593" s="81" t="s">
        <v>38</v>
      </c>
      <c r="B1593" s="82">
        <v>793</v>
      </c>
      <c r="C1593" s="83" t="s">
        <v>173</v>
      </c>
      <c r="D1593" s="83" t="s">
        <v>70</v>
      </c>
      <c r="E1593" s="83" t="s">
        <v>379</v>
      </c>
      <c r="F1593" s="83" t="s">
        <v>39</v>
      </c>
      <c r="G1593" s="86">
        <f>G1583</f>
        <v>9607</v>
      </c>
      <c r="H1593" s="86">
        <v>0</v>
      </c>
      <c r="I1593" s="171"/>
      <c r="J1593" s="213"/>
      <c r="K1593" s="213"/>
      <c r="L1593" s="213"/>
      <c r="M1593" s="213"/>
      <c r="N1593" s="213"/>
      <c r="O1593" s="213"/>
      <c r="P1593" s="213"/>
      <c r="Q1593" s="213"/>
    </row>
    <row r="1594" spans="1:17">
      <c r="A1594" s="81" t="s">
        <v>79</v>
      </c>
      <c r="B1594" s="82">
        <v>793</v>
      </c>
      <c r="C1594" s="83" t="s">
        <v>173</v>
      </c>
      <c r="D1594" s="83" t="s">
        <v>70</v>
      </c>
      <c r="E1594" s="83" t="s">
        <v>100</v>
      </c>
      <c r="F1594" s="83"/>
      <c r="G1594" s="86">
        <f>G1595+G1597</f>
        <v>560000</v>
      </c>
      <c r="H1594" s="86">
        <f>H1595+H1597</f>
        <v>560000</v>
      </c>
      <c r="I1594" s="171"/>
    </row>
    <row r="1595" spans="1:17" ht="25.5">
      <c r="A1595" s="81" t="s">
        <v>36</v>
      </c>
      <c r="B1595" s="82">
        <v>793</v>
      </c>
      <c r="C1595" s="83" t="s">
        <v>173</v>
      </c>
      <c r="D1595" s="83" t="s">
        <v>70</v>
      </c>
      <c r="E1595" s="83" t="s">
        <v>100</v>
      </c>
      <c r="F1595" s="83" t="s">
        <v>37</v>
      </c>
      <c r="G1595" s="86">
        <f>G1596</f>
        <v>560000</v>
      </c>
      <c r="H1595" s="86">
        <f>H1596</f>
        <v>560000</v>
      </c>
      <c r="I1595" s="171"/>
    </row>
    <row r="1596" spans="1:17" ht="30.75" customHeight="1">
      <c r="A1596" s="81" t="s">
        <v>38</v>
      </c>
      <c r="B1596" s="82">
        <v>793</v>
      </c>
      <c r="C1596" s="83" t="s">
        <v>173</v>
      </c>
      <c r="D1596" s="83" t="s">
        <v>70</v>
      </c>
      <c r="E1596" s="83" t="s">
        <v>100</v>
      </c>
      <c r="F1596" s="83" t="s">
        <v>39</v>
      </c>
      <c r="G1596" s="86">
        <f>505000+55000</f>
        <v>560000</v>
      </c>
      <c r="H1596" s="86">
        <v>560000</v>
      </c>
      <c r="I1596" s="171"/>
    </row>
    <row r="1597" spans="1:17" ht="18" hidden="1" customHeight="1">
      <c r="A1597" s="81" t="s">
        <v>156</v>
      </c>
      <c r="B1597" s="82">
        <v>793</v>
      </c>
      <c r="C1597" s="83" t="s">
        <v>173</v>
      </c>
      <c r="D1597" s="83" t="s">
        <v>70</v>
      </c>
      <c r="E1597" s="83" t="s">
        <v>100</v>
      </c>
      <c r="F1597" s="83" t="s">
        <v>157</v>
      </c>
      <c r="G1597" s="86">
        <f>G1598</f>
        <v>0</v>
      </c>
      <c r="H1597" s="86">
        <f>H1598</f>
        <v>0</v>
      </c>
      <c r="I1597" s="171"/>
    </row>
    <row r="1598" spans="1:17" ht="18" hidden="1" customHeight="1">
      <c r="A1598" s="81" t="s">
        <v>178</v>
      </c>
      <c r="B1598" s="82">
        <v>793</v>
      </c>
      <c r="C1598" s="83" t="s">
        <v>173</v>
      </c>
      <c r="D1598" s="83" t="s">
        <v>70</v>
      </c>
      <c r="E1598" s="83" t="s">
        <v>100</v>
      </c>
      <c r="F1598" s="83" t="s">
        <v>179</v>
      </c>
      <c r="G1598" s="86"/>
      <c r="H1598" s="86"/>
      <c r="I1598" s="171"/>
    </row>
    <row r="1599" spans="1:17" ht="26.25" customHeight="1">
      <c r="A1599" s="81" t="s">
        <v>77</v>
      </c>
      <c r="B1599" s="82">
        <v>793</v>
      </c>
      <c r="C1599" s="83" t="s">
        <v>173</v>
      </c>
      <c r="D1599" s="83" t="s">
        <v>70</v>
      </c>
      <c r="E1599" s="83" t="s">
        <v>78</v>
      </c>
      <c r="F1599" s="83"/>
      <c r="G1599" s="86">
        <f t="shared" ref="G1599:H1600" si="393">G1600</f>
        <v>70000</v>
      </c>
      <c r="H1599" s="86">
        <f t="shared" si="393"/>
        <v>59000</v>
      </c>
      <c r="I1599" s="171"/>
    </row>
    <row r="1600" spans="1:17" ht="26.25" customHeight="1">
      <c r="A1600" s="81" t="s">
        <v>36</v>
      </c>
      <c r="B1600" s="82">
        <v>793</v>
      </c>
      <c r="C1600" s="83" t="s">
        <v>173</v>
      </c>
      <c r="D1600" s="83" t="s">
        <v>70</v>
      </c>
      <c r="E1600" s="83" t="s">
        <v>78</v>
      </c>
      <c r="F1600" s="83" t="s">
        <v>37</v>
      </c>
      <c r="G1600" s="86">
        <f t="shared" si="393"/>
        <v>70000</v>
      </c>
      <c r="H1600" s="86">
        <f t="shared" si="393"/>
        <v>59000</v>
      </c>
      <c r="I1600" s="171"/>
    </row>
    <row r="1601" spans="1:19" ht="25.5">
      <c r="A1601" s="81" t="s">
        <v>38</v>
      </c>
      <c r="B1601" s="82">
        <v>793</v>
      </c>
      <c r="C1601" s="83" t="s">
        <v>173</v>
      </c>
      <c r="D1601" s="83" t="s">
        <v>70</v>
      </c>
      <c r="E1601" s="83" t="s">
        <v>78</v>
      </c>
      <c r="F1601" s="83" t="s">
        <v>39</v>
      </c>
      <c r="G1601" s="86">
        <v>70000</v>
      </c>
      <c r="H1601" s="86">
        <v>59000</v>
      </c>
      <c r="I1601" s="171"/>
    </row>
    <row r="1602" spans="1:19" ht="30.75" customHeight="1">
      <c r="A1602" s="81" t="s">
        <v>698</v>
      </c>
      <c r="B1602" s="82">
        <v>793</v>
      </c>
      <c r="C1602" s="83" t="s">
        <v>173</v>
      </c>
      <c r="D1602" s="83" t="s">
        <v>70</v>
      </c>
      <c r="E1602" s="83" t="s">
        <v>416</v>
      </c>
      <c r="F1602" s="83"/>
      <c r="G1602" s="86">
        <f t="shared" ref="G1602:H1603" si="394">G1603</f>
        <v>200000</v>
      </c>
      <c r="H1602" s="86">
        <f t="shared" si="394"/>
        <v>0</v>
      </c>
      <c r="I1602" s="171"/>
    </row>
    <row r="1603" spans="1:19" ht="30.75" customHeight="1">
      <c r="A1603" s="81" t="s">
        <v>36</v>
      </c>
      <c r="B1603" s="82">
        <v>793</v>
      </c>
      <c r="C1603" s="83" t="s">
        <v>173</v>
      </c>
      <c r="D1603" s="83" t="s">
        <v>70</v>
      </c>
      <c r="E1603" s="83" t="s">
        <v>416</v>
      </c>
      <c r="F1603" s="83" t="s">
        <v>37</v>
      </c>
      <c r="G1603" s="86">
        <f t="shared" si="394"/>
        <v>200000</v>
      </c>
      <c r="H1603" s="86">
        <f t="shared" si="394"/>
        <v>0</v>
      </c>
      <c r="I1603" s="171"/>
    </row>
    <row r="1604" spans="1:19" ht="30.75" customHeight="1">
      <c r="A1604" s="81" t="s">
        <v>38</v>
      </c>
      <c r="B1604" s="82">
        <v>793</v>
      </c>
      <c r="C1604" s="83" t="s">
        <v>173</v>
      </c>
      <c r="D1604" s="83" t="s">
        <v>70</v>
      </c>
      <c r="E1604" s="83" t="s">
        <v>416</v>
      </c>
      <c r="F1604" s="83" t="s">
        <v>39</v>
      </c>
      <c r="G1604" s="86">
        <v>200000</v>
      </c>
      <c r="H1604" s="86">
        <v>0</v>
      </c>
      <c r="I1604" s="171"/>
    </row>
    <row r="1605" spans="1:19" s="164" customFormat="1" ht="34.5" customHeight="1">
      <c r="A1605" s="135" t="s">
        <v>169</v>
      </c>
      <c r="B1605" s="145">
        <v>793</v>
      </c>
      <c r="C1605" s="83" t="s">
        <v>173</v>
      </c>
      <c r="D1605" s="83" t="s">
        <v>70</v>
      </c>
      <c r="E1605" s="83" t="s">
        <v>233</v>
      </c>
      <c r="F1605" s="163"/>
      <c r="G1605" s="86">
        <f>G1606</f>
        <v>1179475.54</v>
      </c>
      <c r="H1605" s="86">
        <f t="shared" ref="H1605" si="395">H1606</f>
        <v>1179475.54</v>
      </c>
      <c r="I1605" s="307"/>
      <c r="O1605" s="307"/>
      <c r="P1605" s="307"/>
      <c r="Q1605" s="307"/>
      <c r="R1605" s="307"/>
      <c r="S1605" s="307"/>
    </row>
    <row r="1606" spans="1:19" s="89" customFormat="1" ht="25.5">
      <c r="A1606" s="135" t="s">
        <v>169</v>
      </c>
      <c r="B1606" s="145">
        <v>793</v>
      </c>
      <c r="C1606" s="83" t="s">
        <v>173</v>
      </c>
      <c r="D1606" s="83" t="s">
        <v>70</v>
      </c>
      <c r="E1606" s="83" t="s">
        <v>275</v>
      </c>
      <c r="F1606" s="145"/>
      <c r="G1606" s="86">
        <f>G1607</f>
        <v>1179475.54</v>
      </c>
      <c r="H1606" s="86">
        <f>H1607</f>
        <v>1179475.54</v>
      </c>
      <c r="I1606" s="122"/>
      <c r="O1606" s="122"/>
      <c r="P1606" s="122"/>
      <c r="Q1606" s="122"/>
      <c r="R1606" s="122"/>
      <c r="S1606" s="122"/>
    </row>
    <row r="1607" spans="1:19" s="89" customFormat="1" ht="30.75" customHeight="1">
      <c r="A1607" s="81" t="s">
        <v>156</v>
      </c>
      <c r="B1607" s="145">
        <v>793</v>
      </c>
      <c r="C1607" s="83" t="s">
        <v>173</v>
      </c>
      <c r="D1607" s="83" t="s">
        <v>70</v>
      </c>
      <c r="E1607" s="83" t="s">
        <v>275</v>
      </c>
      <c r="F1607" s="83" t="s">
        <v>157</v>
      </c>
      <c r="G1607" s="86">
        <f>G1608</f>
        <v>1179475.54</v>
      </c>
      <c r="H1607" s="86">
        <f>H1608</f>
        <v>1179475.54</v>
      </c>
      <c r="O1607" s="122"/>
      <c r="P1607" s="122"/>
      <c r="Q1607" s="122"/>
      <c r="R1607" s="122"/>
      <c r="S1607" s="122"/>
    </row>
    <row r="1608" spans="1:19" s="89" customFormat="1" ht="30.75" customHeight="1">
      <c r="A1608" s="81" t="s">
        <v>178</v>
      </c>
      <c r="B1608" s="145">
        <v>793</v>
      </c>
      <c r="C1608" s="83" t="s">
        <v>173</v>
      </c>
      <c r="D1608" s="83" t="s">
        <v>70</v>
      </c>
      <c r="E1608" s="83" t="s">
        <v>275</v>
      </c>
      <c r="F1608" s="83" t="s">
        <v>179</v>
      </c>
      <c r="G1608" s="86">
        <v>1179475.54</v>
      </c>
      <c r="H1608" s="86">
        <v>1179475.54</v>
      </c>
      <c r="O1608" s="122"/>
      <c r="P1608" s="122"/>
      <c r="Q1608" s="122"/>
      <c r="R1608" s="122"/>
      <c r="S1608" s="122"/>
    </row>
    <row r="1609" spans="1:19" s="22" customFormat="1" ht="25.5">
      <c r="A1609" s="150" t="s">
        <v>582</v>
      </c>
      <c r="B1609" s="257">
        <v>793</v>
      </c>
      <c r="C1609" s="152" t="s">
        <v>173</v>
      </c>
      <c r="D1609" s="152" t="s">
        <v>173</v>
      </c>
      <c r="E1609" s="152"/>
      <c r="F1609" s="152"/>
      <c r="G1609" s="153">
        <f>G1610</f>
        <v>4344742.93</v>
      </c>
      <c r="H1609" s="153">
        <f t="shared" ref="H1609" si="396">H1610</f>
        <v>2063682.1800000002</v>
      </c>
      <c r="I1609" s="187"/>
      <c r="J1609" s="198"/>
      <c r="K1609" s="198"/>
      <c r="L1609" s="198"/>
      <c r="M1609" s="198"/>
      <c r="N1609" s="198"/>
      <c r="O1609" s="198"/>
      <c r="P1609" s="198"/>
      <c r="Q1609" s="198"/>
    </row>
    <row r="1610" spans="1:19" ht="54" customHeight="1">
      <c r="A1610" s="81" t="s">
        <v>489</v>
      </c>
      <c r="B1610" s="82">
        <v>793</v>
      </c>
      <c r="C1610" s="83" t="s">
        <v>173</v>
      </c>
      <c r="D1610" s="83" t="s">
        <v>173</v>
      </c>
      <c r="E1610" s="83" t="s">
        <v>295</v>
      </c>
      <c r="F1610" s="83"/>
      <c r="G1610" s="86">
        <f>G1637+G1611+G1634+G1631+G1640</f>
        <v>4344742.93</v>
      </c>
      <c r="H1610" s="86">
        <f t="shared" ref="H1610" si="397">H1637+H1611+H1634+H1631+H1640</f>
        <v>2063682.1800000002</v>
      </c>
      <c r="I1610" s="171"/>
    </row>
    <row r="1611" spans="1:19" ht="67.5" customHeight="1">
      <c r="A1611" s="135" t="s">
        <v>709</v>
      </c>
      <c r="B1611" s="82">
        <v>793</v>
      </c>
      <c r="C1611" s="83" t="s">
        <v>173</v>
      </c>
      <c r="D1611" s="83" t="s">
        <v>173</v>
      </c>
      <c r="E1611" s="83" t="s">
        <v>715</v>
      </c>
      <c r="F1611" s="83"/>
      <c r="G1611" s="86">
        <f>G1612</f>
        <v>2017013.5199999996</v>
      </c>
      <c r="H1611" s="86">
        <f>H1612</f>
        <v>711051.18</v>
      </c>
      <c r="I1611" s="172"/>
    </row>
    <row r="1612" spans="1:19" ht="21" customHeight="1">
      <c r="A1612" s="81" t="s">
        <v>156</v>
      </c>
      <c r="B1612" s="82">
        <v>793</v>
      </c>
      <c r="C1612" s="83" t="s">
        <v>173</v>
      </c>
      <c r="D1612" s="83" t="s">
        <v>173</v>
      </c>
      <c r="E1612" s="83" t="s">
        <v>715</v>
      </c>
      <c r="F1612" s="83" t="s">
        <v>157</v>
      </c>
      <c r="G1612" s="86">
        <f>G1613</f>
        <v>2017013.5199999996</v>
      </c>
      <c r="H1612" s="86">
        <f>H1613</f>
        <v>711051.18</v>
      </c>
      <c r="I1612" s="172"/>
    </row>
    <row r="1613" spans="1:19" ht="20.25" customHeight="1">
      <c r="A1613" s="81" t="s">
        <v>178</v>
      </c>
      <c r="B1613" s="82">
        <v>793</v>
      </c>
      <c r="C1613" s="83" t="s">
        <v>173</v>
      </c>
      <c r="D1613" s="83" t="s">
        <v>173</v>
      </c>
      <c r="E1613" s="83" t="s">
        <v>715</v>
      </c>
      <c r="F1613" s="83" t="s">
        <v>179</v>
      </c>
      <c r="G1613" s="86">
        <f>4812423.52-2795410</f>
        <v>2017013.5199999996</v>
      </c>
      <c r="H1613" s="84">
        <v>711051.18</v>
      </c>
      <c r="I1613" s="172"/>
    </row>
    <row r="1614" spans="1:19" ht="25.5" hidden="1" customHeight="1">
      <c r="A1614" s="135" t="s">
        <v>622</v>
      </c>
      <c r="B1614" s="82">
        <v>793</v>
      </c>
      <c r="C1614" s="83" t="s">
        <v>173</v>
      </c>
      <c r="D1614" s="83" t="s">
        <v>173</v>
      </c>
      <c r="E1614" s="83" t="s">
        <v>619</v>
      </c>
      <c r="F1614" s="83"/>
      <c r="G1614" s="86">
        <f>G1615</f>
        <v>0</v>
      </c>
      <c r="H1614" s="84">
        <v>0</v>
      </c>
      <c r="I1614" s="172"/>
    </row>
    <row r="1615" spans="1:19" ht="39.75" hidden="1" customHeight="1">
      <c r="A1615" s="135" t="s">
        <v>621</v>
      </c>
      <c r="B1615" s="82">
        <v>793</v>
      </c>
      <c r="C1615" s="83" t="s">
        <v>173</v>
      </c>
      <c r="D1615" s="83" t="s">
        <v>173</v>
      </c>
      <c r="E1615" s="83" t="s">
        <v>620</v>
      </c>
      <c r="F1615" s="83"/>
      <c r="G1615" s="86">
        <f>G1616</f>
        <v>0</v>
      </c>
      <c r="H1615" s="84">
        <v>0</v>
      </c>
      <c r="I1615" s="172"/>
    </row>
    <row r="1616" spans="1:19" ht="30.75" hidden="1" customHeight="1">
      <c r="A1616" s="81" t="s">
        <v>96</v>
      </c>
      <c r="B1616" s="82">
        <v>793</v>
      </c>
      <c r="C1616" s="83" t="s">
        <v>173</v>
      </c>
      <c r="D1616" s="83" t="s">
        <v>173</v>
      </c>
      <c r="E1616" s="83" t="s">
        <v>620</v>
      </c>
      <c r="F1616" s="83" t="s">
        <v>348</v>
      </c>
      <c r="G1616" s="86">
        <f>G1617</f>
        <v>0</v>
      </c>
      <c r="H1616" s="84">
        <v>0</v>
      </c>
      <c r="I1616" s="172"/>
    </row>
    <row r="1617" spans="1:17" ht="30.75" hidden="1" customHeight="1">
      <c r="A1617" s="81" t="s">
        <v>349</v>
      </c>
      <c r="B1617" s="82">
        <v>793</v>
      </c>
      <c r="C1617" s="83" t="s">
        <v>173</v>
      </c>
      <c r="D1617" s="83" t="s">
        <v>173</v>
      </c>
      <c r="E1617" s="83" t="s">
        <v>620</v>
      </c>
      <c r="F1617" s="83" t="s">
        <v>350</v>
      </c>
      <c r="G1617" s="86"/>
      <c r="H1617" s="84">
        <v>0</v>
      </c>
      <c r="I1617" s="172"/>
    </row>
    <row r="1618" spans="1:17" ht="55.5" hidden="1" customHeight="1">
      <c r="A1618" s="135" t="s">
        <v>733</v>
      </c>
      <c r="B1618" s="82">
        <v>793</v>
      </c>
      <c r="C1618" s="83" t="s">
        <v>173</v>
      </c>
      <c r="D1618" s="83" t="s">
        <v>173</v>
      </c>
      <c r="E1618" s="83" t="s">
        <v>717</v>
      </c>
      <c r="F1618" s="83"/>
      <c r="G1618" s="86">
        <f>G1619+G1621</f>
        <v>0</v>
      </c>
      <c r="H1618" s="86">
        <f t="shared" ref="H1618" si="398">H1619+H1621</f>
        <v>0</v>
      </c>
      <c r="I1618" s="171"/>
    </row>
    <row r="1619" spans="1:17" ht="27" hidden="1" customHeight="1">
      <c r="A1619" s="81" t="s">
        <v>96</v>
      </c>
      <c r="B1619" s="82">
        <v>793</v>
      </c>
      <c r="C1619" s="83" t="s">
        <v>173</v>
      </c>
      <c r="D1619" s="83" t="s">
        <v>173</v>
      </c>
      <c r="E1619" s="83" t="s">
        <v>605</v>
      </c>
      <c r="F1619" s="83" t="s">
        <v>348</v>
      </c>
      <c r="G1619" s="86">
        <f>G1620</f>
        <v>0</v>
      </c>
      <c r="H1619" s="84">
        <f>H1620</f>
        <v>0</v>
      </c>
      <c r="I1619" s="172"/>
    </row>
    <row r="1620" spans="1:17" ht="18.75" hidden="1" customHeight="1">
      <c r="A1620" s="81" t="s">
        <v>349</v>
      </c>
      <c r="B1620" s="82">
        <v>793</v>
      </c>
      <c r="C1620" s="83" t="s">
        <v>173</v>
      </c>
      <c r="D1620" s="83" t="s">
        <v>173</v>
      </c>
      <c r="E1620" s="83" t="s">
        <v>605</v>
      </c>
      <c r="F1620" s="83" t="s">
        <v>350</v>
      </c>
      <c r="G1620" s="86"/>
      <c r="H1620" s="84"/>
      <c r="I1620" s="172"/>
    </row>
    <row r="1621" spans="1:17" ht="39.75" hidden="1" customHeight="1">
      <c r="A1621" s="81" t="s">
        <v>36</v>
      </c>
      <c r="B1621" s="82">
        <v>793</v>
      </c>
      <c r="C1621" s="83" t="s">
        <v>173</v>
      </c>
      <c r="D1621" s="83" t="s">
        <v>173</v>
      </c>
      <c r="E1621" s="83" t="s">
        <v>718</v>
      </c>
      <c r="F1621" s="83" t="s">
        <v>348</v>
      </c>
      <c r="G1621" s="86">
        <f>G1622</f>
        <v>0</v>
      </c>
      <c r="H1621" s="84"/>
      <c r="I1621" s="172"/>
    </row>
    <row r="1622" spans="1:17" ht="39" hidden="1" customHeight="1">
      <c r="A1622" s="81" t="s">
        <v>38</v>
      </c>
      <c r="B1622" s="82">
        <v>793</v>
      </c>
      <c r="C1622" s="83" t="s">
        <v>173</v>
      </c>
      <c r="D1622" s="83" t="s">
        <v>173</v>
      </c>
      <c r="E1622" s="83" t="s">
        <v>717</v>
      </c>
      <c r="F1622" s="83" t="s">
        <v>350</v>
      </c>
      <c r="G1622" s="86">
        <f>358104.72+400000-758104.72</f>
        <v>0</v>
      </c>
      <c r="H1622" s="84"/>
      <c r="I1622" s="172"/>
    </row>
    <row r="1623" spans="1:17" ht="57" hidden="1" customHeight="1">
      <c r="A1623" s="135" t="s">
        <v>733</v>
      </c>
      <c r="B1623" s="82">
        <v>793</v>
      </c>
      <c r="C1623" s="83" t="s">
        <v>173</v>
      </c>
      <c r="D1623" s="83" t="s">
        <v>173</v>
      </c>
      <c r="E1623" s="83" t="s">
        <v>605</v>
      </c>
      <c r="F1623" s="83"/>
      <c r="G1623" s="86">
        <f>G1624+G1626</f>
        <v>0</v>
      </c>
      <c r="H1623" s="86">
        <f t="shared" ref="H1623" si="399">H1624+H1626</f>
        <v>0</v>
      </c>
      <c r="I1623" s="171"/>
    </row>
    <row r="1624" spans="1:17" ht="27" hidden="1" customHeight="1">
      <c r="A1624" s="81" t="s">
        <v>96</v>
      </c>
      <c r="B1624" s="82">
        <v>793</v>
      </c>
      <c r="C1624" s="83" t="s">
        <v>173</v>
      </c>
      <c r="D1624" s="83" t="s">
        <v>173</v>
      </c>
      <c r="E1624" s="83" t="s">
        <v>605</v>
      </c>
      <c r="F1624" s="83" t="s">
        <v>348</v>
      </c>
      <c r="G1624" s="86">
        <f>G1625</f>
        <v>0</v>
      </c>
      <c r="H1624" s="84">
        <f>H1625</f>
        <v>0</v>
      </c>
      <c r="I1624" s="172"/>
    </row>
    <row r="1625" spans="1:17" ht="18.75" hidden="1" customHeight="1">
      <c r="A1625" s="81" t="s">
        <v>349</v>
      </c>
      <c r="B1625" s="82">
        <v>793</v>
      </c>
      <c r="C1625" s="83" t="s">
        <v>173</v>
      </c>
      <c r="D1625" s="83" t="s">
        <v>173</v>
      </c>
      <c r="E1625" s="83" t="s">
        <v>605</v>
      </c>
      <c r="F1625" s="83" t="s">
        <v>350</v>
      </c>
      <c r="G1625" s="86"/>
      <c r="H1625" s="84"/>
      <c r="I1625" s="172"/>
    </row>
    <row r="1626" spans="1:17" ht="30" hidden="1" customHeight="1">
      <c r="A1626" s="81" t="s">
        <v>36</v>
      </c>
      <c r="B1626" s="82">
        <v>793</v>
      </c>
      <c r="C1626" s="83" t="s">
        <v>173</v>
      </c>
      <c r="D1626" s="83" t="s">
        <v>173</v>
      </c>
      <c r="E1626" s="83" t="s">
        <v>605</v>
      </c>
      <c r="F1626" s="83" t="s">
        <v>348</v>
      </c>
      <c r="G1626" s="86">
        <f>G1627</f>
        <v>0</v>
      </c>
      <c r="H1626" s="84">
        <v>0</v>
      </c>
      <c r="I1626" s="172"/>
    </row>
    <row r="1627" spans="1:17" ht="30.75" hidden="1" customHeight="1">
      <c r="A1627" s="81" t="s">
        <v>38</v>
      </c>
      <c r="B1627" s="82">
        <v>793</v>
      </c>
      <c r="C1627" s="83" t="s">
        <v>173</v>
      </c>
      <c r="D1627" s="83" t="s">
        <v>173</v>
      </c>
      <c r="E1627" s="83" t="s">
        <v>605</v>
      </c>
      <c r="F1627" s="83" t="s">
        <v>350</v>
      </c>
      <c r="G1627" s="86"/>
      <c r="H1627" s="84"/>
      <c r="I1627" s="172"/>
    </row>
    <row r="1628" spans="1:17" s="3" customFormat="1" ht="33.75" hidden="1" customHeight="1">
      <c r="A1628" s="81" t="s">
        <v>504</v>
      </c>
      <c r="B1628" s="82">
        <v>793</v>
      </c>
      <c r="C1628" s="83" t="s">
        <v>173</v>
      </c>
      <c r="D1628" s="83" t="s">
        <v>173</v>
      </c>
      <c r="E1628" s="83" t="s">
        <v>505</v>
      </c>
      <c r="F1628" s="83"/>
      <c r="G1628" s="86">
        <f>G1629</f>
        <v>0</v>
      </c>
      <c r="H1628" s="84">
        <v>0</v>
      </c>
      <c r="I1628" s="172"/>
      <c r="J1628" s="190"/>
      <c r="K1628" s="190"/>
      <c r="L1628" s="190"/>
      <c r="M1628" s="190"/>
      <c r="N1628" s="190"/>
      <c r="O1628" s="190"/>
      <c r="P1628" s="190"/>
      <c r="Q1628" s="190"/>
    </row>
    <row r="1629" spans="1:17" s="3" customFormat="1" ht="38.25" hidden="1" customHeight="1">
      <c r="A1629" s="81" t="s">
        <v>36</v>
      </c>
      <c r="B1629" s="82">
        <v>793</v>
      </c>
      <c r="C1629" s="83" t="s">
        <v>173</v>
      </c>
      <c r="D1629" s="83" t="s">
        <v>173</v>
      </c>
      <c r="E1629" s="83" t="s">
        <v>505</v>
      </c>
      <c r="F1629" s="83" t="s">
        <v>37</v>
      </c>
      <c r="G1629" s="86">
        <f>G1630</f>
        <v>0</v>
      </c>
      <c r="H1629" s="84">
        <v>0</v>
      </c>
      <c r="I1629" s="172"/>
      <c r="J1629" s="190"/>
      <c r="K1629" s="190"/>
      <c r="L1629" s="190"/>
      <c r="M1629" s="190"/>
      <c r="N1629" s="190"/>
      <c r="O1629" s="190"/>
      <c r="P1629" s="190"/>
      <c r="Q1629" s="190"/>
    </row>
    <row r="1630" spans="1:17" s="3" customFormat="1" ht="38.25" hidden="1" customHeight="1">
      <c r="A1630" s="81" t="s">
        <v>38</v>
      </c>
      <c r="B1630" s="82">
        <v>793</v>
      </c>
      <c r="C1630" s="83" t="s">
        <v>173</v>
      </c>
      <c r="D1630" s="83" t="s">
        <v>173</v>
      </c>
      <c r="E1630" s="83" t="s">
        <v>505</v>
      </c>
      <c r="F1630" s="83" t="s">
        <v>39</v>
      </c>
      <c r="G1630" s="86"/>
      <c r="H1630" s="84">
        <v>0</v>
      </c>
      <c r="I1630" s="172"/>
      <c r="J1630" s="190"/>
      <c r="K1630" s="190"/>
      <c r="L1630" s="190"/>
      <c r="M1630" s="190"/>
      <c r="N1630" s="190"/>
      <c r="O1630" s="190"/>
      <c r="P1630" s="190"/>
      <c r="Q1630" s="190"/>
    </row>
    <row r="1631" spans="1:17" ht="67.5" customHeight="1">
      <c r="A1631" s="135" t="s">
        <v>994</v>
      </c>
      <c r="B1631" s="82">
        <v>793</v>
      </c>
      <c r="C1631" s="83" t="s">
        <v>173</v>
      </c>
      <c r="D1631" s="83" t="s">
        <v>173</v>
      </c>
      <c r="E1631" s="83" t="s">
        <v>605</v>
      </c>
      <c r="F1631" s="83"/>
      <c r="G1631" s="86">
        <f>G1632</f>
        <v>1652729.41</v>
      </c>
      <c r="H1631" s="86">
        <f>H1632</f>
        <v>1352631</v>
      </c>
      <c r="I1631" s="172"/>
    </row>
    <row r="1632" spans="1:17" ht="44.25" customHeight="1">
      <c r="A1632" s="81" t="s">
        <v>96</v>
      </c>
      <c r="B1632" s="82">
        <v>793</v>
      </c>
      <c r="C1632" s="83" t="s">
        <v>173</v>
      </c>
      <c r="D1632" s="83" t="s">
        <v>173</v>
      </c>
      <c r="E1632" s="83" t="s">
        <v>605</v>
      </c>
      <c r="F1632" s="83" t="s">
        <v>348</v>
      </c>
      <c r="G1632" s="86">
        <f>G1633</f>
        <v>1652729.41</v>
      </c>
      <c r="H1632" s="86">
        <f>H1633</f>
        <v>1352631</v>
      </c>
      <c r="I1632" s="172"/>
    </row>
    <row r="1633" spans="1:17" ht="20.25" customHeight="1">
      <c r="A1633" s="81" t="s">
        <v>349</v>
      </c>
      <c r="B1633" s="82">
        <v>793</v>
      </c>
      <c r="C1633" s="83" t="s">
        <v>173</v>
      </c>
      <c r="D1633" s="83" t="s">
        <v>173</v>
      </c>
      <c r="E1633" s="83" t="s">
        <v>605</v>
      </c>
      <c r="F1633" s="83" t="s">
        <v>350</v>
      </c>
      <c r="G1633" s="278">
        <f>1404820+450000-202090.59</f>
        <v>1652729.41</v>
      </c>
      <c r="H1633" s="84">
        <v>1352631</v>
      </c>
      <c r="I1633" s="172"/>
    </row>
    <row r="1634" spans="1:17" ht="70.5" customHeight="1">
      <c r="A1634" s="135" t="s">
        <v>818</v>
      </c>
      <c r="B1634" s="82">
        <v>793</v>
      </c>
      <c r="C1634" s="83" t="s">
        <v>173</v>
      </c>
      <c r="D1634" s="83" t="s">
        <v>173</v>
      </c>
      <c r="E1634" s="83" t="s">
        <v>714</v>
      </c>
      <c r="F1634" s="83"/>
      <c r="G1634" s="86">
        <f>G1635</f>
        <v>675000</v>
      </c>
      <c r="H1634" s="84">
        <v>0</v>
      </c>
      <c r="I1634" s="172"/>
    </row>
    <row r="1635" spans="1:17" ht="21" customHeight="1">
      <c r="A1635" s="81" t="s">
        <v>156</v>
      </c>
      <c r="B1635" s="82">
        <v>793</v>
      </c>
      <c r="C1635" s="83" t="s">
        <v>173</v>
      </c>
      <c r="D1635" s="83" t="s">
        <v>173</v>
      </c>
      <c r="E1635" s="83" t="s">
        <v>714</v>
      </c>
      <c r="F1635" s="83" t="s">
        <v>157</v>
      </c>
      <c r="G1635" s="86">
        <f>G1636</f>
        <v>675000</v>
      </c>
      <c r="H1635" s="84">
        <v>0</v>
      </c>
      <c r="I1635" s="172"/>
    </row>
    <row r="1636" spans="1:17" ht="20.25" customHeight="1">
      <c r="A1636" s="81" t="s">
        <v>178</v>
      </c>
      <c r="B1636" s="82">
        <v>793</v>
      </c>
      <c r="C1636" s="83" t="s">
        <v>173</v>
      </c>
      <c r="D1636" s="83" t="s">
        <v>173</v>
      </c>
      <c r="E1636" s="83" t="s">
        <v>714</v>
      </c>
      <c r="F1636" s="83" t="s">
        <v>179</v>
      </c>
      <c r="G1636" s="86">
        <v>675000</v>
      </c>
      <c r="H1636" s="84">
        <v>0</v>
      </c>
      <c r="I1636" s="172"/>
    </row>
    <row r="1637" spans="1:17" ht="57" hidden="1" customHeight="1">
      <c r="A1637" s="135" t="s">
        <v>868</v>
      </c>
      <c r="B1637" s="82">
        <v>793</v>
      </c>
      <c r="C1637" s="83" t="s">
        <v>173</v>
      </c>
      <c r="D1637" s="83" t="s">
        <v>173</v>
      </c>
      <c r="E1637" s="83" t="s">
        <v>867</v>
      </c>
      <c r="F1637" s="83"/>
      <c r="G1637" s="86">
        <f>G1638</f>
        <v>0</v>
      </c>
      <c r="H1637" s="86">
        <f t="shared" ref="H1637" si="400">H1638</f>
        <v>0</v>
      </c>
      <c r="I1637" s="171"/>
    </row>
    <row r="1638" spans="1:17" ht="27" hidden="1" customHeight="1">
      <c r="A1638" s="81" t="s">
        <v>63</v>
      </c>
      <c r="B1638" s="82">
        <v>793</v>
      </c>
      <c r="C1638" s="83" t="s">
        <v>173</v>
      </c>
      <c r="D1638" s="83" t="s">
        <v>173</v>
      </c>
      <c r="E1638" s="83" t="s">
        <v>867</v>
      </c>
      <c r="F1638" s="83" t="s">
        <v>64</v>
      </c>
      <c r="G1638" s="86">
        <f>G1639</f>
        <v>0</v>
      </c>
      <c r="H1638" s="84">
        <f>H1639</f>
        <v>0</v>
      </c>
      <c r="I1638" s="172"/>
    </row>
    <row r="1639" spans="1:17" ht="18.75" hidden="1" customHeight="1">
      <c r="A1639" s="81" t="s">
        <v>180</v>
      </c>
      <c r="B1639" s="82">
        <v>793</v>
      </c>
      <c r="C1639" s="83" t="s">
        <v>173</v>
      </c>
      <c r="D1639" s="83" t="s">
        <v>173</v>
      </c>
      <c r="E1639" s="83" t="s">
        <v>867</v>
      </c>
      <c r="F1639" s="83" t="s">
        <v>181</v>
      </c>
      <c r="G1639" s="86">
        <f>450000-450000</f>
        <v>0</v>
      </c>
      <c r="H1639" s="86">
        <v>0</v>
      </c>
      <c r="I1639" s="171"/>
    </row>
    <row r="1640" spans="1:17" ht="34.5" customHeight="1">
      <c r="A1640" s="37" t="s">
        <v>1117</v>
      </c>
      <c r="B1640" s="49">
        <v>793</v>
      </c>
      <c r="C1640" s="15" t="s">
        <v>173</v>
      </c>
      <c r="D1640" s="15" t="s">
        <v>173</v>
      </c>
      <c r="E1640" s="15" t="s">
        <v>1116</v>
      </c>
      <c r="F1640" s="15"/>
      <c r="G1640" s="69">
        <f>G1641</f>
        <v>0</v>
      </c>
      <c r="H1640" s="69">
        <f t="shared" ref="H1640:H1641" si="401">H1641</f>
        <v>0</v>
      </c>
      <c r="I1640" s="309"/>
      <c r="J1640" s="68"/>
      <c r="K1640" s="68"/>
      <c r="L1640" s="68"/>
      <c r="M1640" s="68"/>
      <c r="N1640" s="68"/>
      <c r="O1640" s="68"/>
      <c r="P1640" s="68"/>
      <c r="Q1640" s="68"/>
    </row>
    <row r="1641" spans="1:17" ht="33.75" customHeight="1">
      <c r="A1641" s="16" t="s">
        <v>36</v>
      </c>
      <c r="B1641" s="49">
        <v>793</v>
      </c>
      <c r="C1641" s="15" t="s">
        <v>173</v>
      </c>
      <c r="D1641" s="15" t="s">
        <v>173</v>
      </c>
      <c r="E1641" s="15" t="s">
        <v>1116</v>
      </c>
      <c r="F1641" s="15" t="s">
        <v>37</v>
      </c>
      <c r="G1641" s="69">
        <f>G1642</f>
        <v>0</v>
      </c>
      <c r="H1641" s="69">
        <f t="shared" si="401"/>
        <v>0</v>
      </c>
      <c r="I1641" s="309"/>
      <c r="J1641" s="68"/>
      <c r="K1641" s="68"/>
      <c r="L1641" s="68"/>
      <c r="M1641" s="68"/>
      <c r="N1641" s="68"/>
      <c r="O1641" s="68"/>
      <c r="P1641" s="68"/>
      <c r="Q1641" s="68"/>
    </row>
    <row r="1642" spans="1:17" ht="36.75" customHeight="1">
      <c r="A1642" s="16" t="s">
        <v>38</v>
      </c>
      <c r="B1642" s="49">
        <v>793</v>
      </c>
      <c r="C1642" s="15" t="s">
        <v>173</v>
      </c>
      <c r="D1642" s="15" t="s">
        <v>173</v>
      </c>
      <c r="E1642" s="15" t="s">
        <v>1116</v>
      </c>
      <c r="F1642" s="15" t="s">
        <v>39</v>
      </c>
      <c r="G1642" s="69"/>
      <c r="H1642" s="69"/>
      <c r="I1642" s="309"/>
      <c r="J1642" s="68"/>
      <c r="K1642" s="68"/>
      <c r="L1642" s="68"/>
      <c r="M1642" s="68"/>
      <c r="N1642" s="68"/>
      <c r="O1642" s="68"/>
      <c r="P1642" s="68"/>
      <c r="Q1642" s="68"/>
    </row>
    <row r="1643" spans="1:17" s="22" customFormat="1" ht="22.5" customHeight="1">
      <c r="A1643" s="150" t="s">
        <v>2</v>
      </c>
      <c r="B1643" s="257">
        <v>793</v>
      </c>
      <c r="C1643" s="152" t="s">
        <v>161</v>
      </c>
      <c r="D1643" s="152"/>
      <c r="E1643" s="152"/>
      <c r="F1643" s="152"/>
      <c r="G1643" s="153">
        <f>G1644</f>
        <v>10206514.210000001</v>
      </c>
      <c r="H1643" s="153">
        <f t="shared" ref="H1643:H1644" si="402">H1644</f>
        <v>10018012.040000001</v>
      </c>
      <c r="I1643" s="187"/>
      <c r="J1643" s="198"/>
      <c r="K1643" s="198"/>
      <c r="L1643" s="198"/>
      <c r="M1643" s="198"/>
      <c r="N1643" s="198"/>
      <c r="O1643" s="198"/>
      <c r="P1643" s="199"/>
      <c r="Q1643" s="198"/>
    </row>
    <row r="1644" spans="1:17" s="3" customFormat="1" ht="24.75" customHeight="1">
      <c r="A1644" s="81" t="s">
        <v>352</v>
      </c>
      <c r="B1644" s="82">
        <v>793</v>
      </c>
      <c r="C1644" s="83" t="s">
        <v>161</v>
      </c>
      <c r="D1644" s="83" t="s">
        <v>173</v>
      </c>
      <c r="E1644" s="83"/>
      <c r="F1644" s="83"/>
      <c r="G1644" s="86">
        <f>G1645</f>
        <v>10206514.210000001</v>
      </c>
      <c r="H1644" s="86">
        <f t="shared" si="402"/>
        <v>10018012.040000001</v>
      </c>
      <c r="I1644" s="171"/>
      <c r="J1644" s="190"/>
      <c r="K1644" s="190"/>
      <c r="L1644" s="190"/>
      <c r="M1644" s="190"/>
      <c r="N1644" s="190"/>
      <c r="O1644" s="190"/>
      <c r="P1644" s="190"/>
      <c r="Q1644" s="190"/>
    </row>
    <row r="1645" spans="1:17" s="3" customFormat="1" ht="38.25" customHeight="1">
      <c r="A1645" s="81" t="s">
        <v>474</v>
      </c>
      <c r="B1645" s="82">
        <v>793</v>
      </c>
      <c r="C1645" s="83" t="s">
        <v>161</v>
      </c>
      <c r="D1645" s="83" t="s">
        <v>173</v>
      </c>
      <c r="E1645" s="83" t="s">
        <v>261</v>
      </c>
      <c r="F1645" s="83"/>
      <c r="G1645" s="86">
        <f>G1648+G1654+G1657+G1662+G1666+G1658+G1649</f>
        <v>10206514.210000001</v>
      </c>
      <c r="H1645" s="86">
        <f>H1648+H1654+H1657+H1662+H1666+H1658+H1649</f>
        <v>10018012.040000001</v>
      </c>
      <c r="I1645" s="171"/>
      <c r="J1645" s="190"/>
      <c r="K1645" s="190"/>
      <c r="L1645" s="190"/>
      <c r="M1645" s="190"/>
      <c r="N1645" s="190"/>
      <c r="O1645" s="190"/>
      <c r="P1645" s="190"/>
      <c r="Q1645" s="190"/>
    </row>
    <row r="1646" spans="1:17" s="3" customFormat="1" ht="38.25" customHeight="1">
      <c r="A1646" s="81" t="s">
        <v>527</v>
      </c>
      <c r="B1646" s="82">
        <v>793</v>
      </c>
      <c r="C1646" s="83" t="s">
        <v>161</v>
      </c>
      <c r="D1646" s="83" t="s">
        <v>173</v>
      </c>
      <c r="E1646" s="83" t="s">
        <v>528</v>
      </c>
      <c r="F1646" s="83"/>
      <c r="G1646" s="86">
        <f>G1647</f>
        <v>500000</v>
      </c>
      <c r="H1646" s="86">
        <f t="shared" ref="H1646" si="403">H1647</f>
        <v>500000</v>
      </c>
      <c r="I1646" s="172"/>
      <c r="J1646" s="190"/>
      <c r="K1646" s="190"/>
      <c r="L1646" s="190"/>
      <c r="M1646" s="190"/>
      <c r="N1646" s="190"/>
      <c r="O1646" s="190"/>
      <c r="P1646" s="190"/>
      <c r="Q1646" s="190"/>
    </row>
    <row r="1647" spans="1:17" s="3" customFormat="1" ht="38.25" customHeight="1">
      <c r="A1647" s="81" t="s">
        <v>36</v>
      </c>
      <c r="B1647" s="82">
        <v>793</v>
      </c>
      <c r="C1647" s="83" t="s">
        <v>161</v>
      </c>
      <c r="D1647" s="83" t="s">
        <v>173</v>
      </c>
      <c r="E1647" s="83" t="s">
        <v>528</v>
      </c>
      <c r="F1647" s="83" t="s">
        <v>37</v>
      </c>
      <c r="G1647" s="86">
        <f>G1648</f>
        <v>500000</v>
      </c>
      <c r="H1647" s="86">
        <f t="shared" ref="H1647" si="404">H1648</f>
        <v>500000</v>
      </c>
      <c r="I1647" s="172"/>
      <c r="J1647" s="190"/>
      <c r="K1647" s="190"/>
      <c r="L1647" s="190"/>
      <c r="M1647" s="190"/>
      <c r="N1647" s="190"/>
      <c r="O1647" s="190"/>
      <c r="P1647" s="190"/>
      <c r="Q1647" s="190"/>
    </row>
    <row r="1648" spans="1:17" s="3" customFormat="1" ht="38.25" customHeight="1">
      <c r="A1648" s="81" t="s">
        <v>38</v>
      </c>
      <c r="B1648" s="82">
        <v>793</v>
      </c>
      <c r="C1648" s="83" t="s">
        <v>161</v>
      </c>
      <c r="D1648" s="83" t="s">
        <v>173</v>
      </c>
      <c r="E1648" s="83" t="s">
        <v>528</v>
      </c>
      <c r="F1648" s="83" t="s">
        <v>39</v>
      </c>
      <c r="G1648" s="86">
        <f>500000+1000000-1000000</f>
        <v>500000</v>
      </c>
      <c r="H1648" s="86">
        <v>500000</v>
      </c>
      <c r="I1648" s="171"/>
      <c r="J1648" s="190"/>
      <c r="K1648" s="190"/>
      <c r="L1648" s="190"/>
      <c r="M1648" s="190"/>
      <c r="N1648" s="190"/>
      <c r="O1648" s="190"/>
      <c r="P1648" s="190"/>
      <c r="Q1648" s="190"/>
    </row>
    <row r="1649" spans="1:19" s="3" customFormat="1" ht="46.5" customHeight="1">
      <c r="A1649" s="81" t="s">
        <v>1058</v>
      </c>
      <c r="B1649" s="82">
        <v>793</v>
      </c>
      <c r="C1649" s="83" t="s">
        <v>161</v>
      </c>
      <c r="D1649" s="83" t="s">
        <v>173</v>
      </c>
      <c r="E1649" s="83" t="s">
        <v>1057</v>
      </c>
      <c r="F1649" s="83"/>
      <c r="G1649" s="86">
        <f t="shared" ref="G1649:H1650" si="405">G1650</f>
        <v>8146165.9500000002</v>
      </c>
      <c r="H1649" s="86">
        <f t="shared" si="405"/>
        <v>8007663.7800000003</v>
      </c>
      <c r="I1649" s="171"/>
      <c r="J1649" s="190"/>
      <c r="K1649" s="190"/>
      <c r="L1649" s="190"/>
      <c r="M1649" s="190"/>
      <c r="N1649" s="190"/>
      <c r="O1649" s="190"/>
      <c r="P1649" s="190"/>
      <c r="Q1649" s="190"/>
    </row>
    <row r="1650" spans="1:19" s="3" customFormat="1" ht="38.25" customHeight="1">
      <c r="A1650" s="81" t="s">
        <v>36</v>
      </c>
      <c r="B1650" s="82">
        <v>793</v>
      </c>
      <c r="C1650" s="83" t="s">
        <v>161</v>
      </c>
      <c r="D1650" s="83" t="s">
        <v>173</v>
      </c>
      <c r="E1650" s="83" t="s">
        <v>1057</v>
      </c>
      <c r="F1650" s="83" t="s">
        <v>37</v>
      </c>
      <c r="G1650" s="86">
        <f t="shared" si="405"/>
        <v>8146165.9500000002</v>
      </c>
      <c r="H1650" s="86">
        <f t="shared" si="405"/>
        <v>8007663.7800000003</v>
      </c>
      <c r="I1650" s="171"/>
      <c r="J1650" s="190"/>
      <c r="K1650" s="190"/>
      <c r="L1650" s="190"/>
      <c r="M1650" s="190"/>
      <c r="N1650" s="190"/>
      <c r="O1650" s="190"/>
      <c r="P1650" s="190"/>
      <c r="Q1650" s="190"/>
    </row>
    <row r="1651" spans="1:19" s="3" customFormat="1" ht="38.25" customHeight="1">
      <c r="A1651" s="81" t="s">
        <v>38</v>
      </c>
      <c r="B1651" s="82">
        <v>793</v>
      </c>
      <c r="C1651" s="83" t="s">
        <v>161</v>
      </c>
      <c r="D1651" s="83" t="s">
        <v>173</v>
      </c>
      <c r="E1651" s="83" t="s">
        <v>1057</v>
      </c>
      <c r="F1651" s="83" t="s">
        <v>39</v>
      </c>
      <c r="G1651" s="86">
        <v>8146165.9500000002</v>
      </c>
      <c r="H1651" s="86">
        <v>8007663.7800000003</v>
      </c>
      <c r="I1651" s="171"/>
      <c r="J1651" s="190"/>
      <c r="K1651" s="190"/>
      <c r="L1651" s="190"/>
      <c r="M1651" s="190"/>
      <c r="N1651" s="190"/>
      <c r="O1651" s="190"/>
      <c r="P1651" s="190"/>
      <c r="Q1651" s="190"/>
    </row>
    <row r="1652" spans="1:19" s="3" customFormat="1" ht="38.25" customHeight="1">
      <c r="A1652" s="81" t="s">
        <v>483</v>
      </c>
      <c r="B1652" s="82">
        <v>793</v>
      </c>
      <c r="C1652" s="83" t="s">
        <v>161</v>
      </c>
      <c r="D1652" s="83" t="s">
        <v>173</v>
      </c>
      <c r="E1652" s="83" t="s">
        <v>375</v>
      </c>
      <c r="F1652" s="83"/>
      <c r="G1652" s="86">
        <f t="shared" ref="G1652:H1653" si="406">G1653</f>
        <v>426048.26</v>
      </c>
      <c r="H1652" s="86">
        <f t="shared" si="406"/>
        <v>426048.26</v>
      </c>
      <c r="I1652" s="171"/>
      <c r="J1652" s="190"/>
      <c r="K1652" s="190"/>
      <c r="L1652" s="190"/>
      <c r="M1652" s="190"/>
      <c r="N1652" s="190"/>
      <c r="O1652" s="190"/>
      <c r="P1652" s="190"/>
      <c r="Q1652" s="190"/>
    </row>
    <row r="1653" spans="1:19" s="3" customFormat="1" ht="38.25" customHeight="1">
      <c r="A1653" s="81" t="s">
        <v>36</v>
      </c>
      <c r="B1653" s="82">
        <v>793</v>
      </c>
      <c r="C1653" s="83" t="s">
        <v>161</v>
      </c>
      <c r="D1653" s="83" t="s">
        <v>173</v>
      </c>
      <c r="E1653" s="83" t="s">
        <v>375</v>
      </c>
      <c r="F1653" s="83" t="s">
        <v>37</v>
      </c>
      <c r="G1653" s="86">
        <f t="shared" si="406"/>
        <v>426048.26</v>
      </c>
      <c r="H1653" s="86">
        <f t="shared" si="406"/>
        <v>426048.26</v>
      </c>
      <c r="I1653" s="171"/>
      <c r="J1653" s="190"/>
      <c r="K1653" s="190"/>
      <c r="L1653" s="190"/>
      <c r="M1653" s="190"/>
      <c r="N1653" s="190"/>
      <c r="O1653" s="190"/>
      <c r="P1653" s="190"/>
      <c r="Q1653" s="190"/>
    </row>
    <row r="1654" spans="1:19" s="3" customFormat="1" ht="38.25" customHeight="1">
      <c r="A1654" s="81" t="s">
        <v>38</v>
      </c>
      <c r="B1654" s="82">
        <v>793</v>
      </c>
      <c r="C1654" s="83" t="s">
        <v>161</v>
      </c>
      <c r="D1654" s="83" t="s">
        <v>173</v>
      </c>
      <c r="E1654" s="83" t="s">
        <v>375</v>
      </c>
      <c r="F1654" s="83" t="s">
        <v>39</v>
      </c>
      <c r="G1654" s="86">
        <v>426048.26</v>
      </c>
      <c r="H1654" s="86">
        <v>426048.26</v>
      </c>
      <c r="I1654" s="171"/>
      <c r="J1654" s="190"/>
      <c r="K1654" s="190"/>
      <c r="L1654" s="190"/>
      <c r="M1654" s="190"/>
      <c r="N1654" s="190"/>
      <c r="O1654" s="190"/>
      <c r="P1654" s="190"/>
      <c r="Q1654" s="190"/>
    </row>
    <row r="1655" spans="1:19" s="3" customFormat="1" ht="38.25" customHeight="1">
      <c r="A1655" s="81" t="s">
        <v>378</v>
      </c>
      <c r="B1655" s="82">
        <v>793</v>
      </c>
      <c r="C1655" s="83" t="s">
        <v>161</v>
      </c>
      <c r="D1655" s="83" t="s">
        <v>173</v>
      </c>
      <c r="E1655" s="83" t="s">
        <v>376</v>
      </c>
      <c r="F1655" s="83"/>
      <c r="G1655" s="86">
        <f t="shared" ref="G1655:H1659" si="407">G1656</f>
        <v>84300</v>
      </c>
      <c r="H1655" s="86">
        <f t="shared" si="407"/>
        <v>84300</v>
      </c>
      <c r="I1655" s="171"/>
      <c r="J1655" s="190"/>
      <c r="K1655" s="190"/>
      <c r="L1655" s="190"/>
      <c r="M1655" s="190"/>
      <c r="N1655" s="190"/>
      <c r="O1655" s="190"/>
      <c r="P1655" s="190"/>
      <c r="Q1655" s="190"/>
    </row>
    <row r="1656" spans="1:19" s="3" customFormat="1" ht="38.25" customHeight="1">
      <c r="A1656" s="81" t="s">
        <v>36</v>
      </c>
      <c r="B1656" s="82">
        <v>793</v>
      </c>
      <c r="C1656" s="83" t="s">
        <v>161</v>
      </c>
      <c r="D1656" s="83" t="s">
        <v>173</v>
      </c>
      <c r="E1656" s="83" t="s">
        <v>376</v>
      </c>
      <c r="F1656" s="83" t="s">
        <v>37</v>
      </c>
      <c r="G1656" s="86">
        <f t="shared" si="407"/>
        <v>84300</v>
      </c>
      <c r="H1656" s="86">
        <f t="shared" si="407"/>
        <v>84300</v>
      </c>
      <c r="I1656" s="171"/>
      <c r="J1656" s="190"/>
      <c r="K1656" s="190"/>
      <c r="L1656" s="190"/>
      <c r="M1656" s="190"/>
      <c r="N1656" s="190"/>
      <c r="O1656" s="190"/>
      <c r="P1656" s="190"/>
      <c r="Q1656" s="190"/>
    </row>
    <row r="1657" spans="1:19" s="3" customFormat="1" ht="39.75" customHeight="1">
      <c r="A1657" s="81" t="s">
        <v>38</v>
      </c>
      <c r="B1657" s="82">
        <v>793</v>
      </c>
      <c r="C1657" s="83" t="s">
        <v>161</v>
      </c>
      <c r="D1657" s="83" t="s">
        <v>173</v>
      </c>
      <c r="E1657" s="83" t="s">
        <v>376</v>
      </c>
      <c r="F1657" s="83" t="s">
        <v>39</v>
      </c>
      <c r="G1657" s="86">
        <v>84300</v>
      </c>
      <c r="H1657" s="86">
        <v>84300</v>
      </c>
      <c r="I1657" s="171"/>
      <c r="J1657" s="190"/>
      <c r="K1657" s="190"/>
      <c r="L1657" s="190"/>
      <c r="M1657" s="190"/>
      <c r="N1657" s="190"/>
      <c r="O1657" s="190"/>
      <c r="P1657" s="190"/>
      <c r="Q1657" s="190"/>
    </row>
    <row r="1658" spans="1:19" s="3" customFormat="1" ht="38.25" customHeight="1">
      <c r="A1658" s="81" t="s">
        <v>1043</v>
      </c>
      <c r="B1658" s="82">
        <v>793</v>
      </c>
      <c r="C1658" s="83" t="s">
        <v>161</v>
      </c>
      <c r="D1658" s="83" t="s">
        <v>173</v>
      </c>
      <c r="E1658" s="83" t="s">
        <v>1042</v>
      </c>
      <c r="F1658" s="83"/>
      <c r="G1658" s="86">
        <f t="shared" si="407"/>
        <v>1000000</v>
      </c>
      <c r="H1658" s="86">
        <f t="shared" si="407"/>
        <v>1000000</v>
      </c>
      <c r="I1658" s="171"/>
      <c r="J1658" s="190"/>
      <c r="K1658" s="190"/>
      <c r="L1658" s="190"/>
      <c r="M1658" s="190"/>
      <c r="N1658" s="190"/>
      <c r="O1658" s="190"/>
      <c r="P1658" s="190"/>
      <c r="Q1658" s="190"/>
    </row>
    <row r="1659" spans="1:19" s="3" customFormat="1" ht="38.25" customHeight="1">
      <c r="A1659" s="81" t="s">
        <v>36</v>
      </c>
      <c r="B1659" s="82">
        <v>793</v>
      </c>
      <c r="C1659" s="83" t="s">
        <v>161</v>
      </c>
      <c r="D1659" s="83" t="s">
        <v>173</v>
      </c>
      <c r="E1659" s="83" t="s">
        <v>1042</v>
      </c>
      <c r="F1659" s="83" t="s">
        <v>37</v>
      </c>
      <c r="G1659" s="86">
        <f t="shared" si="407"/>
        <v>1000000</v>
      </c>
      <c r="H1659" s="86">
        <f t="shared" si="407"/>
        <v>1000000</v>
      </c>
      <c r="I1659" s="171"/>
      <c r="J1659" s="190"/>
      <c r="K1659" s="190"/>
      <c r="L1659" s="190"/>
      <c r="M1659" s="190"/>
      <c r="N1659" s="190"/>
      <c r="O1659" s="190"/>
      <c r="P1659" s="190"/>
      <c r="Q1659" s="190"/>
    </row>
    <row r="1660" spans="1:19" s="3" customFormat="1" ht="39.75" customHeight="1">
      <c r="A1660" s="81" t="s">
        <v>38</v>
      </c>
      <c r="B1660" s="82">
        <v>793</v>
      </c>
      <c r="C1660" s="83" t="s">
        <v>161</v>
      </c>
      <c r="D1660" s="83" t="s">
        <v>173</v>
      </c>
      <c r="E1660" s="83" t="s">
        <v>1042</v>
      </c>
      <c r="F1660" s="83" t="s">
        <v>39</v>
      </c>
      <c r="G1660" s="86">
        <v>1000000</v>
      </c>
      <c r="H1660" s="86">
        <v>1000000</v>
      </c>
      <c r="I1660" s="171"/>
      <c r="J1660" s="190"/>
      <c r="K1660" s="190"/>
      <c r="L1660" s="190"/>
      <c r="M1660" s="190"/>
      <c r="N1660" s="190"/>
      <c r="O1660" s="190"/>
      <c r="P1660" s="190"/>
      <c r="Q1660" s="190"/>
    </row>
    <row r="1661" spans="1:19" s="3" customFormat="1" ht="35.25" customHeight="1">
      <c r="A1661" s="81" t="s">
        <v>128</v>
      </c>
      <c r="B1661" s="82">
        <v>793</v>
      </c>
      <c r="C1661" s="83" t="s">
        <v>161</v>
      </c>
      <c r="D1661" s="83" t="s">
        <v>173</v>
      </c>
      <c r="E1661" s="83" t="s">
        <v>285</v>
      </c>
      <c r="F1661" s="83"/>
      <c r="G1661" s="86">
        <f>G1663</f>
        <v>50000</v>
      </c>
      <c r="H1661" s="86">
        <f>H1663</f>
        <v>0</v>
      </c>
      <c r="I1661" s="171"/>
      <c r="J1661" s="190"/>
      <c r="K1661" s="190"/>
      <c r="L1661" s="190"/>
      <c r="M1661" s="190"/>
      <c r="N1661" s="190"/>
      <c r="O1661" s="190"/>
      <c r="P1661" s="190"/>
      <c r="Q1661" s="190"/>
    </row>
    <row r="1662" spans="1:19" s="3" customFormat="1" ht="38.25" customHeight="1">
      <c r="A1662" s="81" t="s">
        <v>36</v>
      </c>
      <c r="B1662" s="82">
        <v>793</v>
      </c>
      <c r="C1662" s="83" t="s">
        <v>161</v>
      </c>
      <c r="D1662" s="83" t="s">
        <v>173</v>
      </c>
      <c r="E1662" s="83" t="s">
        <v>285</v>
      </c>
      <c r="F1662" s="83" t="s">
        <v>37</v>
      </c>
      <c r="G1662" s="86">
        <f>G1663</f>
        <v>50000</v>
      </c>
      <c r="H1662" s="86">
        <f>H1663</f>
        <v>0</v>
      </c>
      <c r="I1662" s="171"/>
      <c r="J1662" s="190"/>
      <c r="K1662" s="190"/>
      <c r="L1662" s="190"/>
      <c r="M1662" s="190"/>
      <c r="N1662" s="190"/>
      <c r="O1662" s="190"/>
      <c r="P1662" s="190"/>
      <c r="Q1662" s="190"/>
    </row>
    <row r="1663" spans="1:19" s="3" customFormat="1" ht="46.5" customHeight="1">
      <c r="A1663" s="81" t="s">
        <v>38</v>
      </c>
      <c r="B1663" s="82">
        <v>793</v>
      </c>
      <c r="C1663" s="83" t="s">
        <v>161</v>
      </c>
      <c r="D1663" s="83" t="s">
        <v>173</v>
      </c>
      <c r="E1663" s="83" t="s">
        <v>285</v>
      </c>
      <c r="F1663" s="83" t="s">
        <v>39</v>
      </c>
      <c r="G1663" s="86">
        <v>50000</v>
      </c>
      <c r="H1663" s="86">
        <v>0</v>
      </c>
      <c r="I1663" s="171"/>
      <c r="J1663" s="190"/>
      <c r="K1663" s="190"/>
      <c r="L1663" s="190"/>
      <c r="M1663" s="190"/>
      <c r="N1663" s="190"/>
      <c r="O1663" s="190"/>
      <c r="P1663" s="190"/>
      <c r="Q1663" s="190"/>
      <c r="R1663" s="62"/>
      <c r="S1663" s="62"/>
    </row>
    <row r="1664" spans="1:19" s="3" customFormat="1" ht="129.75" customHeight="1">
      <c r="A1664" s="81" t="s">
        <v>1002</v>
      </c>
      <c r="B1664" s="82">
        <v>793</v>
      </c>
      <c r="C1664" s="83" t="s">
        <v>161</v>
      </c>
      <c r="D1664" s="83" t="s">
        <v>173</v>
      </c>
      <c r="E1664" s="83" t="s">
        <v>1001</v>
      </c>
      <c r="F1664" s="83"/>
      <c r="G1664" s="86">
        <f>G1665</f>
        <v>0</v>
      </c>
      <c r="H1664" s="86">
        <f t="shared" ref="H1664:H1665" si="408">H1665</f>
        <v>0</v>
      </c>
      <c r="I1664" s="172"/>
      <c r="J1664" s="190"/>
      <c r="K1664" s="190"/>
      <c r="L1664" s="190"/>
      <c r="M1664" s="190"/>
      <c r="N1664" s="190"/>
      <c r="O1664" s="190"/>
      <c r="P1664" s="190"/>
      <c r="Q1664" s="190"/>
    </row>
    <row r="1665" spans="1:19" s="3" customFormat="1" ht="38.25" customHeight="1">
      <c r="A1665" s="81" t="s">
        <v>63</v>
      </c>
      <c r="B1665" s="82">
        <v>793</v>
      </c>
      <c r="C1665" s="83" t="s">
        <v>161</v>
      </c>
      <c r="D1665" s="83" t="s">
        <v>173</v>
      </c>
      <c r="E1665" s="83" t="s">
        <v>1001</v>
      </c>
      <c r="F1665" s="83" t="s">
        <v>64</v>
      </c>
      <c r="G1665" s="86">
        <f>G1666</f>
        <v>0</v>
      </c>
      <c r="H1665" s="86">
        <f t="shared" si="408"/>
        <v>0</v>
      </c>
      <c r="I1665" s="172"/>
      <c r="J1665" s="190"/>
      <c r="K1665" s="190"/>
      <c r="L1665" s="190"/>
      <c r="M1665" s="190"/>
      <c r="N1665" s="190"/>
      <c r="O1665" s="190"/>
      <c r="P1665" s="190"/>
      <c r="Q1665" s="190"/>
    </row>
    <row r="1666" spans="1:19" s="3" customFormat="1" ht="38.25" customHeight="1">
      <c r="A1666" s="81" t="s">
        <v>180</v>
      </c>
      <c r="B1666" s="82">
        <v>793</v>
      </c>
      <c r="C1666" s="83" t="s">
        <v>161</v>
      </c>
      <c r="D1666" s="83" t="s">
        <v>173</v>
      </c>
      <c r="E1666" s="83" t="s">
        <v>1001</v>
      </c>
      <c r="F1666" s="83" t="s">
        <v>181</v>
      </c>
      <c r="G1666" s="86">
        <f>271777-271777</f>
        <v>0</v>
      </c>
      <c r="H1666" s="86"/>
      <c r="I1666" s="171"/>
      <c r="J1666" s="190"/>
      <c r="K1666" s="190"/>
      <c r="L1666" s="190"/>
      <c r="M1666" s="190"/>
      <c r="N1666" s="190"/>
      <c r="O1666" s="190"/>
      <c r="P1666" s="190"/>
      <c r="Q1666" s="190"/>
    </row>
    <row r="1667" spans="1:19" ht="16.5" customHeight="1">
      <c r="A1667" s="252" t="s">
        <v>25</v>
      </c>
      <c r="B1667" s="254" t="s">
        <v>837</v>
      </c>
      <c r="C1667" s="254" t="s">
        <v>26</v>
      </c>
      <c r="D1667" s="254"/>
      <c r="E1667" s="254"/>
      <c r="F1667" s="254"/>
      <c r="G1667" s="95">
        <f>G1668</f>
        <v>491400</v>
      </c>
      <c r="H1667" s="95">
        <f t="shared" ref="H1667" si="409">H1668</f>
        <v>491400</v>
      </c>
      <c r="I1667" s="183"/>
      <c r="J1667" s="183"/>
      <c r="K1667" s="183"/>
      <c r="L1667" s="183"/>
      <c r="M1667" s="183"/>
      <c r="N1667" s="183"/>
      <c r="R1667" s="68"/>
      <c r="S1667" s="68"/>
    </row>
    <row r="1668" spans="1:19" ht="14.25" customHeight="1">
      <c r="A1668" s="81" t="s">
        <v>281</v>
      </c>
      <c r="B1668" s="145">
        <v>793</v>
      </c>
      <c r="C1668" s="83" t="s">
        <v>26</v>
      </c>
      <c r="D1668" s="83" t="s">
        <v>26</v>
      </c>
      <c r="E1668" s="83"/>
      <c r="F1668" s="145"/>
      <c r="G1668" s="86">
        <f>G1677+G1669+G1684</f>
        <v>491400</v>
      </c>
      <c r="H1668" s="86">
        <f>H1677+H1669+H1684</f>
        <v>491400</v>
      </c>
      <c r="I1668" s="171"/>
      <c r="R1668" s="68"/>
      <c r="S1668" s="68"/>
    </row>
    <row r="1669" spans="1:19" ht="32.25" hidden="1" customHeight="1">
      <c r="A1669" s="81" t="s">
        <v>473</v>
      </c>
      <c r="B1669" s="145">
        <v>757</v>
      </c>
      <c r="C1669" s="83" t="s">
        <v>26</v>
      </c>
      <c r="D1669" s="83" t="s">
        <v>26</v>
      </c>
      <c r="E1669" s="83" t="s">
        <v>396</v>
      </c>
      <c r="F1669" s="83"/>
      <c r="G1669" s="86">
        <f>G1670</f>
        <v>0</v>
      </c>
      <c r="H1669" s="86">
        <f>H1671</f>
        <v>0</v>
      </c>
      <c r="I1669" s="171"/>
      <c r="R1669" s="68"/>
      <c r="S1669" s="68"/>
    </row>
    <row r="1670" spans="1:19" ht="22.5" hidden="1" customHeight="1">
      <c r="A1670" s="81" t="s">
        <v>119</v>
      </c>
      <c r="B1670" s="145">
        <v>757</v>
      </c>
      <c r="C1670" s="83" t="s">
        <v>26</v>
      </c>
      <c r="D1670" s="83" t="s">
        <v>26</v>
      </c>
      <c r="E1670" s="83" t="s">
        <v>602</v>
      </c>
      <c r="F1670" s="83"/>
      <c r="G1670" s="86">
        <f>G1671+G1674</f>
        <v>0</v>
      </c>
      <c r="H1670" s="86">
        <f t="shared" ref="H1670" si="410">H1671+H1674</f>
        <v>0</v>
      </c>
      <c r="I1670" s="171"/>
      <c r="R1670" s="68"/>
      <c r="S1670" s="68"/>
    </row>
    <row r="1671" spans="1:19" ht="51" hidden="1">
      <c r="A1671" s="81" t="s">
        <v>127</v>
      </c>
      <c r="B1671" s="145">
        <v>757</v>
      </c>
      <c r="C1671" s="83" t="s">
        <v>26</v>
      </c>
      <c r="D1671" s="83" t="s">
        <v>26</v>
      </c>
      <c r="E1671" s="83" t="s">
        <v>191</v>
      </c>
      <c r="F1671" s="83"/>
      <c r="G1671" s="86">
        <f t="shared" ref="G1671:H1672" si="411">G1672</f>
        <v>0</v>
      </c>
      <c r="H1671" s="86">
        <f t="shared" si="411"/>
        <v>0</v>
      </c>
      <c r="I1671" s="171"/>
      <c r="R1671" s="68"/>
      <c r="S1671" s="68"/>
    </row>
    <row r="1672" spans="1:19" ht="25.5" hidden="1">
      <c r="A1672" s="81" t="s">
        <v>30</v>
      </c>
      <c r="B1672" s="145">
        <v>757</v>
      </c>
      <c r="C1672" s="83" t="s">
        <v>26</v>
      </c>
      <c r="D1672" s="83" t="s">
        <v>26</v>
      </c>
      <c r="E1672" s="83" t="s">
        <v>191</v>
      </c>
      <c r="F1672" s="83" t="s">
        <v>31</v>
      </c>
      <c r="G1672" s="86">
        <f t="shared" si="411"/>
        <v>0</v>
      </c>
      <c r="H1672" s="86">
        <f t="shared" si="411"/>
        <v>0</v>
      </c>
      <c r="I1672" s="171"/>
      <c r="R1672" s="68"/>
      <c r="S1672" s="68"/>
    </row>
    <row r="1673" spans="1:19" ht="19.5" hidden="1" customHeight="1">
      <c r="A1673" s="81" t="s">
        <v>32</v>
      </c>
      <c r="B1673" s="145">
        <v>757</v>
      </c>
      <c r="C1673" s="83" t="s">
        <v>26</v>
      </c>
      <c r="D1673" s="83" t="s">
        <v>26</v>
      </c>
      <c r="E1673" s="83" t="s">
        <v>191</v>
      </c>
      <c r="F1673" s="83" t="s">
        <v>33</v>
      </c>
      <c r="G1673" s="86"/>
      <c r="H1673" s="86">
        <v>0</v>
      </c>
      <c r="I1673" s="171"/>
      <c r="R1673" s="68"/>
      <c r="S1673" s="68"/>
    </row>
    <row r="1674" spans="1:19" s="18" customFormat="1" ht="61.5" hidden="1" customHeight="1">
      <c r="A1674" s="131" t="s">
        <v>351</v>
      </c>
      <c r="B1674" s="83" t="s">
        <v>51</v>
      </c>
      <c r="C1674" s="83" t="s">
        <v>26</v>
      </c>
      <c r="D1674" s="83" t="s">
        <v>26</v>
      </c>
      <c r="E1674" s="83" t="s">
        <v>192</v>
      </c>
      <c r="F1674" s="83"/>
      <c r="G1674" s="86">
        <f>G1675</f>
        <v>0</v>
      </c>
      <c r="H1674" s="86">
        <f t="shared" ref="H1674" si="412">H1675</f>
        <v>0</v>
      </c>
      <c r="I1674" s="171"/>
      <c r="J1674" s="191"/>
      <c r="K1674" s="191"/>
      <c r="L1674" s="191"/>
      <c r="M1674" s="191"/>
      <c r="N1674" s="191"/>
      <c r="O1674" s="191"/>
      <c r="P1674" s="191"/>
      <c r="Q1674" s="191"/>
      <c r="R1674" s="176"/>
      <c r="S1674" s="176"/>
    </row>
    <row r="1675" spans="1:19" s="18" customFormat="1" ht="25.5" hidden="1">
      <c r="A1675" s="81" t="s">
        <v>30</v>
      </c>
      <c r="B1675" s="83" t="s">
        <v>51</v>
      </c>
      <c r="C1675" s="83" t="s">
        <v>26</v>
      </c>
      <c r="D1675" s="83" t="s">
        <v>26</v>
      </c>
      <c r="E1675" s="83" t="s">
        <v>192</v>
      </c>
      <c r="F1675" s="83" t="s">
        <v>31</v>
      </c>
      <c r="G1675" s="86">
        <f>G1676</f>
        <v>0</v>
      </c>
      <c r="H1675" s="86">
        <f>H1676</f>
        <v>0</v>
      </c>
      <c r="I1675" s="171"/>
      <c r="J1675" s="191"/>
      <c r="K1675" s="191"/>
      <c r="L1675" s="191"/>
      <c r="M1675" s="191"/>
      <c r="N1675" s="191"/>
      <c r="O1675" s="191"/>
      <c r="P1675" s="191"/>
      <c r="Q1675" s="191"/>
      <c r="R1675" s="176"/>
      <c r="S1675" s="176"/>
    </row>
    <row r="1676" spans="1:19" s="18" customFormat="1" hidden="1">
      <c r="A1676" s="81" t="s">
        <v>32</v>
      </c>
      <c r="B1676" s="83" t="s">
        <v>51</v>
      </c>
      <c r="C1676" s="83" t="s">
        <v>26</v>
      </c>
      <c r="D1676" s="83" t="s">
        <v>26</v>
      </c>
      <c r="E1676" s="83" t="s">
        <v>192</v>
      </c>
      <c r="F1676" s="83" t="s">
        <v>33</v>
      </c>
      <c r="G1676" s="86"/>
      <c r="H1676" s="86"/>
      <c r="I1676" s="171"/>
      <c r="J1676" s="191"/>
      <c r="K1676" s="191"/>
      <c r="L1676" s="191"/>
      <c r="M1676" s="191"/>
      <c r="N1676" s="191"/>
      <c r="O1676" s="191"/>
      <c r="P1676" s="191"/>
      <c r="Q1676" s="191"/>
      <c r="R1676" s="176"/>
      <c r="S1676" s="176"/>
    </row>
    <row r="1677" spans="1:19" s="18" customFormat="1" ht="25.5">
      <c r="A1677" s="81" t="s">
        <v>476</v>
      </c>
      <c r="B1677" s="145">
        <v>793</v>
      </c>
      <c r="C1677" s="83" t="s">
        <v>26</v>
      </c>
      <c r="D1677" s="83" t="s">
        <v>26</v>
      </c>
      <c r="E1677" s="83" t="s">
        <v>197</v>
      </c>
      <c r="F1677" s="83"/>
      <c r="G1677" s="86">
        <f>G1678+G1681</f>
        <v>331400</v>
      </c>
      <c r="H1677" s="86">
        <f>H1678+H1681</f>
        <v>331400</v>
      </c>
      <c r="I1677" s="171"/>
      <c r="J1677" s="171"/>
      <c r="K1677" s="171"/>
      <c r="L1677" s="171"/>
      <c r="M1677" s="171"/>
      <c r="N1677" s="191"/>
      <c r="O1677" s="191"/>
      <c r="P1677" s="191"/>
      <c r="Q1677" s="191"/>
      <c r="R1677" s="176"/>
      <c r="S1677" s="176"/>
    </row>
    <row r="1678" spans="1:19" s="18" customFormat="1">
      <c r="A1678" s="81" t="s">
        <v>339</v>
      </c>
      <c r="B1678" s="145">
        <v>793</v>
      </c>
      <c r="C1678" s="83" t="s">
        <v>26</v>
      </c>
      <c r="D1678" s="83" t="s">
        <v>26</v>
      </c>
      <c r="E1678" s="83" t="s">
        <v>198</v>
      </c>
      <c r="F1678" s="83"/>
      <c r="G1678" s="86">
        <f>G1679</f>
        <v>187400</v>
      </c>
      <c r="H1678" s="86">
        <f>H1679</f>
        <v>187400</v>
      </c>
      <c r="I1678" s="171"/>
      <c r="J1678" s="191"/>
      <c r="K1678" s="191"/>
      <c r="L1678" s="191"/>
      <c r="M1678" s="191"/>
      <c r="N1678" s="191"/>
      <c r="O1678" s="191"/>
      <c r="P1678" s="191"/>
      <c r="Q1678" s="191"/>
      <c r="R1678" s="176"/>
      <c r="S1678" s="176"/>
    </row>
    <row r="1679" spans="1:19" s="18" customFormat="1" ht="25.5">
      <c r="A1679" s="81" t="s">
        <v>36</v>
      </c>
      <c r="B1679" s="145">
        <v>793</v>
      </c>
      <c r="C1679" s="83" t="s">
        <v>26</v>
      </c>
      <c r="D1679" s="83" t="s">
        <v>26</v>
      </c>
      <c r="E1679" s="83" t="s">
        <v>198</v>
      </c>
      <c r="F1679" s="83" t="s">
        <v>37</v>
      </c>
      <c r="G1679" s="86">
        <f>G1680</f>
        <v>187400</v>
      </c>
      <c r="H1679" s="86">
        <f>H1680</f>
        <v>187400</v>
      </c>
      <c r="I1679" s="171"/>
      <c r="J1679" s="191"/>
      <c r="K1679" s="191"/>
      <c r="L1679" s="191"/>
      <c r="M1679" s="191"/>
      <c r="N1679" s="191"/>
      <c r="O1679" s="191"/>
      <c r="P1679" s="191"/>
      <c r="Q1679" s="191"/>
      <c r="R1679" s="176"/>
      <c r="S1679" s="176"/>
    </row>
    <row r="1680" spans="1:19" s="18" customFormat="1" ht="25.5">
      <c r="A1680" s="81" t="s">
        <v>38</v>
      </c>
      <c r="B1680" s="145">
        <v>793</v>
      </c>
      <c r="C1680" s="83" t="s">
        <v>26</v>
      </c>
      <c r="D1680" s="83" t="s">
        <v>26</v>
      </c>
      <c r="E1680" s="83" t="s">
        <v>198</v>
      </c>
      <c r="F1680" s="83" t="s">
        <v>39</v>
      </c>
      <c r="G1680" s="86">
        <v>187400</v>
      </c>
      <c r="H1680" s="86">
        <v>187400</v>
      </c>
      <c r="I1680" s="171"/>
      <c r="J1680" s="191"/>
      <c r="K1680" s="191"/>
      <c r="L1680" s="191"/>
      <c r="M1680" s="191"/>
      <c r="N1680" s="191"/>
      <c r="O1680" s="191"/>
      <c r="P1680" s="191"/>
      <c r="Q1680" s="191"/>
    </row>
    <row r="1681" spans="1:17" s="18" customFormat="1" ht="25.5">
      <c r="A1681" s="81" t="s">
        <v>298</v>
      </c>
      <c r="B1681" s="145">
        <v>793</v>
      </c>
      <c r="C1681" s="83" t="s">
        <v>26</v>
      </c>
      <c r="D1681" s="83" t="s">
        <v>26</v>
      </c>
      <c r="E1681" s="83" t="s">
        <v>796</v>
      </c>
      <c r="F1681" s="83"/>
      <c r="G1681" s="86">
        <f>G1682</f>
        <v>144000</v>
      </c>
      <c r="H1681" s="86">
        <f>H1682</f>
        <v>144000</v>
      </c>
      <c r="I1681" s="171"/>
      <c r="J1681" s="191"/>
      <c r="K1681" s="191"/>
      <c r="L1681" s="191"/>
      <c r="M1681" s="191"/>
      <c r="N1681" s="191"/>
      <c r="O1681" s="191"/>
      <c r="P1681" s="191"/>
      <c r="Q1681" s="191"/>
    </row>
    <row r="1682" spans="1:17" s="18" customFormat="1" ht="25.5">
      <c r="A1682" s="81" t="s">
        <v>36</v>
      </c>
      <c r="B1682" s="83" t="s">
        <v>837</v>
      </c>
      <c r="C1682" s="83" t="s">
        <v>26</v>
      </c>
      <c r="D1682" s="83" t="s">
        <v>26</v>
      </c>
      <c r="E1682" s="83" t="s">
        <v>796</v>
      </c>
      <c r="F1682" s="83" t="s">
        <v>37</v>
      </c>
      <c r="G1682" s="86">
        <f>G1683</f>
        <v>144000</v>
      </c>
      <c r="H1682" s="86">
        <f>H1683</f>
        <v>144000</v>
      </c>
      <c r="I1682" s="171"/>
      <c r="J1682" s="191"/>
      <c r="K1682" s="191"/>
      <c r="L1682" s="191"/>
      <c r="M1682" s="191"/>
      <c r="N1682" s="191"/>
      <c r="O1682" s="191"/>
      <c r="P1682" s="191"/>
      <c r="Q1682" s="191"/>
    </row>
    <row r="1683" spans="1:17" s="18" customFormat="1" ht="25.5">
      <c r="A1683" s="81" t="s">
        <v>38</v>
      </c>
      <c r="B1683" s="83" t="s">
        <v>837</v>
      </c>
      <c r="C1683" s="83" t="s">
        <v>26</v>
      </c>
      <c r="D1683" s="83" t="s">
        <v>26</v>
      </c>
      <c r="E1683" s="83" t="s">
        <v>796</v>
      </c>
      <c r="F1683" s="83" t="s">
        <v>39</v>
      </c>
      <c r="G1683" s="86">
        <v>144000</v>
      </c>
      <c r="H1683" s="86">
        <v>144000</v>
      </c>
      <c r="I1683" s="171"/>
      <c r="J1683" s="191"/>
      <c r="K1683" s="191"/>
      <c r="L1683" s="191"/>
      <c r="M1683" s="191"/>
      <c r="N1683" s="191"/>
      <c r="O1683" s="191"/>
      <c r="P1683" s="191"/>
      <c r="Q1683" s="191"/>
    </row>
    <row r="1684" spans="1:17" s="18" customFormat="1" ht="30.75" customHeight="1">
      <c r="A1684" s="81" t="s">
        <v>169</v>
      </c>
      <c r="B1684" s="145">
        <v>793</v>
      </c>
      <c r="C1684" s="83" t="s">
        <v>26</v>
      </c>
      <c r="D1684" s="83" t="s">
        <v>26</v>
      </c>
      <c r="E1684" s="83" t="s">
        <v>233</v>
      </c>
      <c r="F1684" s="83"/>
      <c r="G1684" s="86">
        <f t="shared" ref="G1684:H1686" si="413">G1685</f>
        <v>160000</v>
      </c>
      <c r="H1684" s="86">
        <f t="shared" si="413"/>
        <v>160000</v>
      </c>
      <c r="I1684" s="171"/>
      <c r="J1684" s="191"/>
      <c r="K1684" s="191"/>
      <c r="L1684" s="191"/>
      <c r="M1684" s="191"/>
      <c r="N1684" s="191"/>
      <c r="O1684" s="191"/>
      <c r="P1684" s="191"/>
      <c r="Q1684" s="191"/>
    </row>
    <row r="1685" spans="1:17" s="18" customFormat="1" ht="25.5">
      <c r="A1685" s="81" t="s">
        <v>169</v>
      </c>
      <c r="B1685" s="145">
        <v>793</v>
      </c>
      <c r="C1685" s="83" t="s">
        <v>26</v>
      </c>
      <c r="D1685" s="83" t="s">
        <v>26</v>
      </c>
      <c r="E1685" s="83" t="s">
        <v>275</v>
      </c>
      <c r="F1685" s="83"/>
      <c r="G1685" s="86">
        <f t="shared" si="413"/>
        <v>160000</v>
      </c>
      <c r="H1685" s="86">
        <f t="shared" si="413"/>
        <v>160000</v>
      </c>
      <c r="I1685" s="171"/>
      <c r="J1685" s="191"/>
      <c r="K1685" s="191"/>
      <c r="L1685" s="191"/>
      <c r="M1685" s="191"/>
      <c r="N1685" s="191"/>
      <c r="O1685" s="191"/>
      <c r="P1685" s="191"/>
      <c r="Q1685" s="191"/>
    </row>
    <row r="1686" spans="1:17" s="18" customFormat="1" ht="25.5">
      <c r="A1686" s="81" t="s">
        <v>36</v>
      </c>
      <c r="B1686" s="83" t="s">
        <v>837</v>
      </c>
      <c r="C1686" s="83" t="s">
        <v>26</v>
      </c>
      <c r="D1686" s="83" t="s">
        <v>26</v>
      </c>
      <c r="E1686" s="83" t="s">
        <v>275</v>
      </c>
      <c r="F1686" s="83" t="s">
        <v>37</v>
      </c>
      <c r="G1686" s="86">
        <f t="shared" si="413"/>
        <v>160000</v>
      </c>
      <c r="H1686" s="86">
        <f t="shared" si="413"/>
        <v>160000</v>
      </c>
      <c r="I1686" s="171"/>
      <c r="J1686" s="191"/>
      <c r="K1686" s="191"/>
      <c r="L1686" s="191"/>
      <c r="M1686" s="191"/>
      <c r="N1686" s="191"/>
      <c r="O1686" s="191"/>
      <c r="P1686" s="191"/>
      <c r="Q1686" s="191"/>
    </row>
    <row r="1687" spans="1:17" s="18" customFormat="1" ht="25.5">
      <c r="A1687" s="81" t="s">
        <v>38</v>
      </c>
      <c r="B1687" s="83" t="s">
        <v>837</v>
      </c>
      <c r="C1687" s="83" t="s">
        <v>26</v>
      </c>
      <c r="D1687" s="83" t="s">
        <v>26</v>
      </c>
      <c r="E1687" s="83" t="s">
        <v>275</v>
      </c>
      <c r="F1687" s="83" t="s">
        <v>39</v>
      </c>
      <c r="G1687" s="86">
        <v>160000</v>
      </c>
      <c r="H1687" s="86">
        <v>160000</v>
      </c>
      <c r="I1687" s="171"/>
      <c r="J1687" s="191"/>
      <c r="K1687" s="191"/>
      <c r="L1687" s="191"/>
      <c r="M1687" s="191"/>
      <c r="N1687" s="191"/>
      <c r="O1687" s="191"/>
      <c r="P1687" s="191"/>
      <c r="Q1687" s="191"/>
    </row>
    <row r="1688" spans="1:17" s="18" customFormat="1" ht="18.75" customHeight="1">
      <c r="A1688" s="150" t="s">
        <v>43</v>
      </c>
      <c r="B1688" s="83" t="s">
        <v>837</v>
      </c>
      <c r="C1688" s="83" t="s">
        <v>44</v>
      </c>
      <c r="D1688" s="83"/>
      <c r="E1688" s="83"/>
      <c r="F1688" s="83"/>
      <c r="G1688" s="86">
        <f t="shared" ref="G1688:H1692" si="414">G1689</f>
        <v>23085.759999999998</v>
      </c>
      <c r="H1688" s="86">
        <f t="shared" si="414"/>
        <v>23085.759999999998</v>
      </c>
      <c r="I1688" s="171"/>
      <c r="J1688" s="191"/>
      <c r="K1688" s="191"/>
      <c r="L1688" s="191"/>
      <c r="M1688" s="191"/>
      <c r="N1688" s="191"/>
      <c r="O1688" s="191"/>
      <c r="P1688" s="191"/>
      <c r="Q1688" s="191"/>
    </row>
    <row r="1689" spans="1:17" s="18" customFormat="1" ht="19.5" customHeight="1">
      <c r="A1689" s="81" t="s">
        <v>45</v>
      </c>
      <c r="B1689" s="83" t="s">
        <v>837</v>
      </c>
      <c r="C1689" s="83" t="s">
        <v>44</v>
      </c>
      <c r="D1689" s="83" t="s">
        <v>19</v>
      </c>
      <c r="E1689" s="83"/>
      <c r="F1689" s="83"/>
      <c r="G1689" s="86">
        <f t="shared" si="414"/>
        <v>23085.759999999998</v>
      </c>
      <c r="H1689" s="86">
        <f t="shared" si="414"/>
        <v>23085.759999999998</v>
      </c>
      <c r="I1689" s="171"/>
      <c r="J1689" s="191"/>
      <c r="K1689" s="191"/>
      <c r="L1689" s="191"/>
      <c r="M1689" s="191"/>
      <c r="N1689" s="191"/>
      <c r="O1689" s="191"/>
      <c r="P1689" s="191"/>
      <c r="Q1689" s="191"/>
    </row>
    <row r="1690" spans="1:17" s="18" customFormat="1" ht="30.75" customHeight="1">
      <c r="A1690" s="81" t="s">
        <v>169</v>
      </c>
      <c r="B1690" s="145">
        <v>793</v>
      </c>
      <c r="C1690" s="83" t="s">
        <v>44</v>
      </c>
      <c r="D1690" s="83" t="s">
        <v>19</v>
      </c>
      <c r="E1690" s="83" t="s">
        <v>233</v>
      </c>
      <c r="F1690" s="83"/>
      <c r="G1690" s="86">
        <f t="shared" si="414"/>
        <v>23085.759999999998</v>
      </c>
      <c r="H1690" s="86">
        <f t="shared" si="414"/>
        <v>23085.759999999998</v>
      </c>
      <c r="I1690" s="171"/>
      <c r="J1690" s="191"/>
      <c r="K1690" s="191"/>
      <c r="L1690" s="191"/>
      <c r="M1690" s="191"/>
      <c r="N1690" s="191"/>
      <c r="O1690" s="191"/>
      <c r="P1690" s="191"/>
      <c r="Q1690" s="191"/>
    </row>
    <row r="1691" spans="1:17" s="18" customFormat="1" ht="25.5">
      <c r="A1691" s="81" t="s">
        <v>169</v>
      </c>
      <c r="B1691" s="145">
        <v>793</v>
      </c>
      <c r="C1691" s="83" t="s">
        <v>44</v>
      </c>
      <c r="D1691" s="83" t="s">
        <v>19</v>
      </c>
      <c r="E1691" s="83" t="s">
        <v>275</v>
      </c>
      <c r="F1691" s="83"/>
      <c r="G1691" s="86">
        <f t="shared" si="414"/>
        <v>23085.759999999998</v>
      </c>
      <c r="H1691" s="86">
        <f t="shared" si="414"/>
        <v>23085.759999999998</v>
      </c>
      <c r="I1691" s="171"/>
      <c r="J1691" s="191"/>
      <c r="K1691" s="191"/>
      <c r="L1691" s="191"/>
      <c r="M1691" s="191"/>
      <c r="N1691" s="191"/>
      <c r="O1691" s="191"/>
      <c r="P1691" s="191"/>
      <c r="Q1691" s="191"/>
    </row>
    <row r="1692" spans="1:17" s="18" customFormat="1">
      <c r="A1692" s="81" t="s">
        <v>156</v>
      </c>
      <c r="B1692" s="83" t="s">
        <v>837</v>
      </c>
      <c r="C1692" s="83" t="s">
        <v>44</v>
      </c>
      <c r="D1692" s="83" t="s">
        <v>19</v>
      </c>
      <c r="E1692" s="83" t="s">
        <v>275</v>
      </c>
      <c r="F1692" s="83" t="s">
        <v>157</v>
      </c>
      <c r="G1692" s="86">
        <f t="shared" si="414"/>
        <v>23085.759999999998</v>
      </c>
      <c r="H1692" s="86">
        <f t="shared" si="414"/>
        <v>23085.759999999998</v>
      </c>
      <c r="I1692" s="171"/>
      <c r="J1692" s="191"/>
      <c r="K1692" s="191"/>
      <c r="L1692" s="191"/>
      <c r="M1692" s="191"/>
      <c r="N1692" s="191"/>
      <c r="O1692" s="191"/>
      <c r="P1692" s="191"/>
      <c r="Q1692" s="191"/>
    </row>
    <row r="1693" spans="1:17" s="18" customFormat="1">
      <c r="A1693" s="81" t="s">
        <v>178</v>
      </c>
      <c r="B1693" s="83" t="s">
        <v>837</v>
      </c>
      <c r="C1693" s="83" t="s">
        <v>44</v>
      </c>
      <c r="D1693" s="83" t="s">
        <v>19</v>
      </c>
      <c r="E1693" s="83" t="s">
        <v>275</v>
      </c>
      <c r="F1693" s="83" t="s">
        <v>179</v>
      </c>
      <c r="G1693" s="86">
        <v>23085.759999999998</v>
      </c>
      <c r="H1693" s="86">
        <v>23085.759999999998</v>
      </c>
      <c r="I1693" s="171"/>
      <c r="J1693" s="191"/>
      <c r="K1693" s="191"/>
      <c r="L1693" s="191"/>
      <c r="M1693" s="191"/>
      <c r="N1693" s="191"/>
      <c r="O1693" s="191"/>
      <c r="P1693" s="191"/>
      <c r="Q1693" s="191"/>
    </row>
    <row r="1694" spans="1:17">
      <c r="A1694" s="252" t="s">
        <v>145</v>
      </c>
      <c r="B1694" s="257">
        <v>793</v>
      </c>
      <c r="C1694" s="254" t="s">
        <v>69</v>
      </c>
      <c r="D1694" s="254"/>
      <c r="E1694" s="83"/>
      <c r="F1694" s="254"/>
      <c r="G1694" s="251">
        <f>G1695+G1700+G1746</f>
        <v>103084605.93000001</v>
      </c>
      <c r="H1694" s="251">
        <f>H1695+H1700+H1746</f>
        <v>82544873.260000005</v>
      </c>
      <c r="I1694" s="182"/>
    </row>
    <row r="1695" spans="1:17">
      <c r="A1695" s="81" t="s">
        <v>146</v>
      </c>
      <c r="B1695" s="145">
        <v>793</v>
      </c>
      <c r="C1695" s="83" t="s">
        <v>69</v>
      </c>
      <c r="D1695" s="83" t="s">
        <v>19</v>
      </c>
      <c r="E1695" s="83"/>
      <c r="F1695" s="83"/>
      <c r="G1695" s="86">
        <f t="shared" ref="G1695:H1698" si="415">G1696</f>
        <v>265733</v>
      </c>
      <c r="H1695" s="86">
        <f t="shared" si="415"/>
        <v>166903.72</v>
      </c>
      <c r="I1695" s="171"/>
    </row>
    <row r="1696" spans="1:17" s="28" customFormat="1" ht="25.5">
      <c r="A1696" s="81" t="s">
        <v>481</v>
      </c>
      <c r="B1696" s="145">
        <v>793</v>
      </c>
      <c r="C1696" s="83" t="s">
        <v>69</v>
      </c>
      <c r="D1696" s="83" t="s">
        <v>19</v>
      </c>
      <c r="E1696" s="83" t="s">
        <v>286</v>
      </c>
      <c r="F1696" s="163"/>
      <c r="G1696" s="86">
        <f t="shared" si="415"/>
        <v>265733</v>
      </c>
      <c r="H1696" s="86">
        <f t="shared" si="415"/>
        <v>166903.72</v>
      </c>
      <c r="I1696" s="171"/>
      <c r="J1696" s="195"/>
      <c r="K1696" s="195"/>
      <c r="L1696" s="195"/>
      <c r="M1696" s="195"/>
      <c r="N1696" s="195"/>
      <c r="O1696" s="195"/>
      <c r="P1696" s="195"/>
      <c r="Q1696" s="195"/>
    </row>
    <row r="1697" spans="1:17" s="28" customFormat="1">
      <c r="A1697" s="81" t="s">
        <v>147</v>
      </c>
      <c r="B1697" s="145">
        <v>793</v>
      </c>
      <c r="C1697" s="83" t="s">
        <v>69</v>
      </c>
      <c r="D1697" s="83" t="s">
        <v>19</v>
      </c>
      <c r="E1697" s="83" t="s">
        <v>290</v>
      </c>
      <c r="F1697" s="163"/>
      <c r="G1697" s="86">
        <f t="shared" si="415"/>
        <v>265733</v>
      </c>
      <c r="H1697" s="86">
        <f t="shared" si="415"/>
        <v>166903.72</v>
      </c>
      <c r="I1697" s="171"/>
      <c r="J1697" s="195"/>
      <c r="K1697" s="195"/>
      <c r="L1697" s="195"/>
      <c r="M1697" s="195"/>
      <c r="N1697" s="195"/>
      <c r="O1697" s="195"/>
      <c r="P1697" s="195"/>
      <c r="Q1697" s="195"/>
    </row>
    <row r="1698" spans="1:17" s="28" customFormat="1">
      <c r="A1698" s="81" t="s">
        <v>148</v>
      </c>
      <c r="B1698" s="145">
        <v>793</v>
      </c>
      <c r="C1698" s="83" t="s">
        <v>69</v>
      </c>
      <c r="D1698" s="83" t="s">
        <v>19</v>
      </c>
      <c r="E1698" s="83" t="s">
        <v>290</v>
      </c>
      <c r="F1698" s="83" t="s">
        <v>149</v>
      </c>
      <c r="G1698" s="86">
        <f t="shared" si="415"/>
        <v>265733</v>
      </c>
      <c r="H1698" s="86">
        <f>H1699</f>
        <v>166903.72</v>
      </c>
      <c r="I1698" s="171"/>
      <c r="J1698" s="195"/>
      <c r="K1698" s="195"/>
      <c r="L1698" s="195"/>
      <c r="M1698" s="195"/>
      <c r="N1698" s="195"/>
      <c r="O1698" s="195"/>
      <c r="P1698" s="195"/>
      <c r="Q1698" s="195"/>
    </row>
    <row r="1699" spans="1:17" s="28" customFormat="1" ht="25.5">
      <c r="A1699" s="81" t="s">
        <v>354</v>
      </c>
      <c r="B1699" s="145">
        <v>793</v>
      </c>
      <c r="C1699" s="83" t="s">
        <v>69</v>
      </c>
      <c r="D1699" s="83" t="s">
        <v>19</v>
      </c>
      <c r="E1699" s="83" t="s">
        <v>290</v>
      </c>
      <c r="F1699" s="83" t="s">
        <v>355</v>
      </c>
      <c r="G1699" s="86">
        <f>320208-26200-28275</f>
        <v>265733</v>
      </c>
      <c r="H1699" s="86">
        <v>166903.72</v>
      </c>
      <c r="I1699" s="171"/>
      <c r="J1699" s="195"/>
      <c r="K1699" s="195"/>
      <c r="L1699" s="195"/>
      <c r="M1699" s="195"/>
      <c r="N1699" s="195"/>
      <c r="O1699" s="195"/>
      <c r="P1699" s="195"/>
      <c r="Q1699" s="195"/>
    </row>
    <row r="1700" spans="1:17">
      <c r="A1700" s="81" t="s">
        <v>68</v>
      </c>
      <c r="B1700" s="145">
        <v>793</v>
      </c>
      <c r="C1700" s="83" t="s">
        <v>69</v>
      </c>
      <c r="D1700" s="83" t="s">
        <v>70</v>
      </c>
      <c r="E1700" s="83"/>
      <c r="F1700" s="83"/>
      <c r="G1700" s="86">
        <f>G1726+G1722+G1736+G1701+G1711+G1745+G1715</f>
        <v>71629374.75</v>
      </c>
      <c r="H1700" s="86">
        <f>H1726+H1722+H1736+H1701+H1711+H1745+H1715</f>
        <v>55825051.440000005</v>
      </c>
      <c r="I1700" s="171"/>
    </row>
    <row r="1701" spans="1:17" ht="51" customHeight="1">
      <c r="A1701" s="81" t="s">
        <v>823</v>
      </c>
      <c r="B1701" s="145">
        <v>793</v>
      </c>
      <c r="C1701" s="83" t="s">
        <v>69</v>
      </c>
      <c r="D1701" s="83" t="s">
        <v>70</v>
      </c>
      <c r="E1701" s="83" t="s">
        <v>262</v>
      </c>
      <c r="F1701" s="83"/>
      <c r="G1701" s="86">
        <f>G1702+G1705+G1708</f>
        <v>4853548.6500000004</v>
      </c>
      <c r="H1701" s="86">
        <f t="shared" ref="H1701" si="416">H1702+H1705+H1708</f>
        <v>4853548.6500000004</v>
      </c>
      <c r="I1701" s="171"/>
      <c r="J1701" s="1"/>
      <c r="K1701" s="1"/>
      <c r="L1701" s="1"/>
      <c r="M1701" s="1"/>
      <c r="N1701" s="1"/>
      <c r="O1701" s="1"/>
      <c r="P1701" s="1"/>
      <c r="Q1701" s="1"/>
    </row>
    <row r="1702" spans="1:17" ht="28.5" customHeight="1">
      <c r="A1702" s="129" t="s">
        <v>940</v>
      </c>
      <c r="B1702" s="145">
        <v>793</v>
      </c>
      <c r="C1702" s="83" t="s">
        <v>69</v>
      </c>
      <c r="D1702" s="83" t="s">
        <v>70</v>
      </c>
      <c r="E1702" s="83" t="s">
        <v>939</v>
      </c>
      <c r="F1702" s="83"/>
      <c r="G1702" s="86">
        <f>G1703</f>
        <v>4853548.6500000004</v>
      </c>
      <c r="H1702" s="86">
        <f t="shared" ref="H1702" si="417">H1703</f>
        <v>4853548.6500000004</v>
      </c>
      <c r="I1702" s="171"/>
      <c r="J1702" s="1"/>
      <c r="K1702" s="1"/>
      <c r="L1702" s="1"/>
      <c r="M1702" s="1"/>
      <c r="N1702" s="1"/>
      <c r="O1702" s="1"/>
      <c r="P1702" s="1"/>
      <c r="Q1702" s="1"/>
    </row>
    <row r="1703" spans="1:17" ht="21" customHeight="1">
      <c r="A1703" s="81" t="s">
        <v>148</v>
      </c>
      <c r="B1703" s="145">
        <v>793</v>
      </c>
      <c r="C1703" s="83" t="s">
        <v>69</v>
      </c>
      <c r="D1703" s="83" t="s">
        <v>70</v>
      </c>
      <c r="E1703" s="83" t="s">
        <v>939</v>
      </c>
      <c r="F1703" s="83" t="s">
        <v>149</v>
      </c>
      <c r="G1703" s="86">
        <f>G1704</f>
        <v>4853548.6500000004</v>
      </c>
      <c r="H1703" s="86">
        <f t="shared" ref="H1703" si="418">H1704</f>
        <v>4853548.6500000004</v>
      </c>
      <c r="I1703" s="171"/>
      <c r="J1703" s="1"/>
      <c r="K1703" s="1"/>
      <c r="L1703" s="1"/>
      <c r="M1703" s="1"/>
      <c r="N1703" s="1"/>
      <c r="O1703" s="1"/>
      <c r="P1703" s="1"/>
      <c r="Q1703" s="1"/>
    </row>
    <row r="1704" spans="1:17" ht="30.75" customHeight="1">
      <c r="A1704" s="81" t="s">
        <v>150</v>
      </c>
      <c r="B1704" s="145">
        <v>793</v>
      </c>
      <c r="C1704" s="83" t="s">
        <v>69</v>
      </c>
      <c r="D1704" s="83" t="s">
        <v>70</v>
      </c>
      <c r="E1704" s="83" t="s">
        <v>939</v>
      </c>
      <c r="F1704" s="83" t="s">
        <v>151</v>
      </c>
      <c r="G1704" s="86">
        <v>4853548.6500000004</v>
      </c>
      <c r="H1704" s="86">
        <v>4853548.6500000004</v>
      </c>
      <c r="I1704" s="171"/>
      <c r="J1704" s="1"/>
      <c r="K1704" s="1"/>
      <c r="L1704" s="1"/>
      <c r="M1704" s="1"/>
      <c r="N1704" s="1"/>
      <c r="O1704" s="1"/>
      <c r="P1704" s="1"/>
      <c r="Q1704" s="1"/>
    </row>
    <row r="1705" spans="1:17" ht="39.75" hidden="1" customHeight="1">
      <c r="A1705" s="129" t="s">
        <v>274</v>
      </c>
      <c r="B1705" s="145">
        <v>793</v>
      </c>
      <c r="C1705" s="83" t="s">
        <v>69</v>
      </c>
      <c r="D1705" s="83" t="s">
        <v>70</v>
      </c>
      <c r="E1705" s="83" t="s">
        <v>273</v>
      </c>
      <c r="F1705" s="83"/>
      <c r="G1705" s="86">
        <f>G1706</f>
        <v>0</v>
      </c>
      <c r="H1705" s="86">
        <f t="shared" ref="H1705" si="419">H1706</f>
        <v>0</v>
      </c>
      <c r="I1705" s="171"/>
      <c r="J1705" s="1"/>
      <c r="K1705" s="1"/>
      <c r="L1705" s="1"/>
      <c r="M1705" s="1"/>
      <c r="N1705" s="1"/>
      <c r="O1705" s="1"/>
      <c r="P1705" s="1"/>
      <c r="Q1705" s="1"/>
    </row>
    <row r="1706" spans="1:17" ht="21" hidden="1" customHeight="1">
      <c r="A1706" s="81" t="s">
        <v>148</v>
      </c>
      <c r="B1706" s="145">
        <v>793</v>
      </c>
      <c r="C1706" s="83" t="s">
        <v>69</v>
      </c>
      <c r="D1706" s="83" t="s">
        <v>70</v>
      </c>
      <c r="E1706" s="83" t="s">
        <v>273</v>
      </c>
      <c r="F1706" s="83" t="s">
        <v>149</v>
      </c>
      <c r="G1706" s="86">
        <f>G1707</f>
        <v>0</v>
      </c>
      <c r="H1706" s="86">
        <f t="shared" ref="H1706" si="420">H1707</f>
        <v>0</v>
      </c>
      <c r="I1706" s="171"/>
      <c r="J1706" s="1"/>
      <c r="K1706" s="1"/>
      <c r="L1706" s="1"/>
      <c r="M1706" s="1"/>
      <c r="N1706" s="1"/>
      <c r="O1706" s="1"/>
      <c r="P1706" s="1"/>
      <c r="Q1706" s="1"/>
    </row>
    <row r="1707" spans="1:17" ht="30.75" hidden="1" customHeight="1">
      <c r="A1707" s="81" t="s">
        <v>150</v>
      </c>
      <c r="B1707" s="145">
        <v>793</v>
      </c>
      <c r="C1707" s="83" t="s">
        <v>69</v>
      </c>
      <c r="D1707" s="83" t="s">
        <v>70</v>
      </c>
      <c r="E1707" s="83" t="s">
        <v>273</v>
      </c>
      <c r="F1707" s="83" t="s">
        <v>151</v>
      </c>
      <c r="G1707" s="86"/>
      <c r="H1707" s="86"/>
      <c r="I1707" s="171"/>
      <c r="J1707" s="1"/>
      <c r="K1707" s="1"/>
      <c r="L1707" s="1"/>
      <c r="M1707" s="1"/>
      <c r="N1707" s="1"/>
      <c r="O1707" s="1"/>
      <c r="P1707" s="1"/>
      <c r="Q1707" s="1"/>
    </row>
    <row r="1708" spans="1:17" ht="30.75" hidden="1" customHeight="1">
      <c r="A1708" s="81" t="s">
        <v>448</v>
      </c>
      <c r="B1708" s="145">
        <v>793</v>
      </c>
      <c r="C1708" s="83" t="s">
        <v>69</v>
      </c>
      <c r="D1708" s="83" t="s">
        <v>70</v>
      </c>
      <c r="E1708" s="83" t="s">
        <v>447</v>
      </c>
      <c r="F1708" s="83"/>
      <c r="G1708" s="86">
        <f>G1709</f>
        <v>0</v>
      </c>
      <c r="H1708" s="86">
        <f t="shared" ref="H1708" si="421">H1709</f>
        <v>0</v>
      </c>
      <c r="I1708" s="171"/>
      <c r="J1708" s="1"/>
      <c r="K1708" s="1"/>
      <c r="L1708" s="1"/>
      <c r="M1708" s="1"/>
      <c r="N1708" s="1"/>
      <c r="O1708" s="1"/>
      <c r="P1708" s="1"/>
      <c r="Q1708" s="1"/>
    </row>
    <row r="1709" spans="1:17" ht="17.25" hidden="1" customHeight="1">
      <c r="A1709" s="81" t="s">
        <v>63</v>
      </c>
      <c r="B1709" s="145">
        <v>793</v>
      </c>
      <c r="C1709" s="83" t="s">
        <v>69</v>
      </c>
      <c r="D1709" s="83" t="s">
        <v>70</v>
      </c>
      <c r="E1709" s="83" t="s">
        <v>447</v>
      </c>
      <c r="F1709" s="83" t="s">
        <v>64</v>
      </c>
      <c r="G1709" s="86">
        <f>G1710</f>
        <v>0</v>
      </c>
      <c r="H1709" s="86">
        <f t="shared" ref="H1709" si="422">H1710</f>
        <v>0</v>
      </c>
      <c r="I1709" s="171"/>
      <c r="J1709" s="1"/>
      <c r="K1709" s="1"/>
      <c r="L1709" s="1"/>
      <c r="M1709" s="1"/>
      <c r="N1709" s="1"/>
      <c r="O1709" s="1"/>
      <c r="P1709" s="1"/>
      <c r="Q1709" s="1"/>
    </row>
    <row r="1710" spans="1:17" ht="23.25" hidden="1" customHeight="1">
      <c r="A1710" s="81" t="s">
        <v>180</v>
      </c>
      <c r="B1710" s="145">
        <v>793</v>
      </c>
      <c r="C1710" s="83" t="s">
        <v>69</v>
      </c>
      <c r="D1710" s="83" t="s">
        <v>70</v>
      </c>
      <c r="E1710" s="83" t="s">
        <v>447</v>
      </c>
      <c r="F1710" s="83" t="s">
        <v>181</v>
      </c>
      <c r="G1710" s="86">
        <f>11000+17010+71990-99000-1000</f>
        <v>0</v>
      </c>
      <c r="H1710" s="86"/>
      <c r="I1710" s="171"/>
      <c r="J1710" s="1"/>
      <c r="K1710" s="1"/>
      <c r="L1710" s="1"/>
      <c r="M1710" s="1"/>
      <c r="N1710" s="1"/>
      <c r="O1710" s="1"/>
      <c r="P1710" s="1"/>
      <c r="Q1710" s="1"/>
    </row>
    <row r="1711" spans="1:17" ht="27.75" hidden="1" customHeight="1">
      <c r="A1711" s="81" t="s">
        <v>670</v>
      </c>
      <c r="B1711" s="145">
        <v>793</v>
      </c>
      <c r="C1711" s="83" t="s">
        <v>69</v>
      </c>
      <c r="D1711" s="83" t="s">
        <v>70</v>
      </c>
      <c r="E1711" s="83" t="s">
        <v>671</v>
      </c>
      <c r="F1711" s="83"/>
      <c r="G1711" s="86">
        <f>G1712</f>
        <v>0</v>
      </c>
      <c r="H1711" s="86">
        <f t="shared" ref="H1711" si="423">H1712</f>
        <v>0</v>
      </c>
      <c r="I1711" s="171"/>
      <c r="J1711" s="1"/>
      <c r="K1711" s="1"/>
      <c r="L1711" s="1"/>
      <c r="M1711" s="1"/>
      <c r="N1711" s="1"/>
      <c r="O1711" s="1"/>
      <c r="P1711" s="1"/>
      <c r="Q1711" s="1"/>
    </row>
    <row r="1712" spans="1:17" ht="28.5" hidden="1" customHeight="1">
      <c r="A1712" s="129" t="s">
        <v>672</v>
      </c>
      <c r="B1712" s="145">
        <v>793</v>
      </c>
      <c r="C1712" s="83" t="s">
        <v>69</v>
      </c>
      <c r="D1712" s="83" t="s">
        <v>70</v>
      </c>
      <c r="E1712" s="83" t="s">
        <v>673</v>
      </c>
      <c r="F1712" s="83"/>
      <c r="G1712" s="86">
        <f>G1713</f>
        <v>0</v>
      </c>
      <c r="H1712" s="86">
        <f t="shared" ref="H1712:H1713" si="424">H1713</f>
        <v>0</v>
      </c>
      <c r="I1712" s="171"/>
      <c r="J1712" s="1"/>
      <c r="K1712" s="1"/>
      <c r="L1712" s="1"/>
      <c r="M1712" s="1"/>
      <c r="N1712" s="1"/>
      <c r="O1712" s="1"/>
      <c r="P1712" s="1"/>
      <c r="Q1712" s="1"/>
    </row>
    <row r="1713" spans="1:17" ht="21" hidden="1" customHeight="1">
      <c r="A1713" s="81" t="s">
        <v>148</v>
      </c>
      <c r="B1713" s="145">
        <v>793</v>
      </c>
      <c r="C1713" s="83" t="s">
        <v>69</v>
      </c>
      <c r="D1713" s="83" t="s">
        <v>70</v>
      </c>
      <c r="E1713" s="83" t="s">
        <v>673</v>
      </c>
      <c r="F1713" s="83" t="s">
        <v>149</v>
      </c>
      <c r="G1713" s="86">
        <f>G1714</f>
        <v>0</v>
      </c>
      <c r="H1713" s="86">
        <f t="shared" si="424"/>
        <v>0</v>
      </c>
      <c r="I1713" s="171"/>
      <c r="J1713" s="1"/>
      <c r="K1713" s="1"/>
      <c r="L1713" s="1"/>
      <c r="M1713" s="1"/>
      <c r="N1713" s="1"/>
      <c r="O1713" s="1"/>
      <c r="P1713" s="1"/>
      <c r="Q1713" s="1"/>
    </row>
    <row r="1714" spans="1:17" ht="30.75" hidden="1" customHeight="1">
      <c r="A1714" s="81" t="s">
        <v>150</v>
      </c>
      <c r="B1714" s="145">
        <v>793</v>
      </c>
      <c r="C1714" s="83" t="s">
        <v>69</v>
      </c>
      <c r="D1714" s="83" t="s">
        <v>70</v>
      </c>
      <c r="E1714" s="83" t="s">
        <v>673</v>
      </c>
      <c r="F1714" s="83" t="s">
        <v>151</v>
      </c>
      <c r="G1714" s="86"/>
      <c r="H1714" s="86"/>
      <c r="I1714" s="171"/>
      <c r="J1714" s="1"/>
      <c r="K1714" s="1"/>
      <c r="L1714" s="1"/>
      <c r="M1714" s="1"/>
      <c r="N1714" s="1"/>
      <c r="O1714" s="1"/>
      <c r="P1714" s="1"/>
      <c r="Q1714" s="1"/>
    </row>
    <row r="1715" spans="1:17" ht="72.75" customHeight="1">
      <c r="A1715" s="150" t="s">
        <v>1079</v>
      </c>
      <c r="B1715" s="145">
        <v>793</v>
      </c>
      <c r="C1715" s="83" t="s">
        <v>69</v>
      </c>
      <c r="D1715" s="83" t="s">
        <v>70</v>
      </c>
      <c r="E1715" s="83" t="s">
        <v>214</v>
      </c>
      <c r="F1715" s="83"/>
      <c r="G1715" s="86">
        <f>G1716+G1719</f>
        <v>64646063</v>
      </c>
      <c r="H1715" s="86">
        <f>H1716+H1719</f>
        <v>49723792.550000004</v>
      </c>
      <c r="I1715" s="171"/>
      <c r="J1715" s="1"/>
      <c r="K1715" s="1"/>
      <c r="L1715" s="1"/>
      <c r="M1715" s="1"/>
      <c r="N1715" s="1"/>
      <c r="O1715" s="1"/>
      <c r="P1715" s="1"/>
      <c r="Q1715" s="1"/>
    </row>
    <row r="1716" spans="1:17" ht="87" customHeight="1">
      <c r="A1716" s="81" t="s">
        <v>1031</v>
      </c>
      <c r="B1716" s="145">
        <v>793</v>
      </c>
      <c r="C1716" s="83" t="s">
        <v>69</v>
      </c>
      <c r="D1716" s="83" t="s">
        <v>70</v>
      </c>
      <c r="E1716" s="83" t="s">
        <v>519</v>
      </c>
      <c r="F1716" s="83"/>
      <c r="G1716" s="86">
        <f>G1717</f>
        <v>63353141.740000002</v>
      </c>
      <c r="H1716" s="86">
        <f>H1717</f>
        <v>48729316.710000001</v>
      </c>
      <c r="I1716" s="171"/>
      <c r="J1716" s="1"/>
      <c r="K1716" s="1"/>
      <c r="L1716" s="1"/>
      <c r="M1716" s="1"/>
      <c r="N1716" s="1"/>
      <c r="O1716" s="1"/>
      <c r="P1716" s="1"/>
      <c r="Q1716" s="1"/>
    </row>
    <row r="1717" spans="1:17" ht="30.75" customHeight="1">
      <c r="A1717" s="81" t="s">
        <v>148</v>
      </c>
      <c r="B1717" s="145">
        <v>793</v>
      </c>
      <c r="C1717" s="83" t="s">
        <v>69</v>
      </c>
      <c r="D1717" s="83" t="s">
        <v>70</v>
      </c>
      <c r="E1717" s="83" t="s">
        <v>519</v>
      </c>
      <c r="F1717" s="83" t="s">
        <v>149</v>
      </c>
      <c r="G1717" s="86">
        <f>G1718</f>
        <v>63353141.740000002</v>
      </c>
      <c r="H1717" s="86">
        <f>H1718</f>
        <v>48729316.710000001</v>
      </c>
      <c r="I1717" s="171"/>
    </row>
    <row r="1718" spans="1:17" ht="30.75" customHeight="1">
      <c r="A1718" s="81" t="s">
        <v>150</v>
      </c>
      <c r="B1718" s="145">
        <v>793</v>
      </c>
      <c r="C1718" s="83" t="s">
        <v>69</v>
      </c>
      <c r="D1718" s="83" t="s">
        <v>70</v>
      </c>
      <c r="E1718" s="83" t="s">
        <v>519</v>
      </c>
      <c r="F1718" s="83" t="s">
        <v>151</v>
      </c>
      <c r="G1718" s="86">
        <v>63353141.740000002</v>
      </c>
      <c r="H1718" s="86">
        <v>48729316.710000001</v>
      </c>
      <c r="I1718" s="171"/>
    </row>
    <row r="1719" spans="1:17" ht="103.5" customHeight="1">
      <c r="A1719" s="81" t="s">
        <v>1081</v>
      </c>
      <c r="B1719" s="145">
        <v>793</v>
      </c>
      <c r="C1719" s="83" t="s">
        <v>69</v>
      </c>
      <c r="D1719" s="83" t="s">
        <v>70</v>
      </c>
      <c r="E1719" s="83" t="s">
        <v>520</v>
      </c>
      <c r="F1719" s="83"/>
      <c r="G1719" s="86">
        <f>G1720</f>
        <v>1292921.26</v>
      </c>
      <c r="H1719" s="86">
        <f>H1720</f>
        <v>994475.84</v>
      </c>
      <c r="I1719" s="171"/>
    </row>
    <row r="1720" spans="1:17" ht="30.75" customHeight="1">
      <c r="A1720" s="81" t="s">
        <v>148</v>
      </c>
      <c r="B1720" s="145">
        <v>793</v>
      </c>
      <c r="C1720" s="83" t="s">
        <v>69</v>
      </c>
      <c r="D1720" s="83" t="s">
        <v>70</v>
      </c>
      <c r="E1720" s="83" t="s">
        <v>520</v>
      </c>
      <c r="F1720" s="83" t="s">
        <v>149</v>
      </c>
      <c r="G1720" s="86">
        <f>G1721</f>
        <v>1292921.26</v>
      </c>
      <c r="H1720" s="86">
        <f>H1721</f>
        <v>994475.84</v>
      </c>
      <c r="I1720" s="171"/>
    </row>
    <row r="1721" spans="1:17" ht="30.75" customHeight="1">
      <c r="A1721" s="81" t="s">
        <v>150</v>
      </c>
      <c r="B1721" s="145">
        <v>793</v>
      </c>
      <c r="C1721" s="83" t="s">
        <v>69</v>
      </c>
      <c r="D1721" s="83" t="s">
        <v>70</v>
      </c>
      <c r="E1721" s="83" t="s">
        <v>520</v>
      </c>
      <c r="F1721" s="83" t="s">
        <v>151</v>
      </c>
      <c r="G1721" s="86">
        <v>1292921.26</v>
      </c>
      <c r="H1721" s="86">
        <v>994475.84</v>
      </c>
      <c r="I1721" s="171"/>
    </row>
    <row r="1722" spans="1:17" s="18" customFormat="1" ht="25.5" hidden="1">
      <c r="A1722" s="131" t="s">
        <v>477</v>
      </c>
      <c r="B1722" s="145">
        <v>793</v>
      </c>
      <c r="C1722" s="83" t="s">
        <v>69</v>
      </c>
      <c r="D1722" s="83" t="s">
        <v>70</v>
      </c>
      <c r="E1722" s="83" t="s">
        <v>220</v>
      </c>
      <c r="F1722" s="83"/>
      <c r="G1722" s="86">
        <f t="shared" ref="G1722:H1724" si="425">G1723</f>
        <v>0</v>
      </c>
      <c r="H1722" s="86">
        <f t="shared" si="425"/>
        <v>0</v>
      </c>
      <c r="I1722" s="171"/>
      <c r="J1722" s="191"/>
      <c r="K1722" s="191"/>
      <c r="L1722" s="191"/>
      <c r="M1722" s="191"/>
      <c r="N1722" s="191"/>
      <c r="O1722" s="191"/>
      <c r="P1722" s="191"/>
      <c r="Q1722" s="191"/>
    </row>
    <row r="1723" spans="1:17" s="18" customFormat="1" ht="25.5" hidden="1">
      <c r="A1723" s="81" t="s">
        <v>99</v>
      </c>
      <c r="B1723" s="145">
        <v>793</v>
      </c>
      <c r="C1723" s="83" t="s">
        <v>69</v>
      </c>
      <c r="D1723" s="83" t="s">
        <v>70</v>
      </c>
      <c r="E1723" s="83" t="s">
        <v>221</v>
      </c>
      <c r="F1723" s="83"/>
      <c r="G1723" s="86">
        <f t="shared" si="425"/>
        <v>0</v>
      </c>
      <c r="H1723" s="86">
        <f t="shared" si="425"/>
        <v>0</v>
      </c>
      <c r="I1723" s="171"/>
      <c r="J1723" s="191"/>
      <c r="K1723" s="191"/>
      <c r="L1723" s="191"/>
      <c r="M1723" s="191"/>
      <c r="N1723" s="191"/>
      <c r="O1723" s="191"/>
      <c r="P1723" s="191"/>
      <c r="Q1723" s="191"/>
    </row>
    <row r="1724" spans="1:17" s="18" customFormat="1" ht="10.5" hidden="1" customHeight="1">
      <c r="A1724" s="271" t="s">
        <v>353</v>
      </c>
      <c r="B1724" s="145">
        <v>793</v>
      </c>
      <c r="C1724" s="83" t="s">
        <v>69</v>
      </c>
      <c r="D1724" s="83" t="s">
        <v>70</v>
      </c>
      <c r="E1724" s="83" t="s">
        <v>221</v>
      </c>
      <c r="F1724" s="83" t="s">
        <v>149</v>
      </c>
      <c r="G1724" s="86">
        <f t="shared" si="425"/>
        <v>0</v>
      </c>
      <c r="H1724" s="86">
        <f t="shared" si="425"/>
        <v>0</v>
      </c>
      <c r="I1724" s="171"/>
      <c r="J1724" s="191"/>
      <c r="K1724" s="191"/>
      <c r="L1724" s="191"/>
      <c r="M1724" s="191"/>
      <c r="N1724" s="191"/>
      <c r="O1724" s="191"/>
      <c r="P1724" s="191"/>
      <c r="Q1724" s="191"/>
    </row>
    <row r="1725" spans="1:17" s="18" customFormat="1" ht="29.25" hidden="1" customHeight="1">
      <c r="A1725" s="81" t="s">
        <v>150</v>
      </c>
      <c r="B1725" s="145">
        <v>793</v>
      </c>
      <c r="C1725" s="83" t="s">
        <v>69</v>
      </c>
      <c r="D1725" s="83" t="s">
        <v>70</v>
      </c>
      <c r="E1725" s="83" t="s">
        <v>221</v>
      </c>
      <c r="F1725" s="83" t="s">
        <v>151</v>
      </c>
      <c r="G1725" s="86">
        <f>1260000+503974.1-1763974.1</f>
        <v>0</v>
      </c>
      <c r="H1725" s="86">
        <f>1260000-1260000</f>
        <v>0</v>
      </c>
      <c r="I1725" s="171"/>
      <c r="J1725" s="191"/>
      <c r="K1725" s="191"/>
      <c r="L1725" s="191"/>
      <c r="M1725" s="191"/>
      <c r="N1725" s="191"/>
      <c r="O1725" s="191"/>
      <c r="P1725" s="191"/>
      <c r="Q1725" s="191"/>
    </row>
    <row r="1726" spans="1:17" s="28" customFormat="1" ht="27.75" customHeight="1">
      <c r="A1726" s="81" t="s">
        <v>481</v>
      </c>
      <c r="B1726" s="145">
        <v>793</v>
      </c>
      <c r="C1726" s="83" t="s">
        <v>69</v>
      </c>
      <c r="D1726" s="83" t="s">
        <v>70</v>
      </c>
      <c r="E1726" s="83" t="s">
        <v>286</v>
      </c>
      <c r="F1726" s="163"/>
      <c r="G1726" s="86">
        <f>G1727+G1730+G1733</f>
        <v>2044763.1</v>
      </c>
      <c r="H1726" s="86">
        <f>H1727+H1730+H1733</f>
        <v>1162710.24</v>
      </c>
      <c r="I1726" s="171"/>
      <c r="J1726" s="195"/>
      <c r="K1726" s="195"/>
      <c r="L1726" s="195"/>
      <c r="M1726" s="195"/>
      <c r="N1726" s="195"/>
      <c r="O1726" s="195"/>
      <c r="P1726" s="195"/>
      <c r="Q1726" s="195"/>
    </row>
    <row r="1727" spans="1:17" s="28" customFormat="1" ht="54" hidden="1" customHeight="1">
      <c r="A1727" s="81" t="s">
        <v>356</v>
      </c>
      <c r="B1727" s="145">
        <v>793</v>
      </c>
      <c r="C1727" s="83" t="s">
        <v>69</v>
      </c>
      <c r="D1727" s="83" t="s">
        <v>70</v>
      </c>
      <c r="E1727" s="83" t="s">
        <v>374</v>
      </c>
      <c r="F1727" s="163"/>
      <c r="G1727" s="86">
        <f t="shared" ref="G1727:H1728" si="426">G1728</f>
        <v>0</v>
      </c>
      <c r="H1727" s="86">
        <f t="shared" si="426"/>
        <v>0</v>
      </c>
      <c r="I1727" s="171"/>
      <c r="J1727" s="195"/>
      <c r="K1727" s="195"/>
      <c r="L1727" s="195"/>
      <c r="M1727" s="195"/>
      <c r="N1727" s="195"/>
      <c r="O1727" s="195"/>
      <c r="P1727" s="195"/>
      <c r="Q1727" s="195"/>
    </row>
    <row r="1728" spans="1:17" s="28" customFormat="1" ht="16.5" hidden="1" customHeight="1">
      <c r="A1728" s="81" t="s">
        <v>63</v>
      </c>
      <c r="B1728" s="145">
        <v>793</v>
      </c>
      <c r="C1728" s="83" t="s">
        <v>69</v>
      </c>
      <c r="D1728" s="83" t="s">
        <v>70</v>
      </c>
      <c r="E1728" s="83" t="s">
        <v>374</v>
      </c>
      <c r="F1728" s="83" t="s">
        <v>64</v>
      </c>
      <c r="G1728" s="86">
        <f t="shared" si="426"/>
        <v>0</v>
      </c>
      <c r="H1728" s="86">
        <f t="shared" si="426"/>
        <v>0</v>
      </c>
      <c r="I1728" s="171"/>
      <c r="J1728" s="195"/>
      <c r="K1728" s="195"/>
      <c r="L1728" s="195"/>
      <c r="M1728" s="195"/>
      <c r="N1728" s="195"/>
      <c r="O1728" s="195"/>
      <c r="P1728" s="195"/>
      <c r="Q1728" s="195"/>
    </row>
    <row r="1729" spans="1:17" ht="38.25" hidden="1">
      <c r="A1729" s="81" t="s">
        <v>340</v>
      </c>
      <c r="B1729" s="145">
        <v>793</v>
      </c>
      <c r="C1729" s="83" t="s">
        <v>69</v>
      </c>
      <c r="D1729" s="83" t="s">
        <v>70</v>
      </c>
      <c r="E1729" s="83" t="s">
        <v>374</v>
      </c>
      <c r="F1729" s="83" t="s">
        <v>341</v>
      </c>
      <c r="G1729" s="86"/>
      <c r="H1729" s="86"/>
      <c r="I1729" s="171"/>
    </row>
    <row r="1730" spans="1:17" ht="25.5" customHeight="1">
      <c r="A1730" s="81" t="s">
        <v>657</v>
      </c>
      <c r="B1730" s="145">
        <v>793</v>
      </c>
      <c r="C1730" s="83" t="s">
        <v>69</v>
      </c>
      <c r="D1730" s="83" t="s">
        <v>70</v>
      </c>
      <c r="E1730" s="83" t="s">
        <v>680</v>
      </c>
      <c r="F1730" s="83"/>
      <c r="G1730" s="86">
        <f t="shared" ref="G1730:H1731" si="427">G1731</f>
        <v>280789</v>
      </c>
      <c r="H1730" s="86">
        <f t="shared" si="427"/>
        <v>253710.24</v>
      </c>
      <c r="I1730" s="171"/>
    </row>
    <row r="1731" spans="1:17" ht="15.75" customHeight="1">
      <c r="A1731" s="81" t="s">
        <v>358</v>
      </c>
      <c r="B1731" s="145">
        <v>793</v>
      </c>
      <c r="C1731" s="83" t="s">
        <v>69</v>
      </c>
      <c r="D1731" s="83" t="s">
        <v>70</v>
      </c>
      <c r="E1731" s="83" t="s">
        <v>680</v>
      </c>
      <c r="F1731" s="83" t="s">
        <v>149</v>
      </c>
      <c r="G1731" s="86">
        <f t="shared" si="427"/>
        <v>280789</v>
      </c>
      <c r="H1731" s="86">
        <f t="shared" si="427"/>
        <v>253710.24</v>
      </c>
      <c r="I1731" s="171"/>
    </row>
    <row r="1732" spans="1:17" ht="36" customHeight="1">
      <c r="A1732" s="81" t="s">
        <v>666</v>
      </c>
      <c r="B1732" s="145">
        <v>793</v>
      </c>
      <c r="C1732" s="83" t="s">
        <v>69</v>
      </c>
      <c r="D1732" s="83" t="s">
        <v>70</v>
      </c>
      <c r="E1732" s="83" t="s">
        <v>680</v>
      </c>
      <c r="F1732" s="83" t="s">
        <v>665</v>
      </c>
      <c r="G1732" s="86">
        <v>280789</v>
      </c>
      <c r="H1732" s="86">
        <v>253710.24</v>
      </c>
      <c r="I1732" s="171"/>
    </row>
    <row r="1733" spans="1:17" s="18" customFormat="1">
      <c r="A1733" s="81" t="s">
        <v>1037</v>
      </c>
      <c r="B1733" s="145">
        <v>793</v>
      </c>
      <c r="C1733" s="83" t="s">
        <v>69</v>
      </c>
      <c r="D1733" s="83" t="s">
        <v>70</v>
      </c>
      <c r="E1733" s="83" t="s">
        <v>1036</v>
      </c>
      <c r="F1733" s="83"/>
      <c r="G1733" s="86">
        <f t="shared" ref="G1733:H1733" si="428">G1734</f>
        <v>1763974.1</v>
      </c>
      <c r="H1733" s="86">
        <f t="shared" si="428"/>
        <v>909000</v>
      </c>
      <c r="I1733" s="171"/>
      <c r="J1733" s="191"/>
      <c r="K1733" s="191"/>
      <c r="L1733" s="191"/>
      <c r="M1733" s="191"/>
      <c r="N1733" s="191"/>
      <c r="O1733" s="191"/>
      <c r="P1733" s="191"/>
      <c r="Q1733" s="191"/>
    </row>
    <row r="1734" spans="1:17" s="18" customFormat="1" ht="25.5" customHeight="1">
      <c r="A1734" s="271" t="s">
        <v>353</v>
      </c>
      <c r="B1734" s="145">
        <v>793</v>
      </c>
      <c r="C1734" s="83" t="s">
        <v>69</v>
      </c>
      <c r="D1734" s="83" t="s">
        <v>70</v>
      </c>
      <c r="E1734" s="83" t="s">
        <v>1036</v>
      </c>
      <c r="F1734" s="83" t="s">
        <v>149</v>
      </c>
      <c r="G1734" s="86">
        <v>1763974.1</v>
      </c>
      <c r="H1734" s="86">
        <f>H1735</f>
        <v>909000</v>
      </c>
      <c r="I1734" s="171"/>
      <c r="J1734" s="191"/>
      <c r="K1734" s="191"/>
      <c r="L1734" s="191"/>
      <c r="M1734" s="191"/>
      <c r="N1734" s="191"/>
      <c r="O1734" s="191"/>
      <c r="P1734" s="191"/>
      <c r="Q1734" s="191"/>
    </row>
    <row r="1735" spans="1:17" s="18" customFormat="1" ht="29.25" customHeight="1">
      <c r="A1735" s="81" t="s">
        <v>150</v>
      </c>
      <c r="B1735" s="145">
        <v>793</v>
      </c>
      <c r="C1735" s="83" t="s">
        <v>69</v>
      </c>
      <c r="D1735" s="83" t="s">
        <v>70</v>
      </c>
      <c r="E1735" s="83" t="s">
        <v>1036</v>
      </c>
      <c r="F1735" s="83" t="s">
        <v>151</v>
      </c>
      <c r="G1735" s="86">
        <f>G1734</f>
        <v>1763974.1</v>
      </c>
      <c r="H1735" s="86">
        <v>909000</v>
      </c>
      <c r="I1735" s="171"/>
      <c r="J1735" s="191"/>
      <c r="K1735" s="191"/>
      <c r="L1735" s="191"/>
      <c r="M1735" s="191"/>
      <c r="N1735" s="191"/>
      <c r="O1735" s="191"/>
      <c r="P1735" s="191"/>
      <c r="Q1735" s="191"/>
    </row>
    <row r="1736" spans="1:17" ht="26.25" customHeight="1">
      <c r="A1736" s="81" t="s">
        <v>169</v>
      </c>
      <c r="B1736" s="145">
        <v>793</v>
      </c>
      <c r="C1736" s="83" t="s">
        <v>69</v>
      </c>
      <c r="D1736" s="83" t="s">
        <v>70</v>
      </c>
      <c r="E1736" s="83" t="s">
        <v>233</v>
      </c>
      <c r="F1736" s="83"/>
      <c r="G1736" s="86">
        <f>G1737</f>
        <v>85000</v>
      </c>
      <c r="H1736" s="86">
        <f>H1737</f>
        <v>85000</v>
      </c>
      <c r="I1736" s="171"/>
    </row>
    <row r="1737" spans="1:17" ht="29.25" customHeight="1">
      <c r="A1737" s="81" t="s">
        <v>169</v>
      </c>
      <c r="B1737" s="145">
        <v>793</v>
      </c>
      <c r="C1737" s="83" t="s">
        <v>69</v>
      </c>
      <c r="D1737" s="83" t="s">
        <v>70</v>
      </c>
      <c r="E1737" s="83" t="s">
        <v>275</v>
      </c>
      <c r="F1737" s="83"/>
      <c r="G1737" s="86">
        <f>G1739</f>
        <v>85000</v>
      </c>
      <c r="H1737" s="86">
        <f>H1739</f>
        <v>85000</v>
      </c>
      <c r="I1737" s="171"/>
    </row>
    <row r="1738" spans="1:17" ht="25.5" customHeight="1">
      <c r="A1738" s="81" t="s">
        <v>358</v>
      </c>
      <c r="B1738" s="145">
        <v>793</v>
      </c>
      <c r="C1738" s="83" t="s">
        <v>69</v>
      </c>
      <c r="D1738" s="83" t="s">
        <v>70</v>
      </c>
      <c r="E1738" s="83" t="s">
        <v>275</v>
      </c>
      <c r="F1738" s="83" t="s">
        <v>149</v>
      </c>
      <c r="G1738" s="86">
        <f>G1739</f>
        <v>85000</v>
      </c>
      <c r="H1738" s="86">
        <f>H1739</f>
        <v>85000</v>
      </c>
      <c r="I1738" s="171"/>
    </row>
    <row r="1739" spans="1:17" ht="30.75" customHeight="1">
      <c r="A1739" s="81" t="s">
        <v>152</v>
      </c>
      <c r="B1739" s="145">
        <v>793</v>
      </c>
      <c r="C1739" s="83" t="s">
        <v>69</v>
      </c>
      <c r="D1739" s="83" t="s">
        <v>70</v>
      </c>
      <c r="E1739" s="83" t="s">
        <v>275</v>
      </c>
      <c r="F1739" s="83" t="s">
        <v>151</v>
      </c>
      <c r="G1739" s="86">
        <v>85000</v>
      </c>
      <c r="H1739" s="86">
        <v>85000</v>
      </c>
      <c r="I1739" s="171"/>
    </row>
    <row r="1740" spans="1:17" s="28" customFormat="1" ht="24.75" hidden="1" customHeight="1">
      <c r="A1740" s="135" t="s">
        <v>169</v>
      </c>
      <c r="B1740" s="145">
        <v>793</v>
      </c>
      <c r="C1740" s="83" t="s">
        <v>69</v>
      </c>
      <c r="D1740" s="83" t="s">
        <v>70</v>
      </c>
      <c r="E1740" s="83" t="s">
        <v>233</v>
      </c>
      <c r="F1740" s="163"/>
      <c r="G1740" s="86">
        <f t="shared" ref="G1740:H1740" si="429">G1741</f>
        <v>0</v>
      </c>
      <c r="H1740" s="86">
        <f t="shared" si="429"/>
        <v>0</v>
      </c>
      <c r="I1740" s="171"/>
      <c r="J1740" s="195"/>
      <c r="K1740" s="195"/>
      <c r="L1740" s="195"/>
      <c r="M1740" s="195"/>
      <c r="N1740" s="195"/>
      <c r="O1740" s="195"/>
      <c r="P1740" s="195"/>
      <c r="Q1740" s="195"/>
    </row>
    <row r="1741" spans="1:17" ht="25.5" hidden="1">
      <c r="A1741" s="135" t="s">
        <v>169</v>
      </c>
      <c r="B1741" s="145">
        <v>793</v>
      </c>
      <c r="C1741" s="83" t="s">
        <v>69</v>
      </c>
      <c r="D1741" s="83" t="s">
        <v>70</v>
      </c>
      <c r="E1741" s="83" t="s">
        <v>275</v>
      </c>
      <c r="F1741" s="83"/>
      <c r="G1741" s="86">
        <f>G1742+G1744</f>
        <v>0</v>
      </c>
      <c r="H1741" s="86">
        <f>H1742+H1744</f>
        <v>0</v>
      </c>
      <c r="I1741" s="171"/>
    </row>
    <row r="1742" spans="1:17" hidden="1">
      <c r="A1742" s="81"/>
      <c r="B1742" s="145">
        <v>793</v>
      </c>
      <c r="C1742" s="83" t="s">
        <v>69</v>
      </c>
      <c r="D1742" s="83" t="s">
        <v>70</v>
      </c>
      <c r="E1742" s="83" t="s">
        <v>275</v>
      </c>
      <c r="F1742" s="83"/>
      <c r="G1742" s="86"/>
      <c r="H1742" s="86"/>
      <c r="I1742" s="171"/>
    </row>
    <row r="1743" spans="1:17" ht="30.75" hidden="1" customHeight="1">
      <c r="A1743" s="81"/>
      <c r="B1743" s="145">
        <v>793</v>
      </c>
      <c r="C1743" s="83" t="s">
        <v>69</v>
      </c>
      <c r="D1743" s="83" t="s">
        <v>70</v>
      </c>
      <c r="E1743" s="83" t="s">
        <v>275</v>
      </c>
      <c r="F1743" s="83"/>
      <c r="G1743" s="86"/>
      <c r="H1743" s="86"/>
      <c r="I1743" s="171"/>
    </row>
    <row r="1744" spans="1:17" ht="24" hidden="1" customHeight="1">
      <c r="A1744" s="271" t="s">
        <v>148</v>
      </c>
      <c r="B1744" s="145">
        <v>793</v>
      </c>
      <c r="C1744" s="83" t="s">
        <v>69</v>
      </c>
      <c r="D1744" s="83" t="s">
        <v>70</v>
      </c>
      <c r="E1744" s="83" t="s">
        <v>275</v>
      </c>
      <c r="F1744" s="83" t="s">
        <v>149</v>
      </c>
      <c r="G1744" s="86">
        <f>G1745</f>
        <v>0</v>
      </c>
      <c r="H1744" s="86">
        <f>H1745</f>
        <v>0</v>
      </c>
      <c r="I1744" s="171"/>
    </row>
    <row r="1745" spans="1:17" ht="18" hidden="1" customHeight="1">
      <c r="A1745" s="81" t="s">
        <v>150</v>
      </c>
      <c r="B1745" s="145">
        <v>793</v>
      </c>
      <c r="C1745" s="83" t="s">
        <v>69</v>
      </c>
      <c r="D1745" s="83" t="s">
        <v>70</v>
      </c>
      <c r="E1745" s="83" t="s">
        <v>275</v>
      </c>
      <c r="F1745" s="83" t="s">
        <v>151</v>
      </c>
      <c r="G1745" s="86"/>
      <c r="H1745" s="86"/>
      <c r="I1745" s="171"/>
    </row>
    <row r="1746" spans="1:17">
      <c r="A1746" s="131" t="s">
        <v>153</v>
      </c>
      <c r="B1746" s="145">
        <v>793</v>
      </c>
      <c r="C1746" s="83" t="s">
        <v>69</v>
      </c>
      <c r="D1746" s="83" t="s">
        <v>54</v>
      </c>
      <c r="E1746" s="83"/>
      <c r="F1746" s="83"/>
      <c r="G1746" s="86">
        <f>G1752+G1748</f>
        <v>31189498.18</v>
      </c>
      <c r="H1746" s="86">
        <f t="shared" ref="H1746" si="430">H1752+H1748</f>
        <v>26552918.100000001</v>
      </c>
      <c r="I1746" s="171"/>
    </row>
    <row r="1747" spans="1:17" s="32" customFormat="1" ht="12.75" hidden="1" customHeight="1">
      <c r="A1747" s="252"/>
      <c r="B1747" s="145"/>
      <c r="C1747" s="254"/>
      <c r="D1747" s="83"/>
      <c r="E1747" s="83"/>
      <c r="F1747" s="83"/>
      <c r="G1747" s="86"/>
      <c r="H1747" s="86"/>
      <c r="I1747" s="171"/>
      <c r="J1747" s="194"/>
      <c r="K1747" s="194"/>
      <c r="L1747" s="194"/>
      <c r="M1747" s="194"/>
      <c r="N1747" s="194"/>
      <c r="O1747" s="194"/>
      <c r="P1747" s="194"/>
      <c r="Q1747" s="194"/>
    </row>
    <row r="1748" spans="1:17" s="32" customFormat="1" ht="30.75" customHeight="1">
      <c r="A1748" s="272" t="s">
        <v>466</v>
      </c>
      <c r="B1748" s="145">
        <v>793</v>
      </c>
      <c r="C1748" s="83" t="s">
        <v>69</v>
      </c>
      <c r="D1748" s="83" t="s">
        <v>54</v>
      </c>
      <c r="E1748" s="83" t="s">
        <v>205</v>
      </c>
      <c r="F1748" s="83"/>
      <c r="G1748" s="86">
        <f>G1749+G348+G345</f>
        <v>3685500</v>
      </c>
      <c r="H1748" s="86">
        <f>H1749+H348</f>
        <v>3685500</v>
      </c>
      <c r="I1748" s="171"/>
      <c r="J1748" s="194"/>
      <c r="K1748" s="194"/>
      <c r="L1748" s="194"/>
      <c r="M1748" s="194"/>
      <c r="N1748" s="194"/>
      <c r="O1748" s="194"/>
      <c r="P1748" s="194"/>
      <c r="Q1748" s="194"/>
    </row>
    <row r="1749" spans="1:17" ht="33" customHeight="1">
      <c r="A1749" s="81" t="s">
        <v>185</v>
      </c>
      <c r="B1749" s="145">
        <v>793</v>
      </c>
      <c r="C1749" s="83" t="s">
        <v>69</v>
      </c>
      <c r="D1749" s="83" t="s">
        <v>54</v>
      </c>
      <c r="E1749" s="83" t="s">
        <v>409</v>
      </c>
      <c r="F1749" s="83"/>
      <c r="G1749" s="86">
        <f t="shared" ref="G1749:H1750" si="431">G1750</f>
        <v>3685500</v>
      </c>
      <c r="H1749" s="86">
        <f t="shared" si="431"/>
        <v>3685500</v>
      </c>
      <c r="I1749" s="171"/>
    </row>
    <row r="1750" spans="1:17" ht="33" customHeight="1">
      <c r="A1750" s="81" t="s">
        <v>148</v>
      </c>
      <c r="B1750" s="145">
        <v>793</v>
      </c>
      <c r="C1750" s="83" t="s">
        <v>69</v>
      </c>
      <c r="D1750" s="83" t="s">
        <v>54</v>
      </c>
      <c r="E1750" s="83" t="s">
        <v>409</v>
      </c>
      <c r="F1750" s="83" t="s">
        <v>149</v>
      </c>
      <c r="G1750" s="86">
        <f t="shared" si="431"/>
        <v>3685500</v>
      </c>
      <c r="H1750" s="86">
        <f t="shared" si="431"/>
        <v>3685500</v>
      </c>
      <c r="I1750" s="171"/>
    </row>
    <row r="1751" spans="1:17" ht="33" customHeight="1">
      <c r="A1751" s="81" t="s">
        <v>150</v>
      </c>
      <c r="B1751" s="145">
        <v>793</v>
      </c>
      <c r="C1751" s="83" t="s">
        <v>69</v>
      </c>
      <c r="D1751" s="83" t="s">
        <v>54</v>
      </c>
      <c r="E1751" s="83" t="s">
        <v>409</v>
      </c>
      <c r="F1751" s="83" t="s">
        <v>151</v>
      </c>
      <c r="G1751" s="86">
        <f>5699991.57-2014491.57</f>
        <v>3685500</v>
      </c>
      <c r="H1751" s="86">
        <v>3685500</v>
      </c>
      <c r="I1751" s="171"/>
    </row>
    <row r="1752" spans="1:17" s="46" customFormat="1" ht="25.5">
      <c r="A1752" s="81" t="s">
        <v>481</v>
      </c>
      <c r="B1752" s="145">
        <v>793</v>
      </c>
      <c r="C1752" s="83" t="s">
        <v>69</v>
      </c>
      <c r="D1752" s="83" t="s">
        <v>54</v>
      </c>
      <c r="E1752" s="83" t="s">
        <v>286</v>
      </c>
      <c r="F1752" s="83"/>
      <c r="G1752" s="86">
        <f>G1753+G1762+G1756+G1759</f>
        <v>27503998.18</v>
      </c>
      <c r="H1752" s="86">
        <f>H1753+H1762+H1756+H1759</f>
        <v>22867418.100000001</v>
      </c>
      <c r="I1752" s="171"/>
      <c r="J1752" s="213"/>
      <c r="K1752" s="213"/>
      <c r="L1752" s="213"/>
      <c r="M1752" s="213"/>
      <c r="N1752" s="213"/>
      <c r="O1752" s="213"/>
      <c r="P1752" s="213"/>
      <c r="Q1752" s="213"/>
    </row>
    <row r="1753" spans="1:17" ht="58.5" customHeight="1">
      <c r="A1753" s="138" t="s">
        <v>288</v>
      </c>
      <c r="B1753" s="145">
        <v>793</v>
      </c>
      <c r="C1753" s="83" t="s">
        <v>69</v>
      </c>
      <c r="D1753" s="83" t="s">
        <v>54</v>
      </c>
      <c r="E1753" s="83" t="s">
        <v>287</v>
      </c>
      <c r="F1753" s="83"/>
      <c r="G1753" s="86">
        <f>G1754</f>
        <v>5925317.3300000001</v>
      </c>
      <c r="H1753" s="86">
        <f t="shared" ref="H1753" si="432">H1754</f>
        <v>5925317.3300000001</v>
      </c>
      <c r="I1753" s="171"/>
    </row>
    <row r="1754" spans="1:17" ht="38.25">
      <c r="A1754" s="81" t="s">
        <v>347</v>
      </c>
      <c r="B1754" s="145">
        <v>793</v>
      </c>
      <c r="C1754" s="83" t="s">
        <v>69</v>
      </c>
      <c r="D1754" s="83" t="s">
        <v>54</v>
      </c>
      <c r="E1754" s="83" t="s">
        <v>287</v>
      </c>
      <c r="F1754" s="83" t="s">
        <v>348</v>
      </c>
      <c r="G1754" s="86">
        <f>G1755</f>
        <v>5925317.3300000001</v>
      </c>
      <c r="H1754" s="86">
        <f>H1755</f>
        <v>5925317.3300000001</v>
      </c>
      <c r="I1754" s="171"/>
    </row>
    <row r="1755" spans="1:17">
      <c r="A1755" s="81" t="s">
        <v>349</v>
      </c>
      <c r="B1755" s="145">
        <v>793</v>
      </c>
      <c r="C1755" s="83" t="s">
        <v>69</v>
      </c>
      <c r="D1755" s="83" t="s">
        <v>54</v>
      </c>
      <c r="E1755" s="83" t="s">
        <v>287</v>
      </c>
      <c r="F1755" s="83" t="s">
        <v>350</v>
      </c>
      <c r="G1755" s="86">
        <v>5925317.3300000001</v>
      </c>
      <c r="H1755" s="86">
        <v>5925317.3300000001</v>
      </c>
      <c r="I1755" s="171"/>
    </row>
    <row r="1756" spans="1:17" ht="55.5" customHeight="1">
      <c r="A1756" s="138" t="s">
        <v>289</v>
      </c>
      <c r="B1756" s="145">
        <v>793</v>
      </c>
      <c r="C1756" s="83" t="s">
        <v>69</v>
      </c>
      <c r="D1756" s="83" t="s">
        <v>54</v>
      </c>
      <c r="E1756" s="83" t="s">
        <v>372</v>
      </c>
      <c r="F1756" s="83"/>
      <c r="G1756" s="86">
        <f t="shared" ref="G1756:H1760" si="433">G1757</f>
        <v>14441810.85</v>
      </c>
      <c r="H1756" s="86">
        <f t="shared" si="433"/>
        <v>14441810.77</v>
      </c>
      <c r="I1756" s="171"/>
    </row>
    <row r="1757" spans="1:17" ht="38.25">
      <c r="A1757" s="81" t="s">
        <v>347</v>
      </c>
      <c r="B1757" s="145">
        <v>793</v>
      </c>
      <c r="C1757" s="83" t="s">
        <v>69</v>
      </c>
      <c r="D1757" s="83" t="s">
        <v>54</v>
      </c>
      <c r="E1757" s="83" t="s">
        <v>372</v>
      </c>
      <c r="F1757" s="83" t="s">
        <v>348</v>
      </c>
      <c r="G1757" s="86">
        <f t="shared" si="433"/>
        <v>14441810.85</v>
      </c>
      <c r="H1757" s="86">
        <f t="shared" si="433"/>
        <v>14441810.77</v>
      </c>
      <c r="I1757" s="171"/>
    </row>
    <row r="1758" spans="1:17">
      <c r="A1758" s="81" t="s">
        <v>349</v>
      </c>
      <c r="B1758" s="145">
        <v>793</v>
      </c>
      <c r="C1758" s="83" t="s">
        <v>69</v>
      </c>
      <c r="D1758" s="83" t="s">
        <v>54</v>
      </c>
      <c r="E1758" s="83" t="s">
        <v>372</v>
      </c>
      <c r="F1758" s="83" t="s">
        <v>350</v>
      </c>
      <c r="G1758" s="86">
        <v>14441810.85</v>
      </c>
      <c r="H1758" s="86">
        <v>14441810.77</v>
      </c>
      <c r="I1758" s="171"/>
    </row>
    <row r="1759" spans="1:17" ht="81" customHeight="1">
      <c r="A1759" s="138" t="s">
        <v>1030</v>
      </c>
      <c r="B1759" s="145">
        <v>793</v>
      </c>
      <c r="C1759" s="83" t="s">
        <v>69</v>
      </c>
      <c r="D1759" s="83" t="s">
        <v>54</v>
      </c>
      <c r="E1759" s="83" t="s">
        <v>1022</v>
      </c>
      <c r="F1759" s="83"/>
      <c r="G1759" s="86">
        <f t="shared" si="433"/>
        <v>6948870</v>
      </c>
      <c r="H1759" s="86">
        <f t="shared" si="433"/>
        <v>2316290</v>
      </c>
      <c r="I1759" s="171"/>
    </row>
    <row r="1760" spans="1:17" ht="38.25">
      <c r="A1760" s="81" t="s">
        <v>347</v>
      </c>
      <c r="B1760" s="145">
        <v>793</v>
      </c>
      <c r="C1760" s="83" t="s">
        <v>69</v>
      </c>
      <c r="D1760" s="83" t="s">
        <v>54</v>
      </c>
      <c r="E1760" s="83" t="s">
        <v>1022</v>
      </c>
      <c r="F1760" s="83" t="s">
        <v>348</v>
      </c>
      <c r="G1760" s="86">
        <f t="shared" si="433"/>
        <v>6948870</v>
      </c>
      <c r="H1760" s="86">
        <f t="shared" si="433"/>
        <v>2316290</v>
      </c>
      <c r="I1760" s="171"/>
    </row>
    <row r="1761" spans="1:17">
      <c r="A1761" s="81" t="s">
        <v>349</v>
      </c>
      <c r="B1761" s="145">
        <v>793</v>
      </c>
      <c r="C1761" s="83" t="s">
        <v>69</v>
      </c>
      <c r="D1761" s="83" t="s">
        <v>54</v>
      </c>
      <c r="E1761" s="83" t="s">
        <v>1022</v>
      </c>
      <c r="F1761" s="83" t="s">
        <v>350</v>
      </c>
      <c r="G1761" s="86">
        <v>6948870</v>
      </c>
      <c r="H1761" s="86">
        <v>2316290</v>
      </c>
      <c r="I1761" s="171"/>
    </row>
    <row r="1762" spans="1:17" s="18" customFormat="1" ht="25.5">
      <c r="A1762" s="81" t="s">
        <v>359</v>
      </c>
      <c r="B1762" s="145">
        <v>793</v>
      </c>
      <c r="C1762" s="83" t="s">
        <v>69</v>
      </c>
      <c r="D1762" s="83" t="s">
        <v>54</v>
      </c>
      <c r="E1762" s="83" t="s">
        <v>291</v>
      </c>
      <c r="F1762" s="83"/>
      <c r="G1762" s="86">
        <f t="shared" ref="G1762:H1763" si="434">G1763</f>
        <v>188000</v>
      </c>
      <c r="H1762" s="86">
        <f t="shared" si="434"/>
        <v>184000</v>
      </c>
      <c r="I1762" s="171"/>
      <c r="J1762" s="191"/>
      <c r="K1762" s="191"/>
      <c r="L1762" s="191"/>
      <c r="M1762" s="191"/>
      <c r="N1762" s="191"/>
      <c r="O1762" s="191"/>
      <c r="P1762" s="191"/>
      <c r="Q1762" s="191"/>
    </row>
    <row r="1763" spans="1:17" s="18" customFormat="1" ht="25.5">
      <c r="A1763" s="81" t="s">
        <v>357</v>
      </c>
      <c r="B1763" s="145">
        <v>793</v>
      </c>
      <c r="C1763" s="83" t="s">
        <v>69</v>
      </c>
      <c r="D1763" s="83" t="s">
        <v>54</v>
      </c>
      <c r="E1763" s="83" t="s">
        <v>291</v>
      </c>
      <c r="F1763" s="83" t="s">
        <v>149</v>
      </c>
      <c r="G1763" s="86">
        <f t="shared" si="434"/>
        <v>188000</v>
      </c>
      <c r="H1763" s="86">
        <f t="shared" si="434"/>
        <v>184000</v>
      </c>
      <c r="I1763" s="171"/>
      <c r="J1763" s="191"/>
      <c r="K1763" s="191"/>
      <c r="L1763" s="191"/>
      <c r="M1763" s="191"/>
      <c r="N1763" s="191"/>
      <c r="O1763" s="191"/>
      <c r="P1763" s="191"/>
      <c r="Q1763" s="191"/>
    </row>
    <row r="1764" spans="1:17" s="18" customFormat="1" ht="25.5">
      <c r="A1764" s="81" t="s">
        <v>354</v>
      </c>
      <c r="B1764" s="145">
        <v>793</v>
      </c>
      <c r="C1764" s="83" t="s">
        <v>69</v>
      </c>
      <c r="D1764" s="83" t="s">
        <v>54</v>
      </c>
      <c r="E1764" s="83" t="s">
        <v>291</v>
      </c>
      <c r="F1764" s="83" t="s">
        <v>355</v>
      </c>
      <c r="G1764" s="86">
        <v>188000</v>
      </c>
      <c r="H1764" s="86">
        <v>184000</v>
      </c>
      <c r="I1764" s="171"/>
      <c r="J1764" s="191"/>
      <c r="K1764" s="191"/>
      <c r="L1764" s="191"/>
      <c r="M1764" s="191"/>
      <c r="N1764" s="191"/>
      <c r="O1764" s="191"/>
      <c r="P1764" s="191"/>
      <c r="Q1764" s="191"/>
    </row>
    <row r="1765" spans="1:17" s="32" customFormat="1" ht="17.25" customHeight="1">
      <c r="A1765" s="259" t="s">
        <v>360</v>
      </c>
      <c r="B1765" s="151">
        <v>793</v>
      </c>
      <c r="C1765" s="152" t="s">
        <v>72</v>
      </c>
      <c r="D1765" s="152"/>
      <c r="E1765" s="152"/>
      <c r="F1765" s="152"/>
      <c r="G1765" s="153">
        <f>G1781+G1766</f>
        <v>441360</v>
      </c>
      <c r="H1765" s="153">
        <f>H1781+H1766</f>
        <v>441360</v>
      </c>
      <c r="I1765" s="187"/>
      <c r="J1765" s="194"/>
      <c r="K1765" s="194"/>
      <c r="L1765" s="194"/>
      <c r="M1765" s="194"/>
      <c r="N1765" s="194"/>
      <c r="O1765" s="194"/>
      <c r="P1765" s="194"/>
      <c r="Q1765" s="194"/>
    </row>
    <row r="1766" spans="1:17" s="32" customFormat="1" ht="17.25" hidden="1" customHeight="1">
      <c r="A1766" s="260" t="s">
        <v>490</v>
      </c>
      <c r="B1766" s="145">
        <v>757</v>
      </c>
      <c r="C1766" s="83" t="s">
        <v>72</v>
      </c>
      <c r="D1766" s="83" t="s">
        <v>19</v>
      </c>
      <c r="E1766" s="152"/>
      <c r="F1766" s="152"/>
      <c r="G1766" s="153">
        <f>G1767+G1777</f>
        <v>0</v>
      </c>
      <c r="H1766" s="153">
        <f>H1767+H1777</f>
        <v>0</v>
      </c>
      <c r="I1766" s="187"/>
      <c r="J1766" s="194"/>
      <c r="K1766" s="194"/>
      <c r="L1766" s="194"/>
      <c r="M1766" s="194"/>
      <c r="N1766" s="194"/>
      <c r="O1766" s="194"/>
      <c r="P1766" s="194"/>
      <c r="Q1766" s="194"/>
    </row>
    <row r="1767" spans="1:17" ht="27.75" hidden="1" customHeight="1">
      <c r="A1767" s="135" t="s">
        <v>479</v>
      </c>
      <c r="B1767" s="145">
        <v>757</v>
      </c>
      <c r="C1767" s="83" t="s">
        <v>72</v>
      </c>
      <c r="D1767" s="83" t="s">
        <v>19</v>
      </c>
      <c r="E1767" s="83" t="s">
        <v>195</v>
      </c>
      <c r="F1767" s="83"/>
      <c r="G1767" s="86">
        <f>G1769+G1772+G1774</f>
        <v>0</v>
      </c>
      <c r="H1767" s="86">
        <f>H1769+H1772+H1774</f>
        <v>0</v>
      </c>
      <c r="I1767" s="171"/>
    </row>
    <row r="1768" spans="1:17" ht="19.5" hidden="1" customHeight="1">
      <c r="A1768" s="81" t="s">
        <v>32</v>
      </c>
      <c r="B1768" s="145">
        <v>757</v>
      </c>
      <c r="C1768" s="83" t="s">
        <v>72</v>
      </c>
      <c r="D1768" s="83" t="s">
        <v>19</v>
      </c>
      <c r="E1768" s="83" t="s">
        <v>40</v>
      </c>
      <c r="F1768" s="83" t="s">
        <v>33</v>
      </c>
      <c r="G1768" s="86"/>
      <c r="H1768" s="86"/>
      <c r="I1768" s="171"/>
    </row>
    <row r="1769" spans="1:17" ht="39" hidden="1" customHeight="1">
      <c r="A1769" s="81" t="s">
        <v>112</v>
      </c>
      <c r="B1769" s="145">
        <v>757</v>
      </c>
      <c r="C1769" s="83" t="s">
        <v>72</v>
      </c>
      <c r="D1769" s="83" t="s">
        <v>19</v>
      </c>
      <c r="E1769" s="83" t="s">
        <v>196</v>
      </c>
      <c r="F1769" s="83"/>
      <c r="G1769" s="86">
        <f>G1770</f>
        <v>0</v>
      </c>
      <c r="H1769" s="86">
        <f t="shared" ref="H1769" si="435">H1770</f>
        <v>0</v>
      </c>
      <c r="I1769" s="171"/>
    </row>
    <row r="1770" spans="1:17" ht="25.5" hidden="1">
      <c r="A1770" s="81" t="s">
        <v>30</v>
      </c>
      <c r="B1770" s="145">
        <v>757</v>
      </c>
      <c r="C1770" s="83" t="s">
        <v>72</v>
      </c>
      <c r="D1770" s="83" t="s">
        <v>19</v>
      </c>
      <c r="E1770" s="83" t="s">
        <v>196</v>
      </c>
      <c r="F1770" s="83" t="s">
        <v>31</v>
      </c>
      <c r="G1770" s="86">
        <f>G1771</f>
        <v>0</v>
      </c>
      <c r="H1770" s="86">
        <f>H1771</f>
        <v>0</v>
      </c>
      <c r="I1770" s="171"/>
    </row>
    <row r="1771" spans="1:17" ht="19.5" hidden="1" customHeight="1">
      <c r="A1771" s="81" t="s">
        <v>32</v>
      </c>
      <c r="B1771" s="145">
        <v>757</v>
      </c>
      <c r="C1771" s="83" t="s">
        <v>72</v>
      </c>
      <c r="D1771" s="83" t="s">
        <v>19</v>
      </c>
      <c r="E1771" s="83" t="s">
        <v>196</v>
      </c>
      <c r="F1771" s="83" t="s">
        <v>33</v>
      </c>
      <c r="G1771" s="86"/>
      <c r="H1771" s="86"/>
      <c r="I1771" s="171"/>
    </row>
    <row r="1772" spans="1:17" s="32" customFormat="1" ht="25.5" hidden="1" customHeight="1">
      <c r="A1772" s="81" t="s">
        <v>30</v>
      </c>
      <c r="B1772" s="145">
        <v>757</v>
      </c>
      <c r="C1772" s="83" t="s">
        <v>72</v>
      </c>
      <c r="D1772" s="83" t="s">
        <v>19</v>
      </c>
      <c r="E1772" s="83" t="s">
        <v>541</v>
      </c>
      <c r="F1772" s="83" t="s">
        <v>31</v>
      </c>
      <c r="G1772" s="86">
        <f>G1773</f>
        <v>0</v>
      </c>
      <c r="H1772" s="86">
        <v>0</v>
      </c>
      <c r="I1772" s="171"/>
      <c r="J1772" s="194"/>
      <c r="K1772" s="194"/>
      <c r="L1772" s="194"/>
      <c r="M1772" s="194"/>
      <c r="N1772" s="194"/>
      <c r="O1772" s="194"/>
      <c r="P1772" s="194"/>
      <c r="Q1772" s="194"/>
    </row>
    <row r="1773" spans="1:17" s="32" customFormat="1" ht="17.25" hidden="1" customHeight="1">
      <c r="A1773" s="81" t="s">
        <v>32</v>
      </c>
      <c r="B1773" s="145">
        <v>757</v>
      </c>
      <c r="C1773" s="83" t="s">
        <v>72</v>
      </c>
      <c r="D1773" s="83" t="s">
        <v>19</v>
      </c>
      <c r="E1773" s="83" t="s">
        <v>541</v>
      </c>
      <c r="F1773" s="83" t="s">
        <v>33</v>
      </c>
      <c r="G1773" s="86"/>
      <c r="H1773" s="86">
        <v>0</v>
      </c>
      <c r="I1773" s="171"/>
      <c r="J1773" s="194"/>
      <c r="K1773" s="194"/>
      <c r="L1773" s="194"/>
      <c r="M1773" s="194"/>
      <c r="N1773" s="194"/>
      <c r="O1773" s="194"/>
      <c r="P1773" s="194"/>
      <c r="Q1773" s="194"/>
    </row>
    <row r="1774" spans="1:17" s="32" customFormat="1" ht="65.25" hidden="1" customHeight="1">
      <c r="A1774" s="81" t="s">
        <v>610</v>
      </c>
      <c r="B1774" s="145">
        <v>757</v>
      </c>
      <c r="C1774" s="83" t="s">
        <v>72</v>
      </c>
      <c r="D1774" s="83" t="s">
        <v>19</v>
      </c>
      <c r="E1774" s="83" t="s">
        <v>609</v>
      </c>
      <c r="F1774" s="83"/>
      <c r="G1774" s="86">
        <f>G1775</f>
        <v>0</v>
      </c>
      <c r="H1774" s="86">
        <f t="shared" ref="H1774" si="436">H1775</f>
        <v>0</v>
      </c>
      <c r="I1774" s="171"/>
      <c r="J1774" s="194"/>
      <c r="K1774" s="194"/>
      <c r="L1774" s="194"/>
      <c r="M1774" s="194"/>
      <c r="N1774" s="194"/>
      <c r="O1774" s="194"/>
      <c r="P1774" s="194"/>
      <c r="Q1774" s="194"/>
    </row>
    <row r="1775" spans="1:17" s="32" customFormat="1" ht="25.5" hidden="1" customHeight="1">
      <c r="A1775" s="81" t="s">
        <v>30</v>
      </c>
      <c r="B1775" s="145">
        <v>757</v>
      </c>
      <c r="C1775" s="83" t="s">
        <v>72</v>
      </c>
      <c r="D1775" s="83" t="s">
        <v>19</v>
      </c>
      <c r="E1775" s="83" t="s">
        <v>609</v>
      </c>
      <c r="F1775" s="83" t="s">
        <v>31</v>
      </c>
      <c r="G1775" s="86">
        <f>G1776</f>
        <v>0</v>
      </c>
      <c r="H1775" s="86">
        <v>0</v>
      </c>
      <c r="I1775" s="171"/>
      <c r="J1775" s="194"/>
      <c r="K1775" s="194"/>
      <c r="L1775" s="194"/>
      <c r="M1775" s="194"/>
      <c r="N1775" s="194"/>
      <c r="O1775" s="194"/>
      <c r="P1775" s="194"/>
      <c r="Q1775" s="194"/>
    </row>
    <row r="1776" spans="1:17" s="32" customFormat="1" ht="17.25" hidden="1" customHeight="1">
      <c r="A1776" s="81" t="s">
        <v>32</v>
      </c>
      <c r="B1776" s="145">
        <v>757</v>
      </c>
      <c r="C1776" s="83" t="s">
        <v>72</v>
      </c>
      <c r="D1776" s="83" t="s">
        <v>19</v>
      </c>
      <c r="E1776" s="83" t="s">
        <v>609</v>
      </c>
      <c r="F1776" s="83" t="s">
        <v>33</v>
      </c>
      <c r="G1776" s="86"/>
      <c r="H1776" s="86">
        <v>0</v>
      </c>
      <c r="I1776" s="171"/>
      <c r="J1776" s="194"/>
      <c r="K1776" s="194"/>
      <c r="L1776" s="194"/>
      <c r="M1776" s="194"/>
      <c r="N1776" s="194"/>
      <c r="O1776" s="194"/>
      <c r="P1776" s="194"/>
      <c r="Q1776" s="194"/>
    </row>
    <row r="1777" spans="1:17" s="18" customFormat="1" ht="25.5" hidden="1">
      <c r="A1777" s="81" t="s">
        <v>470</v>
      </c>
      <c r="B1777" s="145">
        <v>757</v>
      </c>
      <c r="C1777" s="83" t="s">
        <v>72</v>
      </c>
      <c r="D1777" s="83" t="s">
        <v>19</v>
      </c>
      <c r="E1777" s="83" t="s">
        <v>262</v>
      </c>
      <c r="F1777" s="83"/>
      <c r="G1777" s="86">
        <f>G1778</f>
        <v>0</v>
      </c>
      <c r="H1777" s="86">
        <f t="shared" ref="H1777:H1779" si="437">H1778</f>
        <v>0</v>
      </c>
      <c r="I1777" s="171"/>
      <c r="J1777" s="191"/>
      <c r="K1777" s="191"/>
      <c r="L1777" s="191"/>
      <c r="M1777" s="191"/>
      <c r="N1777" s="191"/>
      <c r="O1777" s="191"/>
      <c r="P1777" s="191"/>
      <c r="Q1777" s="191"/>
    </row>
    <row r="1778" spans="1:17" s="18" customFormat="1" ht="25.5" hidden="1">
      <c r="A1778" s="81" t="s">
        <v>469</v>
      </c>
      <c r="B1778" s="145">
        <v>757</v>
      </c>
      <c r="C1778" s="83" t="s">
        <v>72</v>
      </c>
      <c r="D1778" s="83" t="s">
        <v>19</v>
      </c>
      <c r="E1778" s="83" t="s">
        <v>441</v>
      </c>
      <c r="F1778" s="83"/>
      <c r="G1778" s="86">
        <f>G1779</f>
        <v>0</v>
      </c>
      <c r="H1778" s="86">
        <f t="shared" si="437"/>
        <v>0</v>
      </c>
      <c r="I1778" s="171"/>
      <c r="J1778" s="191"/>
      <c r="K1778" s="191"/>
      <c r="L1778" s="191"/>
      <c r="M1778" s="191"/>
      <c r="N1778" s="191"/>
      <c r="O1778" s="191"/>
      <c r="P1778" s="191"/>
      <c r="Q1778" s="191"/>
    </row>
    <row r="1779" spans="1:17" s="18" customFormat="1" ht="25.5" hidden="1">
      <c r="A1779" s="81" t="s">
        <v>96</v>
      </c>
      <c r="B1779" s="145">
        <v>757</v>
      </c>
      <c r="C1779" s="83" t="s">
        <v>72</v>
      </c>
      <c r="D1779" s="83" t="s">
        <v>19</v>
      </c>
      <c r="E1779" s="83" t="s">
        <v>441</v>
      </c>
      <c r="F1779" s="83" t="s">
        <v>348</v>
      </c>
      <c r="G1779" s="86">
        <f>G1780</f>
        <v>0</v>
      </c>
      <c r="H1779" s="86">
        <f t="shared" si="437"/>
        <v>0</v>
      </c>
      <c r="I1779" s="171"/>
      <c r="J1779" s="191"/>
      <c r="K1779" s="191"/>
      <c r="L1779" s="191"/>
      <c r="M1779" s="191"/>
      <c r="N1779" s="191"/>
      <c r="O1779" s="191"/>
      <c r="P1779" s="191"/>
      <c r="Q1779" s="191"/>
    </row>
    <row r="1780" spans="1:17" s="18" customFormat="1" ht="89.25" hidden="1">
      <c r="A1780" s="129" t="s">
        <v>419</v>
      </c>
      <c r="B1780" s="145">
        <v>757</v>
      </c>
      <c r="C1780" s="83" t="s">
        <v>72</v>
      </c>
      <c r="D1780" s="83" t="s">
        <v>19</v>
      </c>
      <c r="E1780" s="83" t="s">
        <v>441</v>
      </c>
      <c r="F1780" s="83" t="s">
        <v>418</v>
      </c>
      <c r="G1780" s="86">
        <f>50000-50000</f>
        <v>0</v>
      </c>
      <c r="H1780" s="86"/>
      <c r="I1780" s="171"/>
      <c r="J1780" s="191"/>
      <c r="K1780" s="191"/>
      <c r="L1780" s="191"/>
      <c r="M1780" s="191"/>
      <c r="N1780" s="191"/>
      <c r="O1780" s="191"/>
      <c r="P1780" s="191"/>
      <c r="Q1780" s="191"/>
    </row>
    <row r="1781" spans="1:17" s="33" customFormat="1" ht="15" customHeight="1">
      <c r="A1781" s="81" t="s">
        <v>71</v>
      </c>
      <c r="B1781" s="145">
        <v>793</v>
      </c>
      <c r="C1781" s="83" t="s">
        <v>72</v>
      </c>
      <c r="D1781" s="83" t="s">
        <v>28</v>
      </c>
      <c r="E1781" s="163"/>
      <c r="F1781" s="163"/>
      <c r="G1781" s="92">
        <f>G1782</f>
        <v>441360</v>
      </c>
      <c r="H1781" s="92">
        <f>H1782</f>
        <v>441360</v>
      </c>
      <c r="I1781" s="186"/>
      <c r="J1781" s="202"/>
      <c r="K1781" s="202"/>
      <c r="L1781" s="202"/>
      <c r="M1781" s="202"/>
      <c r="N1781" s="202"/>
      <c r="O1781" s="202"/>
      <c r="P1781" s="202"/>
      <c r="Q1781" s="202"/>
    </row>
    <row r="1782" spans="1:17" s="28" customFormat="1" ht="28.5" customHeight="1">
      <c r="A1782" s="135" t="s">
        <v>479</v>
      </c>
      <c r="B1782" s="145">
        <v>793</v>
      </c>
      <c r="C1782" s="83" t="s">
        <v>72</v>
      </c>
      <c r="D1782" s="83" t="s">
        <v>28</v>
      </c>
      <c r="E1782" s="83" t="s">
        <v>195</v>
      </c>
      <c r="F1782" s="83"/>
      <c r="G1782" s="86">
        <f>G1783+G1786+G1789</f>
        <v>441360</v>
      </c>
      <c r="H1782" s="86">
        <f t="shared" ref="H1782" si="438">H1783+H1786+H1789</f>
        <v>441360</v>
      </c>
      <c r="I1782" s="171"/>
      <c r="J1782" s="195"/>
      <c r="K1782" s="195"/>
      <c r="L1782" s="195"/>
      <c r="M1782" s="195"/>
      <c r="N1782" s="195"/>
      <c r="O1782" s="195"/>
      <c r="P1782" s="195"/>
      <c r="Q1782" s="195"/>
    </row>
    <row r="1783" spans="1:17" s="28" customFormat="1" ht="27.75" customHeight="1">
      <c r="A1783" s="135" t="s">
        <v>73</v>
      </c>
      <c r="B1783" s="145">
        <v>793</v>
      </c>
      <c r="C1783" s="83" t="s">
        <v>72</v>
      </c>
      <c r="D1783" s="83" t="s">
        <v>28</v>
      </c>
      <c r="E1783" s="83" t="s">
        <v>206</v>
      </c>
      <c r="F1783" s="83"/>
      <c r="G1783" s="86">
        <f>G1784</f>
        <v>441360</v>
      </c>
      <c r="H1783" s="86">
        <f t="shared" ref="H1783" si="439">H1784</f>
        <v>441360</v>
      </c>
      <c r="I1783" s="171"/>
      <c r="J1783" s="195"/>
      <c r="K1783" s="195"/>
      <c r="L1783" s="195"/>
      <c r="M1783" s="195"/>
      <c r="N1783" s="195"/>
      <c r="O1783" s="195"/>
      <c r="P1783" s="195"/>
      <c r="Q1783" s="195"/>
    </row>
    <row r="1784" spans="1:17" s="32" customFormat="1" ht="28.5" customHeight="1">
      <c r="A1784" s="81" t="s">
        <v>36</v>
      </c>
      <c r="B1784" s="145">
        <v>793</v>
      </c>
      <c r="C1784" s="83" t="s">
        <v>72</v>
      </c>
      <c r="D1784" s="83" t="s">
        <v>28</v>
      </c>
      <c r="E1784" s="83" t="s">
        <v>206</v>
      </c>
      <c r="F1784" s="83" t="s">
        <v>37</v>
      </c>
      <c r="G1784" s="86">
        <f>G1785</f>
        <v>441360</v>
      </c>
      <c r="H1784" s="86">
        <f>H1785</f>
        <v>441360</v>
      </c>
      <c r="I1784" s="171"/>
      <c r="J1784" s="194"/>
      <c r="K1784" s="194"/>
      <c r="L1784" s="194"/>
      <c r="M1784" s="194"/>
      <c r="N1784" s="194"/>
      <c r="O1784" s="194"/>
      <c r="P1784" s="194"/>
      <c r="Q1784" s="194"/>
    </row>
    <row r="1785" spans="1:17" s="32" customFormat="1" ht="25.5">
      <c r="A1785" s="81" t="s">
        <v>38</v>
      </c>
      <c r="B1785" s="145">
        <v>793</v>
      </c>
      <c r="C1785" s="83" t="s">
        <v>72</v>
      </c>
      <c r="D1785" s="83" t="s">
        <v>28</v>
      </c>
      <c r="E1785" s="83" t="s">
        <v>206</v>
      </c>
      <c r="F1785" s="83" t="s">
        <v>39</v>
      </c>
      <c r="G1785" s="86">
        <f>445360-20000+16000</f>
        <v>441360</v>
      </c>
      <c r="H1785" s="86">
        <v>441360</v>
      </c>
      <c r="I1785" s="171"/>
      <c r="J1785" s="196"/>
      <c r="K1785" s="194"/>
      <c r="L1785" s="194"/>
      <c r="M1785" s="194"/>
      <c r="N1785" s="194"/>
      <c r="O1785" s="194"/>
      <c r="P1785" s="194"/>
      <c r="Q1785" s="194"/>
    </row>
    <row r="1786" spans="1:17" s="28" customFormat="1" ht="51" hidden="1" customHeight="1">
      <c r="A1786" s="135"/>
      <c r="B1786" s="145"/>
      <c r="C1786" s="83"/>
      <c r="D1786" s="83"/>
      <c r="E1786" s="83"/>
      <c r="F1786" s="83"/>
      <c r="G1786" s="86"/>
      <c r="H1786" s="86"/>
      <c r="I1786" s="171"/>
      <c r="J1786" s="195"/>
      <c r="K1786" s="195"/>
      <c r="L1786" s="195"/>
      <c r="M1786" s="195"/>
      <c r="N1786" s="195"/>
      <c r="O1786" s="195"/>
      <c r="P1786" s="195"/>
      <c r="Q1786" s="195"/>
    </row>
    <row r="1787" spans="1:17" s="32" customFormat="1" ht="28.5" hidden="1" customHeight="1">
      <c r="A1787" s="81"/>
      <c r="B1787" s="145"/>
      <c r="C1787" s="83"/>
      <c r="D1787" s="83"/>
      <c r="E1787" s="83"/>
      <c r="F1787" s="83"/>
      <c r="G1787" s="86"/>
      <c r="H1787" s="86"/>
      <c r="I1787" s="171"/>
      <c r="J1787" s="194"/>
      <c r="K1787" s="194"/>
      <c r="L1787" s="194"/>
      <c r="M1787" s="194"/>
      <c r="N1787" s="194"/>
      <c r="O1787" s="194"/>
      <c r="P1787" s="194"/>
      <c r="Q1787" s="194"/>
    </row>
    <row r="1788" spans="1:17" s="32" customFormat="1" hidden="1">
      <c r="A1788" s="81"/>
      <c r="B1788" s="145"/>
      <c r="C1788" s="83"/>
      <c r="D1788" s="83"/>
      <c r="E1788" s="83"/>
      <c r="F1788" s="83"/>
      <c r="G1788" s="86"/>
      <c r="H1788" s="86"/>
      <c r="I1788" s="171"/>
      <c r="J1788" s="196"/>
      <c r="K1788" s="194"/>
      <c r="L1788" s="194"/>
      <c r="M1788" s="194"/>
      <c r="N1788" s="194"/>
      <c r="O1788" s="194"/>
      <c r="P1788" s="194"/>
      <c r="Q1788" s="194"/>
    </row>
    <row r="1789" spans="1:17" s="28" customFormat="1" ht="51" hidden="1" customHeight="1">
      <c r="A1789" s="135"/>
      <c r="B1789" s="145"/>
      <c r="C1789" s="83"/>
      <c r="D1789" s="83"/>
      <c r="E1789" s="83"/>
      <c r="F1789" s="83"/>
      <c r="G1789" s="86"/>
      <c r="H1789" s="86"/>
      <c r="I1789" s="171"/>
      <c r="J1789" s="195"/>
      <c r="K1789" s="195"/>
      <c r="L1789" s="195"/>
      <c r="M1789" s="195"/>
      <c r="N1789" s="195"/>
      <c r="O1789" s="195"/>
      <c r="P1789" s="195"/>
      <c r="Q1789" s="195"/>
    </row>
    <row r="1790" spans="1:17" s="32" customFormat="1" ht="28.5" hidden="1" customHeight="1">
      <c r="A1790" s="81"/>
      <c r="B1790" s="145"/>
      <c r="C1790" s="83"/>
      <c r="D1790" s="83"/>
      <c r="E1790" s="83"/>
      <c r="F1790" s="83"/>
      <c r="G1790" s="86"/>
      <c r="H1790" s="86"/>
      <c r="I1790" s="171"/>
      <c r="J1790" s="194"/>
      <c r="K1790" s="194"/>
      <c r="L1790" s="194"/>
      <c r="M1790" s="194"/>
      <c r="N1790" s="194"/>
      <c r="O1790" s="194"/>
      <c r="P1790" s="194"/>
      <c r="Q1790" s="194"/>
    </row>
    <row r="1791" spans="1:17" s="32" customFormat="1" hidden="1">
      <c r="A1791" s="81"/>
      <c r="B1791" s="145"/>
      <c r="C1791" s="83"/>
      <c r="D1791" s="83"/>
      <c r="E1791" s="83"/>
      <c r="F1791" s="83"/>
      <c r="G1791" s="86"/>
      <c r="H1791" s="86"/>
      <c r="I1791" s="171"/>
      <c r="J1791" s="196"/>
      <c r="K1791" s="194"/>
      <c r="L1791" s="194"/>
      <c r="M1791" s="194"/>
      <c r="N1791" s="194"/>
      <c r="O1791" s="194"/>
      <c r="P1791" s="194"/>
      <c r="Q1791" s="194"/>
    </row>
    <row r="1792" spans="1:17" ht="25.5">
      <c r="A1792" s="130" t="s">
        <v>300</v>
      </c>
      <c r="B1792" s="257">
        <v>793</v>
      </c>
      <c r="C1792" s="254" t="s">
        <v>23</v>
      </c>
      <c r="D1792" s="254"/>
      <c r="E1792" s="254"/>
      <c r="F1792" s="254"/>
      <c r="G1792" s="251">
        <f t="shared" ref="G1792:G1797" si="440">G1793</f>
        <v>300950.79999999981</v>
      </c>
      <c r="H1792" s="251">
        <f t="shared" ref="H1792:H1797" si="441">H1793</f>
        <v>244997.26</v>
      </c>
      <c r="I1792" s="182"/>
    </row>
    <row r="1793" spans="1:17" ht="28.5" customHeight="1">
      <c r="A1793" s="131" t="s">
        <v>301</v>
      </c>
      <c r="B1793" s="145">
        <v>793</v>
      </c>
      <c r="C1793" s="83" t="s">
        <v>23</v>
      </c>
      <c r="D1793" s="83" t="s">
        <v>19</v>
      </c>
      <c r="E1793" s="152"/>
      <c r="F1793" s="152"/>
      <c r="G1793" s="86">
        <f t="shared" si="440"/>
        <v>300950.79999999981</v>
      </c>
      <c r="H1793" s="86">
        <f t="shared" si="441"/>
        <v>244997.26</v>
      </c>
      <c r="I1793" s="171"/>
    </row>
    <row r="1794" spans="1:17" s="28" customFormat="1" ht="38.25">
      <c r="A1794" s="81" t="s">
        <v>439</v>
      </c>
      <c r="B1794" s="145">
        <v>793</v>
      </c>
      <c r="C1794" s="83" t="s">
        <v>23</v>
      </c>
      <c r="D1794" s="83" t="s">
        <v>19</v>
      </c>
      <c r="E1794" s="83" t="s">
        <v>229</v>
      </c>
      <c r="F1794" s="163"/>
      <c r="G1794" s="86">
        <f t="shared" si="440"/>
        <v>300950.79999999981</v>
      </c>
      <c r="H1794" s="86">
        <f t="shared" si="441"/>
        <v>244997.26</v>
      </c>
      <c r="I1794" s="171"/>
      <c r="J1794" s="195"/>
      <c r="K1794" s="195"/>
      <c r="L1794" s="195"/>
      <c r="M1794" s="195"/>
      <c r="N1794" s="195"/>
      <c r="O1794" s="195"/>
      <c r="P1794" s="195"/>
      <c r="Q1794" s="195"/>
    </row>
    <row r="1795" spans="1:17" s="28" customFormat="1" ht="25.5">
      <c r="A1795" s="81" t="s">
        <v>302</v>
      </c>
      <c r="B1795" s="145">
        <v>793</v>
      </c>
      <c r="C1795" s="83" t="s">
        <v>23</v>
      </c>
      <c r="D1795" s="83" t="s">
        <v>19</v>
      </c>
      <c r="E1795" s="83" t="s">
        <v>235</v>
      </c>
      <c r="F1795" s="163"/>
      <c r="G1795" s="86">
        <f t="shared" si="440"/>
        <v>300950.79999999981</v>
      </c>
      <c r="H1795" s="86">
        <f t="shared" si="441"/>
        <v>244997.26</v>
      </c>
      <c r="I1795" s="171"/>
      <c r="J1795" s="195"/>
      <c r="K1795" s="195"/>
      <c r="L1795" s="195"/>
      <c r="M1795" s="195"/>
      <c r="N1795" s="195"/>
      <c r="O1795" s="195"/>
      <c r="P1795" s="195"/>
      <c r="Q1795" s="195"/>
    </row>
    <row r="1796" spans="1:17">
      <c r="A1796" s="81" t="s">
        <v>303</v>
      </c>
      <c r="B1796" s="145">
        <v>793</v>
      </c>
      <c r="C1796" s="83" t="s">
        <v>23</v>
      </c>
      <c r="D1796" s="83" t="s">
        <v>19</v>
      </c>
      <c r="E1796" s="83" t="s">
        <v>236</v>
      </c>
      <c r="F1796" s="83"/>
      <c r="G1796" s="86">
        <f t="shared" si="440"/>
        <v>300950.79999999981</v>
      </c>
      <c r="H1796" s="86">
        <f t="shared" si="441"/>
        <v>244997.26</v>
      </c>
      <c r="I1796" s="171"/>
    </row>
    <row r="1797" spans="1:17" ht="25.5">
      <c r="A1797" s="81" t="s">
        <v>304</v>
      </c>
      <c r="B1797" s="145">
        <v>793</v>
      </c>
      <c r="C1797" s="83" t="s">
        <v>23</v>
      </c>
      <c r="D1797" s="83" t="s">
        <v>19</v>
      </c>
      <c r="E1797" s="83" t="s">
        <v>236</v>
      </c>
      <c r="F1797" s="83" t="s">
        <v>305</v>
      </c>
      <c r="G1797" s="86">
        <f t="shared" si="440"/>
        <v>300950.79999999981</v>
      </c>
      <c r="H1797" s="86">
        <f t="shared" si="441"/>
        <v>244997.26</v>
      </c>
      <c r="I1797" s="171"/>
    </row>
    <row r="1798" spans="1:17">
      <c r="A1798" s="81" t="s">
        <v>306</v>
      </c>
      <c r="B1798" s="145">
        <v>793</v>
      </c>
      <c r="C1798" s="83" t="s">
        <v>23</v>
      </c>
      <c r="D1798" s="83" t="s">
        <v>19</v>
      </c>
      <c r="E1798" s="83" t="s">
        <v>236</v>
      </c>
      <c r="F1798" s="83" t="s">
        <v>307</v>
      </c>
      <c r="G1798" s="86">
        <f>5130000-4829049.2</f>
        <v>300950.79999999981</v>
      </c>
      <c r="H1798" s="86">
        <v>244997.26</v>
      </c>
      <c r="I1798" s="171"/>
    </row>
    <row r="1799" spans="1:17" s="120" customFormat="1">
      <c r="A1799" s="266" t="s">
        <v>74</v>
      </c>
      <c r="B1799" s="257"/>
      <c r="C1799" s="158"/>
      <c r="D1799" s="158"/>
      <c r="E1799" s="158"/>
      <c r="F1799" s="158"/>
      <c r="G1799" s="95">
        <f>G1123++G1276+G1361+G1694+G1449+G1792+G1469+G1667+G1765+G1643+G1688</f>
        <v>335032744.69</v>
      </c>
      <c r="H1799" s="95">
        <f>H1123++H1276+H1361+H1694+H1449+H1792+H1469+H1667+H1765+H1643+H1688</f>
        <v>292523481.58000004</v>
      </c>
      <c r="I1799" s="183"/>
      <c r="J1799" s="199"/>
      <c r="K1799" s="199"/>
      <c r="L1799" s="198"/>
      <c r="M1799" s="198"/>
      <c r="N1799" s="198"/>
      <c r="O1799" s="198"/>
      <c r="P1799" s="199"/>
      <c r="Q1799" s="198"/>
    </row>
    <row r="1800" spans="1:17" s="120" customFormat="1" hidden="1">
      <c r="A1800" s="266"/>
      <c r="B1800" s="257"/>
      <c r="C1800" s="158"/>
      <c r="D1800" s="158"/>
      <c r="E1800" s="158"/>
      <c r="F1800" s="158"/>
      <c r="G1800" s="95"/>
      <c r="H1800" s="95"/>
      <c r="I1800" s="183"/>
      <c r="J1800" s="199"/>
      <c r="K1800" s="199"/>
      <c r="L1800" s="198"/>
      <c r="M1800" s="198"/>
      <c r="N1800" s="198"/>
      <c r="O1800" s="198"/>
      <c r="P1800" s="199"/>
      <c r="Q1800" s="198"/>
    </row>
    <row r="1801" spans="1:17" s="120" customFormat="1" hidden="1">
      <c r="A1801" s="266"/>
      <c r="B1801" s="257"/>
      <c r="C1801" s="158"/>
      <c r="D1801" s="158"/>
      <c r="E1801" s="158"/>
      <c r="F1801" s="158"/>
      <c r="G1801" s="95"/>
      <c r="H1801" s="95"/>
      <c r="I1801" s="183"/>
      <c r="J1801" s="199"/>
      <c r="K1801" s="199"/>
      <c r="L1801" s="198"/>
      <c r="M1801" s="198"/>
      <c r="N1801" s="198"/>
      <c r="O1801" s="199"/>
      <c r="P1801" s="199"/>
      <c r="Q1801" s="198"/>
    </row>
    <row r="1802" spans="1:17" s="120" customFormat="1" hidden="1">
      <c r="A1802" s="266"/>
      <c r="B1802" s="257"/>
      <c r="C1802" s="158"/>
      <c r="D1802" s="158"/>
      <c r="E1802" s="158"/>
      <c r="F1802" s="158"/>
      <c r="G1802" s="95"/>
      <c r="H1802" s="95"/>
      <c r="I1802" s="183"/>
      <c r="J1802" s="199"/>
      <c r="K1802" s="199"/>
      <c r="L1802" s="198"/>
      <c r="M1802" s="198"/>
      <c r="N1802" s="198"/>
      <c r="O1802" s="199"/>
      <c r="P1802" s="199"/>
      <c r="Q1802" s="198"/>
    </row>
    <row r="1803" spans="1:17" s="120" customFormat="1" hidden="1">
      <c r="A1803" s="266"/>
      <c r="B1803" s="257"/>
      <c r="C1803" s="158"/>
      <c r="D1803" s="158"/>
      <c r="E1803" s="158"/>
      <c r="F1803" s="158"/>
      <c r="G1803" s="95"/>
      <c r="H1803" s="95"/>
      <c r="I1803" s="183"/>
      <c r="J1803" s="199"/>
      <c r="K1803" s="199"/>
      <c r="L1803" s="198"/>
      <c r="M1803" s="198"/>
      <c r="N1803" s="198"/>
      <c r="O1803" s="198"/>
      <c r="P1803" s="199"/>
      <c r="Q1803" s="198"/>
    </row>
    <row r="1804" spans="1:17" s="120" customFormat="1" hidden="1">
      <c r="A1804" s="266"/>
      <c r="B1804" s="257"/>
      <c r="C1804" s="158"/>
      <c r="D1804" s="158"/>
      <c r="E1804" s="158"/>
      <c r="F1804" s="158"/>
      <c r="G1804" s="95"/>
      <c r="H1804" s="95"/>
      <c r="I1804" s="183"/>
      <c r="J1804" s="199"/>
      <c r="K1804" s="199"/>
      <c r="L1804" s="198"/>
      <c r="M1804" s="198"/>
      <c r="N1804" s="198"/>
      <c r="O1804" s="198"/>
      <c r="P1804" s="199"/>
      <c r="Q1804" s="198"/>
    </row>
    <row r="1805" spans="1:17" s="120" customFormat="1" hidden="1">
      <c r="A1805" s="266"/>
      <c r="B1805" s="257"/>
      <c r="C1805" s="158"/>
      <c r="D1805" s="158"/>
      <c r="E1805" s="158"/>
      <c r="F1805" s="158"/>
      <c r="G1805" s="95"/>
      <c r="H1805" s="95"/>
      <c r="I1805" s="183"/>
      <c r="J1805" s="199"/>
      <c r="K1805" s="199"/>
      <c r="L1805" s="198"/>
      <c r="M1805" s="198"/>
      <c r="N1805" s="198"/>
      <c r="O1805" s="198"/>
      <c r="P1805" s="199"/>
      <c r="Q1805" s="198"/>
    </row>
    <row r="1806" spans="1:17" s="120" customFormat="1" hidden="1">
      <c r="A1806" s="266"/>
      <c r="B1806" s="257"/>
      <c r="C1806" s="158"/>
      <c r="D1806" s="158"/>
      <c r="E1806" s="158"/>
      <c r="F1806" s="158"/>
      <c r="G1806" s="95"/>
      <c r="H1806" s="95"/>
      <c r="I1806" s="183"/>
      <c r="J1806" s="199"/>
      <c r="K1806" s="199"/>
      <c r="L1806" s="198"/>
      <c r="M1806" s="198"/>
      <c r="N1806" s="198"/>
      <c r="O1806" s="198"/>
      <c r="P1806" s="199"/>
      <c r="Q1806" s="198"/>
    </row>
    <row r="1807" spans="1:17" s="120" customFormat="1" hidden="1">
      <c r="A1807" s="266"/>
      <c r="B1807" s="257"/>
      <c r="C1807" s="158"/>
      <c r="D1807" s="158"/>
      <c r="E1807" s="158"/>
      <c r="F1807" s="158"/>
      <c r="G1807" s="273"/>
      <c r="H1807" s="95"/>
      <c r="I1807" s="183"/>
      <c r="J1807" s="199"/>
      <c r="K1807" s="199"/>
      <c r="L1807" s="198"/>
      <c r="M1807" s="198"/>
      <c r="N1807" s="198"/>
      <c r="O1807" s="198"/>
      <c r="P1807" s="199"/>
      <c r="Q1807" s="198"/>
    </row>
    <row r="1808" spans="1:17" s="120" customFormat="1" hidden="1">
      <c r="A1808" s="266"/>
      <c r="B1808" s="257"/>
      <c r="C1808" s="158"/>
      <c r="D1808" s="158"/>
      <c r="E1808" s="158"/>
      <c r="F1808" s="158"/>
      <c r="G1808" s="95"/>
      <c r="H1808" s="95"/>
      <c r="I1808" s="183"/>
      <c r="J1808" s="199"/>
      <c r="K1808" s="199"/>
      <c r="L1808" s="198"/>
      <c r="M1808" s="198"/>
      <c r="N1808" s="198"/>
      <c r="O1808" s="198"/>
      <c r="P1808" s="199"/>
      <c r="Q1808" s="198"/>
    </row>
    <row r="1809" spans="1:17" s="89" customFormat="1" ht="25.5">
      <c r="A1809" s="302" t="s">
        <v>975</v>
      </c>
      <c r="B1809" s="299">
        <v>794</v>
      </c>
      <c r="C1809" s="306"/>
      <c r="D1809" s="306"/>
      <c r="E1809" s="306"/>
      <c r="F1809" s="306"/>
      <c r="G1809" s="305"/>
      <c r="H1809" s="305"/>
      <c r="I1809" s="188"/>
      <c r="J1809" s="200"/>
      <c r="K1809" s="177"/>
      <c r="L1809" s="177"/>
      <c r="M1809" s="177"/>
      <c r="N1809" s="177"/>
      <c r="O1809" s="177"/>
      <c r="P1809" s="200"/>
      <c r="Q1809" s="177"/>
    </row>
    <row r="1810" spans="1:17">
      <c r="A1810" s="274" t="s">
        <v>18</v>
      </c>
      <c r="B1810" s="257">
        <v>794</v>
      </c>
      <c r="C1810" s="254" t="s">
        <v>19</v>
      </c>
      <c r="D1810" s="254"/>
      <c r="E1810" s="254"/>
      <c r="F1810" s="254"/>
      <c r="G1810" s="251">
        <f>G1811+G2251</f>
        <v>3254488.71</v>
      </c>
      <c r="H1810" s="251">
        <f>H1811+H2251</f>
        <v>3110766.7800000003</v>
      </c>
      <c r="I1810" s="182"/>
    </row>
    <row r="1811" spans="1:17" ht="38.25">
      <c r="A1811" s="81" t="s">
        <v>361</v>
      </c>
      <c r="B1811" s="145">
        <v>794</v>
      </c>
      <c r="C1811" s="83" t="s">
        <v>19</v>
      </c>
      <c r="D1811" s="83" t="s">
        <v>70</v>
      </c>
      <c r="E1811" s="83"/>
      <c r="F1811" s="83"/>
      <c r="G1811" s="86">
        <f>G1812</f>
        <v>3254488.71</v>
      </c>
      <c r="H1811" s="86">
        <f>H1812</f>
        <v>3110766.7800000003</v>
      </c>
      <c r="I1811" s="171"/>
      <c r="J1811" s="200"/>
      <c r="K1811" s="200"/>
    </row>
    <row r="1812" spans="1:17" s="46" customFormat="1">
      <c r="A1812" s="81" t="s">
        <v>362</v>
      </c>
      <c r="B1812" s="145">
        <v>794</v>
      </c>
      <c r="C1812" s="83" t="s">
        <v>19</v>
      </c>
      <c r="D1812" s="83" t="s">
        <v>70</v>
      </c>
      <c r="E1812" s="83" t="s">
        <v>263</v>
      </c>
      <c r="F1812" s="83"/>
      <c r="G1812" s="86">
        <f>G1813+G1817+G1821</f>
        <v>3254488.71</v>
      </c>
      <c r="H1812" s="86">
        <f>H1813+H1817+H1821</f>
        <v>3110766.7800000003</v>
      </c>
      <c r="I1812" s="171"/>
      <c r="J1812" s="213"/>
      <c r="K1812" s="213"/>
      <c r="L1812" s="213"/>
      <c r="M1812" s="213"/>
      <c r="N1812" s="213"/>
      <c r="O1812" s="213"/>
      <c r="P1812" s="213"/>
      <c r="Q1812" s="213"/>
    </row>
    <row r="1813" spans="1:17" s="33" customFormat="1" ht="25.5">
      <c r="A1813" s="81" t="s">
        <v>363</v>
      </c>
      <c r="B1813" s="145">
        <v>794</v>
      </c>
      <c r="C1813" s="83" t="s">
        <v>19</v>
      </c>
      <c r="D1813" s="83" t="s">
        <v>70</v>
      </c>
      <c r="E1813" s="83" t="s">
        <v>264</v>
      </c>
      <c r="F1813" s="163"/>
      <c r="G1813" s="86">
        <f t="shared" ref="G1813:H1815" si="442">G1814</f>
        <v>1575485.85</v>
      </c>
      <c r="H1813" s="86">
        <f t="shared" si="442"/>
        <v>1537773.79</v>
      </c>
      <c r="I1813" s="171"/>
      <c r="J1813" s="202"/>
      <c r="K1813" s="202"/>
      <c r="L1813" s="202"/>
      <c r="M1813" s="202"/>
      <c r="N1813" s="202"/>
      <c r="O1813" s="202"/>
      <c r="P1813" s="202"/>
      <c r="Q1813" s="202"/>
    </row>
    <row r="1814" spans="1:17" s="33" customFormat="1" ht="25.5">
      <c r="A1814" s="81" t="s">
        <v>76</v>
      </c>
      <c r="B1814" s="145">
        <v>794</v>
      </c>
      <c r="C1814" s="83" t="s">
        <v>19</v>
      </c>
      <c r="D1814" s="83" t="s">
        <v>70</v>
      </c>
      <c r="E1814" s="83" t="s">
        <v>265</v>
      </c>
      <c r="F1814" s="83"/>
      <c r="G1814" s="86">
        <f t="shared" si="442"/>
        <v>1575485.85</v>
      </c>
      <c r="H1814" s="86">
        <f t="shared" si="442"/>
        <v>1537773.79</v>
      </c>
      <c r="I1814" s="171"/>
      <c r="J1814" s="202"/>
      <c r="K1814" s="202"/>
      <c r="L1814" s="202"/>
      <c r="M1814" s="202"/>
      <c r="N1814" s="202"/>
      <c r="O1814" s="202"/>
      <c r="P1814" s="202"/>
      <c r="Q1814" s="202"/>
    </row>
    <row r="1815" spans="1:17" s="33" customFormat="1" ht="63.75">
      <c r="A1815" s="142" t="s">
        <v>55</v>
      </c>
      <c r="B1815" s="145">
        <v>794</v>
      </c>
      <c r="C1815" s="83" t="s">
        <v>19</v>
      </c>
      <c r="D1815" s="83" t="s">
        <v>70</v>
      </c>
      <c r="E1815" s="83" t="s">
        <v>265</v>
      </c>
      <c r="F1815" s="83" t="s">
        <v>58</v>
      </c>
      <c r="G1815" s="86">
        <f t="shared" si="442"/>
        <v>1575485.85</v>
      </c>
      <c r="H1815" s="86">
        <f t="shared" si="442"/>
        <v>1537773.79</v>
      </c>
      <c r="I1815" s="171"/>
      <c r="J1815" s="202"/>
      <c r="K1815" s="202"/>
      <c r="L1815" s="202"/>
      <c r="M1815" s="202"/>
      <c r="N1815" s="202"/>
      <c r="O1815" s="202"/>
      <c r="P1815" s="202"/>
      <c r="Q1815" s="202"/>
    </row>
    <row r="1816" spans="1:17" ht="25.5">
      <c r="A1816" s="142" t="s">
        <v>56</v>
      </c>
      <c r="B1816" s="145">
        <v>794</v>
      </c>
      <c r="C1816" s="83" t="s">
        <v>19</v>
      </c>
      <c r="D1816" s="83" t="s">
        <v>70</v>
      </c>
      <c r="E1816" s="83" t="s">
        <v>265</v>
      </c>
      <c r="F1816" s="83" t="s">
        <v>59</v>
      </c>
      <c r="G1816" s="86">
        <f>1176097+310947.04+88441.81</f>
        <v>1575485.85</v>
      </c>
      <c r="H1816" s="86">
        <v>1537773.79</v>
      </c>
      <c r="I1816" s="171"/>
    </row>
    <row r="1817" spans="1:17" s="33" customFormat="1" ht="25.5">
      <c r="A1817" s="81" t="s">
        <v>364</v>
      </c>
      <c r="B1817" s="145">
        <v>794</v>
      </c>
      <c r="C1817" s="83" t="s">
        <v>19</v>
      </c>
      <c r="D1817" s="83" t="s">
        <v>70</v>
      </c>
      <c r="E1817" s="83" t="s">
        <v>266</v>
      </c>
      <c r="F1817" s="163"/>
      <c r="G1817" s="86">
        <f t="shared" ref="G1817:H1819" si="443">G1818</f>
        <v>165512</v>
      </c>
      <c r="H1817" s="86">
        <f t="shared" si="443"/>
        <v>163419.98000000001</v>
      </c>
      <c r="I1817" s="171"/>
      <c r="J1817" s="202"/>
      <c r="K1817" s="202"/>
      <c r="L1817" s="202"/>
      <c r="M1817" s="202"/>
      <c r="N1817" s="202"/>
      <c r="O1817" s="202"/>
      <c r="P1817" s="202"/>
      <c r="Q1817" s="202"/>
    </row>
    <row r="1818" spans="1:17" s="33" customFormat="1" ht="25.5">
      <c r="A1818" s="81" t="s">
        <v>76</v>
      </c>
      <c r="B1818" s="145">
        <v>794</v>
      </c>
      <c r="C1818" s="83" t="s">
        <v>19</v>
      </c>
      <c r="D1818" s="83" t="s">
        <v>70</v>
      </c>
      <c r="E1818" s="83" t="s">
        <v>267</v>
      </c>
      <c r="F1818" s="83"/>
      <c r="G1818" s="86">
        <f>G1819</f>
        <v>165512</v>
      </c>
      <c r="H1818" s="86">
        <f t="shared" si="443"/>
        <v>163419.98000000001</v>
      </c>
      <c r="I1818" s="171"/>
      <c r="J1818" s="202"/>
      <c r="K1818" s="202"/>
      <c r="L1818" s="202"/>
      <c r="M1818" s="202"/>
      <c r="N1818" s="202"/>
      <c r="O1818" s="202"/>
      <c r="P1818" s="202"/>
      <c r="Q1818" s="202"/>
    </row>
    <row r="1819" spans="1:17" s="33" customFormat="1" ht="63.75">
      <c r="A1819" s="142" t="s">
        <v>55</v>
      </c>
      <c r="B1819" s="145">
        <v>794</v>
      </c>
      <c r="C1819" s="83" t="s">
        <v>19</v>
      </c>
      <c r="D1819" s="83" t="s">
        <v>70</v>
      </c>
      <c r="E1819" s="83" t="s">
        <v>267</v>
      </c>
      <c r="F1819" s="83" t="s">
        <v>58</v>
      </c>
      <c r="G1819" s="86">
        <f t="shared" si="443"/>
        <v>165512</v>
      </c>
      <c r="H1819" s="86">
        <f t="shared" si="443"/>
        <v>163419.98000000001</v>
      </c>
      <c r="I1819" s="171"/>
      <c r="J1819" s="212"/>
      <c r="K1819" s="202"/>
      <c r="L1819" s="202"/>
      <c r="M1819" s="202"/>
      <c r="N1819" s="202"/>
      <c r="O1819" s="202"/>
      <c r="P1819" s="202"/>
      <c r="Q1819" s="202"/>
    </row>
    <row r="1820" spans="1:17" s="33" customFormat="1" ht="25.5">
      <c r="A1820" s="142" t="s">
        <v>56</v>
      </c>
      <c r="B1820" s="145">
        <v>794</v>
      </c>
      <c r="C1820" s="83" t="s">
        <v>19</v>
      </c>
      <c r="D1820" s="83" t="s">
        <v>70</v>
      </c>
      <c r="E1820" s="83" t="s">
        <v>267</v>
      </c>
      <c r="F1820" s="83" t="s">
        <v>59</v>
      </c>
      <c r="G1820" s="86">
        <f>505512-340000</f>
        <v>165512</v>
      </c>
      <c r="H1820" s="86">
        <v>163419.98000000001</v>
      </c>
      <c r="I1820" s="171"/>
      <c r="J1820" s="202"/>
      <c r="K1820" s="202"/>
      <c r="L1820" s="212"/>
      <c r="M1820" s="202"/>
      <c r="N1820" s="202"/>
      <c r="O1820" s="202"/>
      <c r="P1820" s="202"/>
      <c r="Q1820" s="202"/>
    </row>
    <row r="1821" spans="1:17" ht="25.5">
      <c r="A1821" s="142" t="s">
        <v>365</v>
      </c>
      <c r="B1821" s="145">
        <v>794</v>
      </c>
      <c r="C1821" s="83" t="s">
        <v>19</v>
      </c>
      <c r="D1821" s="83" t="s">
        <v>70</v>
      </c>
      <c r="E1821" s="83" t="s">
        <v>268</v>
      </c>
      <c r="F1821" s="83"/>
      <c r="G1821" s="86">
        <f>G1822</f>
        <v>1513490.8599999999</v>
      </c>
      <c r="H1821" s="86">
        <f>H1822</f>
        <v>1409573.01</v>
      </c>
      <c r="I1821" s="171"/>
      <c r="P1821" s="202"/>
    </row>
    <row r="1822" spans="1:17" s="33" customFormat="1" ht="25.5">
      <c r="A1822" s="81" t="s">
        <v>76</v>
      </c>
      <c r="B1822" s="145">
        <v>794</v>
      </c>
      <c r="C1822" s="83" t="s">
        <v>19</v>
      </c>
      <c r="D1822" s="83" t="s">
        <v>70</v>
      </c>
      <c r="E1822" s="83" t="s">
        <v>269</v>
      </c>
      <c r="F1822" s="163"/>
      <c r="G1822" s="86">
        <f>G1823+G1825</f>
        <v>1513490.8599999999</v>
      </c>
      <c r="H1822" s="86">
        <f t="shared" ref="H1822" si="444">H1823+H1825</f>
        <v>1409573.01</v>
      </c>
      <c r="I1822" s="171"/>
      <c r="J1822" s="202"/>
      <c r="K1822" s="202"/>
      <c r="L1822" s="202"/>
      <c r="M1822" s="202"/>
      <c r="N1822" s="202"/>
      <c r="O1822" s="202"/>
      <c r="P1822" s="202"/>
      <c r="Q1822" s="202"/>
    </row>
    <row r="1823" spans="1:17" ht="63.75">
      <c r="A1823" s="142" t="s">
        <v>55</v>
      </c>
      <c r="B1823" s="145">
        <v>794</v>
      </c>
      <c r="C1823" s="83" t="s">
        <v>19</v>
      </c>
      <c r="D1823" s="83" t="s">
        <v>70</v>
      </c>
      <c r="E1823" s="83" t="s">
        <v>269</v>
      </c>
      <c r="F1823" s="83" t="s">
        <v>58</v>
      </c>
      <c r="G1823" s="86">
        <f>G1824</f>
        <v>1168379.71</v>
      </c>
      <c r="H1823" s="86">
        <f>H1824</f>
        <v>1127447.22</v>
      </c>
      <c r="I1823" s="171"/>
      <c r="P1823" s="202"/>
    </row>
    <row r="1824" spans="1:17" ht="25.5">
      <c r="A1824" s="142" t="s">
        <v>56</v>
      </c>
      <c r="B1824" s="145">
        <v>794</v>
      </c>
      <c r="C1824" s="83" t="s">
        <v>19</v>
      </c>
      <c r="D1824" s="83" t="s">
        <v>70</v>
      </c>
      <c r="E1824" s="83" t="s">
        <v>269</v>
      </c>
      <c r="F1824" s="83" t="s">
        <v>59</v>
      </c>
      <c r="G1824" s="86">
        <f>1569173-350793.29-50000</f>
        <v>1168379.71</v>
      </c>
      <c r="H1824" s="86">
        <v>1127447.22</v>
      </c>
      <c r="I1824" s="171"/>
      <c r="P1824" s="202"/>
    </row>
    <row r="1825" spans="1:17" ht="25.5">
      <c r="A1825" s="81" t="s">
        <v>36</v>
      </c>
      <c r="B1825" s="145">
        <v>794</v>
      </c>
      <c r="C1825" s="83" t="s">
        <v>19</v>
      </c>
      <c r="D1825" s="83" t="s">
        <v>70</v>
      </c>
      <c r="E1825" s="83" t="s">
        <v>269</v>
      </c>
      <c r="F1825" s="83" t="s">
        <v>37</v>
      </c>
      <c r="G1825" s="86">
        <f>G1826</f>
        <v>345111.15</v>
      </c>
      <c r="H1825" s="86">
        <f>H1826</f>
        <v>282125.78999999998</v>
      </c>
      <c r="I1825" s="171"/>
      <c r="P1825" s="202"/>
    </row>
    <row r="1826" spans="1:17" ht="25.5">
      <c r="A1826" s="81" t="s">
        <v>38</v>
      </c>
      <c r="B1826" s="145">
        <v>794</v>
      </c>
      <c r="C1826" s="83" t="s">
        <v>19</v>
      </c>
      <c r="D1826" s="83" t="s">
        <v>70</v>
      </c>
      <c r="E1826" s="83" t="s">
        <v>269</v>
      </c>
      <c r="F1826" s="83" t="s">
        <v>39</v>
      </c>
      <c r="G1826" s="86">
        <f>354500-9388.85</f>
        <v>345111.15</v>
      </c>
      <c r="H1826" s="86">
        <v>282125.78999999998</v>
      </c>
      <c r="I1826" s="171"/>
      <c r="P1826" s="202"/>
    </row>
    <row r="1827" spans="1:17" s="120" customFormat="1">
      <c r="A1827" s="266" t="s">
        <v>74</v>
      </c>
      <c r="B1827" s="257"/>
      <c r="C1827" s="158"/>
      <c r="D1827" s="158"/>
      <c r="E1827" s="158"/>
      <c r="F1827" s="158"/>
      <c r="G1827" s="95">
        <f>G1810</f>
        <v>3254488.71</v>
      </c>
      <c r="H1827" s="95">
        <f t="shared" ref="H1827" si="445">H1810</f>
        <v>3110766.7800000003</v>
      </c>
      <c r="I1827" s="183"/>
      <c r="J1827" s="198"/>
      <c r="K1827" s="198"/>
      <c r="L1827" s="198"/>
      <c r="M1827" s="198"/>
      <c r="N1827" s="198"/>
      <c r="O1827" s="198"/>
      <c r="P1827" s="198"/>
      <c r="Q1827" s="198"/>
    </row>
    <row r="1828" spans="1:17" s="120" customFormat="1" ht="38.25" hidden="1">
      <c r="A1828" s="261" t="s">
        <v>400</v>
      </c>
      <c r="B1828" s="257">
        <v>795</v>
      </c>
      <c r="C1828" s="158"/>
      <c r="D1828" s="158"/>
      <c r="E1828" s="158"/>
      <c r="F1828" s="158"/>
      <c r="G1828" s="95"/>
      <c r="H1828" s="95"/>
      <c r="I1828" s="183"/>
      <c r="J1828" s="198"/>
      <c r="K1828" s="198"/>
      <c r="L1828" s="198"/>
      <c r="M1828" s="198"/>
      <c r="N1828" s="198"/>
      <c r="O1828" s="198"/>
      <c r="P1828" s="198"/>
      <c r="Q1828" s="198"/>
    </row>
    <row r="1829" spans="1:17" hidden="1">
      <c r="A1829" s="259" t="s">
        <v>18</v>
      </c>
      <c r="B1829" s="257">
        <v>795</v>
      </c>
      <c r="C1829" s="254" t="s">
        <v>19</v>
      </c>
      <c r="D1829" s="254"/>
      <c r="E1829" s="254"/>
      <c r="F1829" s="254"/>
      <c r="G1829" s="251">
        <f>G1830</f>
        <v>0</v>
      </c>
      <c r="H1829" s="251">
        <f t="shared" ref="H1829" si="446">H1830</f>
        <v>0</v>
      </c>
      <c r="I1829" s="182"/>
      <c r="J1829" s="198"/>
      <c r="K1829" s="198"/>
    </row>
    <row r="1830" spans="1:17" hidden="1">
      <c r="A1830" s="133" t="s">
        <v>22</v>
      </c>
      <c r="B1830" s="145">
        <v>795</v>
      </c>
      <c r="C1830" s="83" t="s">
        <v>19</v>
      </c>
      <c r="D1830" s="83" t="s">
        <v>23</v>
      </c>
      <c r="E1830" s="83"/>
      <c r="F1830" s="83"/>
      <c r="G1830" s="86">
        <f>G1831</f>
        <v>0</v>
      </c>
      <c r="H1830" s="86">
        <f t="shared" ref="H1830" si="447">H1831</f>
        <v>0</v>
      </c>
      <c r="I1830" s="171"/>
      <c r="J1830" s="198"/>
      <c r="K1830" s="198"/>
    </row>
    <row r="1831" spans="1:17" ht="25.5" hidden="1" customHeight="1">
      <c r="A1831" s="81" t="s">
        <v>164</v>
      </c>
      <c r="B1831" s="82">
        <v>795</v>
      </c>
      <c r="C1831" s="83" t="s">
        <v>19</v>
      </c>
      <c r="D1831" s="83" t="s">
        <v>23</v>
      </c>
      <c r="E1831" s="83" t="s">
        <v>210</v>
      </c>
      <c r="F1831" s="83"/>
      <c r="G1831" s="86">
        <f t="shared" ref="G1831:H1832" si="448">G1832</f>
        <v>0</v>
      </c>
      <c r="H1831" s="86">
        <f t="shared" si="448"/>
        <v>0</v>
      </c>
      <c r="I1831" s="171"/>
      <c r="J1831" s="198"/>
      <c r="K1831" s="198"/>
    </row>
    <row r="1832" spans="1:17" ht="27" hidden="1" customHeight="1">
      <c r="A1832" s="81" t="s">
        <v>404</v>
      </c>
      <c r="B1832" s="82">
        <v>795</v>
      </c>
      <c r="C1832" s="83" t="s">
        <v>19</v>
      </c>
      <c r="D1832" s="83" t="s">
        <v>23</v>
      </c>
      <c r="E1832" s="83" t="s">
        <v>403</v>
      </c>
      <c r="F1832" s="83"/>
      <c r="G1832" s="86">
        <f t="shared" si="448"/>
        <v>0</v>
      </c>
      <c r="H1832" s="86">
        <f t="shared" si="448"/>
        <v>0</v>
      </c>
      <c r="I1832" s="171"/>
      <c r="J1832" s="198"/>
      <c r="K1832" s="198"/>
    </row>
    <row r="1833" spans="1:17" ht="19.5" hidden="1" customHeight="1">
      <c r="A1833" s="81" t="s">
        <v>63</v>
      </c>
      <c r="B1833" s="82">
        <v>795</v>
      </c>
      <c r="C1833" s="83" t="s">
        <v>19</v>
      </c>
      <c r="D1833" s="83" t="s">
        <v>23</v>
      </c>
      <c r="E1833" s="83" t="s">
        <v>403</v>
      </c>
      <c r="F1833" s="83" t="s">
        <v>64</v>
      </c>
      <c r="G1833" s="86">
        <f>G1834</f>
        <v>0</v>
      </c>
      <c r="H1833" s="86">
        <v>0</v>
      </c>
      <c r="I1833" s="171"/>
      <c r="J1833" s="198"/>
      <c r="K1833" s="198"/>
    </row>
    <row r="1834" spans="1:17" ht="18.75" hidden="1" customHeight="1">
      <c r="A1834" s="81" t="s">
        <v>328</v>
      </c>
      <c r="B1834" s="82">
        <v>795</v>
      </c>
      <c r="C1834" s="83" t="s">
        <v>19</v>
      </c>
      <c r="D1834" s="83" t="s">
        <v>23</v>
      </c>
      <c r="E1834" s="83" t="s">
        <v>403</v>
      </c>
      <c r="F1834" s="83" t="s">
        <v>327</v>
      </c>
      <c r="G1834" s="86"/>
      <c r="H1834" s="86">
        <v>0</v>
      </c>
      <c r="I1834" s="171"/>
      <c r="J1834" s="198"/>
      <c r="K1834" s="198"/>
    </row>
    <row r="1835" spans="1:17" s="22" customFormat="1" hidden="1">
      <c r="A1835" s="252" t="s">
        <v>86</v>
      </c>
      <c r="B1835" s="257">
        <v>795</v>
      </c>
      <c r="C1835" s="158" t="s">
        <v>54</v>
      </c>
      <c r="D1835" s="158"/>
      <c r="E1835" s="158"/>
      <c r="F1835" s="158"/>
      <c r="G1835" s="95">
        <f>G1921+G1836</f>
        <v>0</v>
      </c>
      <c r="H1835" s="95">
        <f>H1921+H1836</f>
        <v>0</v>
      </c>
      <c r="I1835" s="183"/>
      <c r="J1835" s="198"/>
      <c r="K1835" s="198"/>
      <c r="L1835" s="198"/>
      <c r="M1835" s="198"/>
      <c r="N1835" s="198"/>
      <c r="O1835" s="198"/>
      <c r="P1835" s="198"/>
      <c r="Q1835" s="198"/>
    </row>
    <row r="1836" spans="1:17" s="3" customFormat="1" hidden="1">
      <c r="A1836" s="275" t="s">
        <v>172</v>
      </c>
      <c r="B1836" s="257">
        <v>795</v>
      </c>
      <c r="C1836" s="152" t="s">
        <v>54</v>
      </c>
      <c r="D1836" s="152" t="s">
        <v>123</v>
      </c>
      <c r="E1836" s="152"/>
      <c r="F1836" s="152"/>
      <c r="G1836" s="153">
        <f>G1837+G1905+G1912+G1915</f>
        <v>0</v>
      </c>
      <c r="H1836" s="153">
        <f>H1837+H1905+H1909</f>
        <v>0</v>
      </c>
      <c r="I1836" s="187"/>
      <c r="J1836" s="198"/>
      <c r="K1836" s="198"/>
      <c r="L1836" s="190"/>
      <c r="M1836" s="190"/>
      <c r="N1836" s="190"/>
      <c r="O1836" s="190"/>
      <c r="P1836" s="190"/>
      <c r="Q1836" s="190"/>
    </row>
    <row r="1837" spans="1:17" s="18" customFormat="1" ht="27" hidden="1" customHeight="1">
      <c r="A1837" s="81" t="s">
        <v>484</v>
      </c>
      <c r="B1837" s="82">
        <v>795</v>
      </c>
      <c r="C1837" s="83" t="s">
        <v>54</v>
      </c>
      <c r="D1837" s="83" t="s">
        <v>123</v>
      </c>
      <c r="E1837" s="83" t="s">
        <v>234</v>
      </c>
      <c r="F1837" s="83"/>
      <c r="G1837" s="86">
        <f>G1838+G1866+G1893+G1887</f>
        <v>0</v>
      </c>
      <c r="H1837" s="86">
        <f t="shared" ref="H1837" si="449">H1838+H1866+H1893+H1887</f>
        <v>0</v>
      </c>
      <c r="I1837" s="171"/>
      <c r="J1837" s="187"/>
      <c r="K1837" s="187"/>
      <c r="L1837" s="171"/>
      <c r="M1837" s="171"/>
      <c r="N1837" s="171"/>
      <c r="O1837" s="191"/>
      <c r="P1837" s="206"/>
      <c r="Q1837" s="191"/>
    </row>
    <row r="1838" spans="1:17" s="18" customFormat="1" ht="75" hidden="1" customHeight="1">
      <c r="A1838" s="129" t="s">
        <v>388</v>
      </c>
      <c r="B1838" s="82">
        <v>795</v>
      </c>
      <c r="C1838" s="83" t="s">
        <v>54</v>
      </c>
      <c r="D1838" s="83" t="s">
        <v>123</v>
      </c>
      <c r="E1838" s="83" t="s">
        <v>101</v>
      </c>
      <c r="F1838" s="83"/>
      <c r="G1838" s="86">
        <f>G1842+G1845+G1856+G1851+G1848+G1863+G1839</f>
        <v>0</v>
      </c>
      <c r="H1838" s="86">
        <f t="shared" ref="H1838" si="450">H1842+H1845+H1856+H1851+H1848+H1863+H1839</f>
        <v>0</v>
      </c>
      <c r="I1838" s="171"/>
      <c r="J1838" s="193"/>
      <c r="K1838" s="193"/>
      <c r="L1838" s="191"/>
      <c r="M1838" s="191"/>
      <c r="N1838" s="191"/>
      <c r="O1838" s="191"/>
      <c r="P1838" s="206"/>
      <c r="Q1838" s="191"/>
    </row>
    <row r="1839" spans="1:17" s="18" customFormat="1" ht="76.5" hidden="1" customHeight="1">
      <c r="A1839" s="129" t="s">
        <v>662</v>
      </c>
      <c r="B1839" s="82">
        <v>795</v>
      </c>
      <c r="C1839" s="83" t="s">
        <v>54</v>
      </c>
      <c r="D1839" s="83" t="s">
        <v>123</v>
      </c>
      <c r="E1839" s="83" t="s">
        <v>661</v>
      </c>
      <c r="F1839" s="83"/>
      <c r="G1839" s="86">
        <f t="shared" ref="G1839:H1840" si="451">G1840</f>
        <v>0</v>
      </c>
      <c r="H1839" s="86">
        <f t="shared" si="451"/>
        <v>0</v>
      </c>
      <c r="I1839" s="171"/>
      <c r="J1839" s="193"/>
      <c r="K1839" s="193"/>
      <c r="L1839" s="191"/>
      <c r="M1839" s="191"/>
      <c r="N1839" s="191"/>
      <c r="O1839" s="191"/>
      <c r="P1839" s="191"/>
      <c r="Q1839" s="191"/>
    </row>
    <row r="1840" spans="1:17" s="18" customFormat="1" ht="15" hidden="1" customHeight="1">
      <c r="A1840" s="81" t="s">
        <v>323</v>
      </c>
      <c r="B1840" s="82">
        <v>795</v>
      </c>
      <c r="C1840" s="83" t="s">
        <v>54</v>
      </c>
      <c r="D1840" s="83" t="s">
        <v>123</v>
      </c>
      <c r="E1840" s="83" t="s">
        <v>661</v>
      </c>
      <c r="F1840" s="83" t="s">
        <v>37</v>
      </c>
      <c r="G1840" s="86">
        <f t="shared" si="451"/>
        <v>0</v>
      </c>
      <c r="H1840" s="86">
        <f t="shared" si="451"/>
        <v>0</v>
      </c>
      <c r="I1840" s="171"/>
      <c r="J1840" s="193"/>
      <c r="K1840" s="193"/>
      <c r="L1840" s="191"/>
      <c r="M1840" s="191"/>
      <c r="N1840" s="191"/>
      <c r="O1840" s="191"/>
      <c r="P1840" s="191"/>
      <c r="Q1840" s="191"/>
    </row>
    <row r="1841" spans="1:17" s="18" customFormat="1" ht="32.25" hidden="1" customHeight="1">
      <c r="A1841" s="81" t="s">
        <v>38</v>
      </c>
      <c r="B1841" s="82">
        <v>795</v>
      </c>
      <c r="C1841" s="83" t="s">
        <v>54</v>
      </c>
      <c r="D1841" s="83" t="s">
        <v>123</v>
      </c>
      <c r="E1841" s="83" t="s">
        <v>661</v>
      </c>
      <c r="F1841" s="83" t="s">
        <v>39</v>
      </c>
      <c r="G1841" s="86"/>
      <c r="H1841" s="86"/>
      <c r="I1841" s="171"/>
      <c r="J1841" s="193"/>
      <c r="K1841" s="193"/>
      <c r="L1841" s="191"/>
      <c r="M1841" s="191"/>
      <c r="N1841" s="191"/>
      <c r="O1841" s="191"/>
      <c r="P1841" s="191"/>
      <c r="Q1841" s="191"/>
    </row>
    <row r="1842" spans="1:17" s="18" customFormat="1" ht="41.25" hidden="1" customHeight="1">
      <c r="A1842" s="129" t="s">
        <v>389</v>
      </c>
      <c r="B1842" s="82">
        <v>795</v>
      </c>
      <c r="C1842" s="83" t="s">
        <v>54</v>
      </c>
      <c r="D1842" s="83" t="s">
        <v>123</v>
      </c>
      <c r="E1842" s="83" t="s">
        <v>102</v>
      </c>
      <c r="F1842" s="83"/>
      <c r="G1842" s="86">
        <f t="shared" ref="G1842:H1843" si="452">G1843</f>
        <v>0</v>
      </c>
      <c r="H1842" s="86">
        <f t="shared" si="452"/>
        <v>0</v>
      </c>
      <c r="I1842" s="171"/>
      <c r="J1842" s="193"/>
      <c r="K1842" s="193"/>
      <c r="L1842" s="191"/>
      <c r="M1842" s="191"/>
      <c r="N1842" s="191"/>
      <c r="O1842" s="191"/>
      <c r="P1842" s="191"/>
      <c r="Q1842" s="191"/>
    </row>
    <row r="1843" spans="1:17" s="18" customFormat="1" ht="15" hidden="1" customHeight="1">
      <c r="A1843" s="81" t="s">
        <v>323</v>
      </c>
      <c r="B1843" s="82">
        <v>795</v>
      </c>
      <c r="C1843" s="83" t="s">
        <v>54</v>
      </c>
      <c r="D1843" s="83" t="s">
        <v>123</v>
      </c>
      <c r="E1843" s="83" t="s">
        <v>102</v>
      </c>
      <c r="F1843" s="83" t="s">
        <v>37</v>
      </c>
      <c r="G1843" s="86">
        <f t="shared" si="452"/>
        <v>0</v>
      </c>
      <c r="H1843" s="86">
        <f t="shared" si="452"/>
        <v>0</v>
      </c>
      <c r="I1843" s="171"/>
      <c r="J1843" s="193"/>
      <c r="K1843" s="193"/>
      <c r="L1843" s="191"/>
      <c r="M1843" s="191"/>
      <c r="N1843" s="191"/>
      <c r="O1843" s="191"/>
      <c r="P1843" s="191"/>
      <c r="Q1843" s="191"/>
    </row>
    <row r="1844" spans="1:17" s="18" customFormat="1" ht="32.25" hidden="1" customHeight="1">
      <c r="A1844" s="81" t="s">
        <v>38</v>
      </c>
      <c r="B1844" s="82">
        <v>795</v>
      </c>
      <c r="C1844" s="83" t="s">
        <v>54</v>
      </c>
      <c r="D1844" s="83" t="s">
        <v>123</v>
      </c>
      <c r="E1844" s="83" t="s">
        <v>102</v>
      </c>
      <c r="F1844" s="83" t="s">
        <v>39</v>
      </c>
      <c r="G1844" s="86"/>
      <c r="H1844" s="86"/>
      <c r="I1844" s="171"/>
      <c r="J1844" s="193"/>
      <c r="K1844" s="193"/>
      <c r="L1844" s="191"/>
      <c r="M1844" s="191"/>
      <c r="N1844" s="191"/>
      <c r="O1844" s="191"/>
      <c r="P1844" s="191"/>
      <c r="Q1844" s="191"/>
    </row>
    <row r="1845" spans="1:17" ht="63" hidden="1" customHeight="1">
      <c r="A1845" s="129" t="s">
        <v>388</v>
      </c>
      <c r="B1845" s="82">
        <v>795</v>
      </c>
      <c r="C1845" s="83" t="s">
        <v>54</v>
      </c>
      <c r="D1845" s="83" t="s">
        <v>123</v>
      </c>
      <c r="E1845" s="83" t="s">
        <v>132</v>
      </c>
      <c r="F1845" s="83"/>
      <c r="G1845" s="86">
        <f>G1846</f>
        <v>0</v>
      </c>
      <c r="H1845" s="86">
        <f t="shared" ref="H1845" si="453">H1846</f>
        <v>0</v>
      </c>
      <c r="I1845" s="171"/>
      <c r="J1845" s="198"/>
      <c r="K1845" s="198"/>
      <c r="L1845" s="200"/>
    </row>
    <row r="1846" spans="1:17" ht="15" hidden="1" customHeight="1">
      <c r="A1846" s="81" t="s">
        <v>156</v>
      </c>
      <c r="B1846" s="82">
        <v>795</v>
      </c>
      <c r="C1846" s="83" t="s">
        <v>54</v>
      </c>
      <c r="D1846" s="83" t="s">
        <v>123</v>
      </c>
      <c r="E1846" s="83" t="s">
        <v>130</v>
      </c>
      <c r="F1846" s="83" t="s">
        <v>157</v>
      </c>
      <c r="G1846" s="86">
        <f>G1847</f>
        <v>0</v>
      </c>
      <c r="H1846" s="86">
        <f>H1847</f>
        <v>0</v>
      </c>
      <c r="I1846" s="171"/>
      <c r="J1846" s="198"/>
      <c r="K1846" s="198"/>
    </row>
    <row r="1847" spans="1:17" ht="15" hidden="1" customHeight="1">
      <c r="A1847" s="81" t="s">
        <v>178</v>
      </c>
      <c r="B1847" s="82">
        <v>795</v>
      </c>
      <c r="C1847" s="83" t="s">
        <v>54</v>
      </c>
      <c r="D1847" s="83" t="s">
        <v>123</v>
      </c>
      <c r="E1847" s="83" t="s">
        <v>130</v>
      </c>
      <c r="F1847" s="83" t="s">
        <v>179</v>
      </c>
      <c r="G1847" s="86"/>
      <c r="H1847" s="86"/>
      <c r="I1847" s="171"/>
      <c r="J1847" s="198"/>
      <c r="K1847" s="198"/>
    </row>
    <row r="1848" spans="1:17" ht="81.75" hidden="1" customHeight="1">
      <c r="A1848" s="129" t="s">
        <v>420</v>
      </c>
      <c r="B1848" s="82">
        <v>795</v>
      </c>
      <c r="C1848" s="83" t="s">
        <v>54</v>
      </c>
      <c r="D1848" s="83" t="s">
        <v>123</v>
      </c>
      <c r="E1848" s="83" t="s">
        <v>133</v>
      </c>
      <c r="F1848" s="83"/>
      <c r="G1848" s="86">
        <f>G1849</f>
        <v>0</v>
      </c>
      <c r="H1848" s="86">
        <v>0</v>
      </c>
      <c r="I1848" s="171"/>
      <c r="J1848" s="198"/>
      <c r="K1848" s="198"/>
    </row>
    <row r="1849" spans="1:17" ht="24" hidden="1" customHeight="1">
      <c r="A1849" s="81" t="s">
        <v>323</v>
      </c>
      <c r="B1849" s="82">
        <v>795</v>
      </c>
      <c r="C1849" s="83" t="s">
        <v>54</v>
      </c>
      <c r="D1849" s="83" t="s">
        <v>123</v>
      </c>
      <c r="E1849" s="83" t="s">
        <v>131</v>
      </c>
      <c r="F1849" s="83" t="s">
        <v>37</v>
      </c>
      <c r="G1849" s="86">
        <f>G1850</f>
        <v>0</v>
      </c>
      <c r="H1849" s="86">
        <v>0</v>
      </c>
      <c r="I1849" s="171"/>
      <c r="J1849" s="198"/>
      <c r="K1849" s="198"/>
    </row>
    <row r="1850" spans="1:17" ht="41.25" hidden="1" customHeight="1">
      <c r="A1850" s="81" t="s">
        <v>38</v>
      </c>
      <c r="B1850" s="82">
        <v>795</v>
      </c>
      <c r="C1850" s="83" t="s">
        <v>54</v>
      </c>
      <c r="D1850" s="83" t="s">
        <v>123</v>
      </c>
      <c r="E1850" s="83" t="s">
        <v>131</v>
      </c>
      <c r="F1850" s="83" t="s">
        <v>39</v>
      </c>
      <c r="G1850" s="86"/>
      <c r="H1850" s="86">
        <v>0</v>
      </c>
      <c r="I1850" s="171"/>
      <c r="J1850" s="198"/>
      <c r="K1850" s="198"/>
    </row>
    <row r="1851" spans="1:17" ht="78" hidden="1" customHeight="1">
      <c r="A1851" s="129" t="s">
        <v>525</v>
      </c>
      <c r="B1851" s="82">
        <v>795</v>
      </c>
      <c r="C1851" s="83" t="s">
        <v>54</v>
      </c>
      <c r="D1851" s="83" t="s">
        <v>123</v>
      </c>
      <c r="E1851" s="83" t="s">
        <v>524</v>
      </c>
      <c r="F1851" s="83"/>
      <c r="G1851" s="86">
        <f>G1852+G1854</f>
        <v>0</v>
      </c>
      <c r="H1851" s="86">
        <v>0</v>
      </c>
      <c r="I1851" s="171"/>
      <c r="J1851" s="198"/>
      <c r="K1851" s="198"/>
    </row>
    <row r="1852" spans="1:17" ht="18" hidden="1" customHeight="1">
      <c r="A1852" s="81" t="s">
        <v>323</v>
      </c>
      <c r="B1852" s="82">
        <v>795</v>
      </c>
      <c r="C1852" s="83" t="s">
        <v>54</v>
      </c>
      <c r="D1852" s="83" t="s">
        <v>123</v>
      </c>
      <c r="E1852" s="83" t="s">
        <v>523</v>
      </c>
      <c r="F1852" s="83" t="s">
        <v>37</v>
      </c>
      <c r="G1852" s="86">
        <f>G1853</f>
        <v>0</v>
      </c>
      <c r="H1852" s="86">
        <v>0</v>
      </c>
      <c r="I1852" s="171"/>
      <c r="J1852" s="198"/>
      <c r="K1852" s="198"/>
    </row>
    <row r="1853" spans="1:17" ht="27.75" hidden="1" customHeight="1">
      <c r="A1853" s="81" t="s">
        <v>38</v>
      </c>
      <c r="B1853" s="82">
        <v>795</v>
      </c>
      <c r="C1853" s="83" t="s">
        <v>54</v>
      </c>
      <c r="D1853" s="83" t="s">
        <v>123</v>
      </c>
      <c r="E1853" s="83" t="s">
        <v>523</v>
      </c>
      <c r="F1853" s="83" t="s">
        <v>39</v>
      </c>
      <c r="G1853" s="86"/>
      <c r="H1853" s="86">
        <v>0</v>
      </c>
      <c r="I1853" s="171"/>
      <c r="J1853" s="198"/>
      <c r="K1853" s="198"/>
    </row>
    <row r="1854" spans="1:17" ht="36.75" hidden="1" customHeight="1">
      <c r="A1854" s="81" t="s">
        <v>96</v>
      </c>
      <c r="B1854" s="82">
        <v>795</v>
      </c>
      <c r="C1854" s="83" t="s">
        <v>54</v>
      </c>
      <c r="D1854" s="83" t="s">
        <v>123</v>
      </c>
      <c r="E1854" s="83" t="s">
        <v>523</v>
      </c>
      <c r="F1854" s="83" t="s">
        <v>348</v>
      </c>
      <c r="G1854" s="86">
        <f>G1855</f>
        <v>0</v>
      </c>
      <c r="H1854" s="86">
        <v>0</v>
      </c>
      <c r="I1854" s="171"/>
      <c r="J1854" s="198"/>
      <c r="K1854" s="198"/>
    </row>
    <row r="1855" spans="1:17" ht="27.75" hidden="1" customHeight="1">
      <c r="A1855" s="81" t="s">
        <v>349</v>
      </c>
      <c r="B1855" s="82">
        <v>795</v>
      </c>
      <c r="C1855" s="83" t="s">
        <v>54</v>
      </c>
      <c r="D1855" s="83" t="s">
        <v>123</v>
      </c>
      <c r="E1855" s="83" t="s">
        <v>523</v>
      </c>
      <c r="F1855" s="83" t="s">
        <v>350</v>
      </c>
      <c r="G1855" s="86"/>
      <c r="H1855" s="86"/>
      <c r="I1855" s="171"/>
      <c r="J1855" s="198"/>
      <c r="K1855" s="198"/>
    </row>
    <row r="1856" spans="1:17" s="18" customFormat="1" ht="62.25" hidden="1" customHeight="1">
      <c r="A1856" s="81" t="s">
        <v>522</v>
      </c>
      <c r="B1856" s="82">
        <v>795</v>
      </c>
      <c r="C1856" s="83" t="s">
        <v>54</v>
      </c>
      <c r="D1856" s="83" t="s">
        <v>123</v>
      </c>
      <c r="E1856" s="83" t="s">
        <v>187</v>
      </c>
      <c r="F1856" s="83"/>
      <c r="G1856" s="86">
        <f>G1857+G1861+G1860</f>
        <v>0</v>
      </c>
      <c r="H1856" s="86">
        <v>0</v>
      </c>
      <c r="I1856" s="171"/>
      <c r="J1856" s="193"/>
      <c r="K1856" s="193"/>
      <c r="L1856" s="191"/>
      <c r="M1856" s="191"/>
      <c r="N1856" s="191"/>
      <c r="O1856" s="191"/>
      <c r="P1856" s="191"/>
      <c r="Q1856" s="191"/>
    </row>
    <row r="1857" spans="1:17" s="18" customFormat="1" ht="32.25" hidden="1" customHeight="1">
      <c r="A1857" s="81" t="s">
        <v>323</v>
      </c>
      <c r="B1857" s="82">
        <v>795</v>
      </c>
      <c r="C1857" s="83" t="s">
        <v>54</v>
      </c>
      <c r="D1857" s="83" t="s">
        <v>123</v>
      </c>
      <c r="E1857" s="83" t="s">
        <v>187</v>
      </c>
      <c r="F1857" s="83" t="s">
        <v>37</v>
      </c>
      <c r="G1857" s="86">
        <f>G1858</f>
        <v>0</v>
      </c>
      <c r="H1857" s="86">
        <v>0</v>
      </c>
      <c r="I1857" s="171"/>
      <c r="J1857" s="193"/>
      <c r="K1857" s="193"/>
      <c r="L1857" s="191"/>
      <c r="M1857" s="191"/>
      <c r="N1857" s="191"/>
      <c r="O1857" s="191"/>
      <c r="P1857" s="191"/>
      <c r="Q1857" s="191"/>
    </row>
    <row r="1858" spans="1:17" s="18" customFormat="1" ht="32.25" hidden="1" customHeight="1">
      <c r="A1858" s="81" t="s">
        <v>38</v>
      </c>
      <c r="B1858" s="82">
        <v>795</v>
      </c>
      <c r="C1858" s="83" t="s">
        <v>54</v>
      </c>
      <c r="D1858" s="83" t="s">
        <v>123</v>
      </c>
      <c r="E1858" s="83" t="s">
        <v>187</v>
      </c>
      <c r="F1858" s="83" t="s">
        <v>39</v>
      </c>
      <c r="G1858" s="86"/>
      <c r="H1858" s="86">
        <v>0</v>
      </c>
      <c r="I1858" s="171"/>
      <c r="J1858" s="193"/>
      <c r="K1858" s="193"/>
      <c r="L1858" s="191"/>
      <c r="M1858" s="191"/>
      <c r="N1858" s="191"/>
      <c r="O1858" s="191"/>
      <c r="P1858" s="191"/>
      <c r="Q1858" s="191"/>
    </row>
    <row r="1859" spans="1:17" ht="18" hidden="1" customHeight="1">
      <c r="A1859" s="81" t="s">
        <v>323</v>
      </c>
      <c r="B1859" s="82">
        <v>795</v>
      </c>
      <c r="C1859" s="83" t="s">
        <v>54</v>
      </c>
      <c r="D1859" s="83" t="s">
        <v>123</v>
      </c>
      <c r="E1859" s="83" t="s">
        <v>187</v>
      </c>
      <c r="F1859" s="83" t="s">
        <v>37</v>
      </c>
      <c r="G1859" s="86">
        <f>G1860</f>
        <v>0</v>
      </c>
      <c r="H1859" s="86">
        <v>0</v>
      </c>
      <c r="I1859" s="171"/>
      <c r="J1859" s="198"/>
      <c r="K1859" s="198"/>
    </row>
    <row r="1860" spans="1:17" ht="29.25" hidden="1" customHeight="1">
      <c r="A1860" s="81" t="s">
        <v>38</v>
      </c>
      <c r="B1860" s="82">
        <v>795</v>
      </c>
      <c r="C1860" s="83" t="s">
        <v>54</v>
      </c>
      <c r="D1860" s="83" t="s">
        <v>123</v>
      </c>
      <c r="E1860" s="83" t="s">
        <v>187</v>
      </c>
      <c r="F1860" s="83" t="s">
        <v>39</v>
      </c>
      <c r="G1860" s="86"/>
      <c r="H1860" s="86"/>
      <c r="I1860" s="171"/>
      <c r="J1860" s="198"/>
      <c r="K1860" s="198"/>
    </row>
    <row r="1861" spans="1:17" ht="18" hidden="1" customHeight="1">
      <c r="A1861" s="81" t="s">
        <v>156</v>
      </c>
      <c r="B1861" s="82">
        <v>795</v>
      </c>
      <c r="C1861" s="83" t="s">
        <v>54</v>
      </c>
      <c r="D1861" s="83" t="s">
        <v>123</v>
      </c>
      <c r="E1861" s="83" t="s">
        <v>187</v>
      </c>
      <c r="F1861" s="83" t="s">
        <v>157</v>
      </c>
      <c r="G1861" s="86">
        <f>G1862</f>
        <v>0</v>
      </c>
      <c r="H1861" s="86">
        <v>0</v>
      </c>
      <c r="I1861" s="171"/>
      <c r="J1861" s="198"/>
      <c r="K1861" s="198"/>
    </row>
    <row r="1862" spans="1:17" ht="15" hidden="1" customHeight="1">
      <c r="A1862" s="81" t="s">
        <v>178</v>
      </c>
      <c r="B1862" s="82">
        <v>795</v>
      </c>
      <c r="C1862" s="83" t="s">
        <v>54</v>
      </c>
      <c r="D1862" s="83" t="s">
        <v>123</v>
      </c>
      <c r="E1862" s="83" t="s">
        <v>187</v>
      </c>
      <c r="F1862" s="83" t="s">
        <v>179</v>
      </c>
      <c r="G1862" s="86"/>
      <c r="H1862" s="86"/>
      <c r="I1862" s="171"/>
      <c r="J1862" s="198"/>
      <c r="K1862" s="198"/>
    </row>
    <row r="1863" spans="1:17" ht="78" hidden="1" customHeight="1">
      <c r="A1863" s="129" t="s">
        <v>652</v>
      </c>
      <c r="B1863" s="82">
        <v>795</v>
      </c>
      <c r="C1863" s="83" t="s">
        <v>54</v>
      </c>
      <c r="D1863" s="83" t="s">
        <v>123</v>
      </c>
      <c r="E1863" s="83" t="s">
        <v>654</v>
      </c>
      <c r="F1863" s="83"/>
      <c r="G1863" s="86">
        <f>G1864</f>
        <v>0</v>
      </c>
      <c r="H1863" s="86">
        <v>0</v>
      </c>
      <c r="I1863" s="171"/>
      <c r="J1863" s="198"/>
      <c r="K1863" s="198"/>
    </row>
    <row r="1864" spans="1:17" ht="18" hidden="1" customHeight="1">
      <c r="A1864" s="81" t="s">
        <v>156</v>
      </c>
      <c r="B1864" s="82">
        <v>795</v>
      </c>
      <c r="C1864" s="83" t="s">
        <v>54</v>
      </c>
      <c r="D1864" s="83" t="s">
        <v>123</v>
      </c>
      <c r="E1864" s="83" t="s">
        <v>654</v>
      </c>
      <c r="F1864" s="83" t="s">
        <v>157</v>
      </c>
      <c r="G1864" s="86">
        <f>G1865</f>
        <v>0</v>
      </c>
      <c r="H1864" s="86">
        <v>0</v>
      </c>
      <c r="I1864" s="171"/>
      <c r="J1864" s="198"/>
      <c r="K1864" s="198"/>
    </row>
    <row r="1865" spans="1:17" ht="27.75" hidden="1" customHeight="1">
      <c r="A1865" s="81" t="s">
        <v>178</v>
      </c>
      <c r="B1865" s="82">
        <v>795</v>
      </c>
      <c r="C1865" s="83" t="s">
        <v>54</v>
      </c>
      <c r="D1865" s="83" t="s">
        <v>123</v>
      </c>
      <c r="E1865" s="83" t="s">
        <v>654</v>
      </c>
      <c r="F1865" s="83" t="s">
        <v>179</v>
      </c>
      <c r="G1865" s="86"/>
      <c r="H1865" s="86">
        <v>0</v>
      </c>
      <c r="I1865" s="171"/>
      <c r="J1865" s="198"/>
      <c r="K1865" s="198"/>
    </row>
    <row r="1866" spans="1:17" ht="63.75" hidden="1" customHeight="1">
      <c r="A1866" s="81" t="s">
        <v>390</v>
      </c>
      <c r="B1866" s="82">
        <v>795</v>
      </c>
      <c r="C1866" s="83" t="s">
        <v>54</v>
      </c>
      <c r="D1866" s="83" t="s">
        <v>123</v>
      </c>
      <c r="E1866" s="83" t="s">
        <v>105</v>
      </c>
      <c r="F1866" s="83"/>
      <c r="G1866" s="86">
        <f>G1867+G1874+G1884+G1890+G1881</f>
        <v>0</v>
      </c>
      <c r="H1866" s="86">
        <f t="shared" ref="H1866" si="454">H1867+H1874+H1884</f>
        <v>0</v>
      </c>
      <c r="I1866" s="171"/>
      <c r="J1866" s="198"/>
      <c r="K1866" s="198"/>
      <c r="L1866" s="200"/>
    </row>
    <row r="1867" spans="1:17" ht="48.75" hidden="1" customHeight="1">
      <c r="A1867" s="81" t="s">
        <v>391</v>
      </c>
      <c r="B1867" s="82">
        <v>795</v>
      </c>
      <c r="C1867" s="83" t="s">
        <v>54</v>
      </c>
      <c r="D1867" s="83" t="s">
        <v>123</v>
      </c>
      <c r="E1867" s="83" t="s">
        <v>106</v>
      </c>
      <c r="F1867" s="83"/>
      <c r="G1867" s="86">
        <f>G1868+G1870+G1872</f>
        <v>0</v>
      </c>
      <c r="H1867" s="86">
        <f t="shared" ref="H1867" si="455">H1868+H1870+H1872</f>
        <v>0</v>
      </c>
      <c r="I1867" s="171"/>
      <c r="J1867" s="198"/>
      <c r="K1867" s="198"/>
      <c r="L1867" s="200"/>
    </row>
    <row r="1868" spans="1:17" s="18" customFormat="1" ht="15.75" hidden="1" customHeight="1">
      <c r="A1868" s="81" t="s">
        <v>63</v>
      </c>
      <c r="B1868" s="82">
        <v>795</v>
      </c>
      <c r="C1868" s="83" t="s">
        <v>54</v>
      </c>
      <c r="D1868" s="83" t="s">
        <v>123</v>
      </c>
      <c r="E1868" s="83" t="s">
        <v>106</v>
      </c>
      <c r="F1868" s="83" t="s">
        <v>64</v>
      </c>
      <c r="G1868" s="86">
        <f>G1869</f>
        <v>0</v>
      </c>
      <c r="H1868" s="276">
        <v>0</v>
      </c>
      <c r="I1868" s="192"/>
      <c r="J1868" s="214"/>
      <c r="K1868" s="193"/>
      <c r="L1868" s="191"/>
      <c r="M1868" s="191"/>
      <c r="N1868" s="191"/>
      <c r="O1868" s="191"/>
      <c r="P1868" s="191"/>
      <c r="Q1868" s="191"/>
    </row>
    <row r="1869" spans="1:17" s="18" customFormat="1" ht="15.75" hidden="1" customHeight="1">
      <c r="A1869" s="81" t="s">
        <v>180</v>
      </c>
      <c r="B1869" s="82">
        <v>795</v>
      </c>
      <c r="C1869" s="83" t="s">
        <v>54</v>
      </c>
      <c r="D1869" s="83" t="s">
        <v>123</v>
      </c>
      <c r="E1869" s="83" t="s">
        <v>106</v>
      </c>
      <c r="F1869" s="83" t="s">
        <v>181</v>
      </c>
      <c r="G1869" s="86">
        <f>5198269.13-268287.5-423091+149078.6-4655969.23</f>
        <v>0</v>
      </c>
      <c r="H1869" s="276">
        <v>0</v>
      </c>
      <c r="I1869" s="192"/>
      <c r="J1869" s="214"/>
      <c r="K1869" s="193"/>
      <c r="L1869" s="191"/>
      <c r="M1869" s="191"/>
      <c r="N1869" s="191"/>
      <c r="O1869" s="191"/>
      <c r="P1869" s="191"/>
      <c r="Q1869" s="191"/>
    </row>
    <row r="1870" spans="1:17" ht="22.5" hidden="1" customHeight="1">
      <c r="A1870" s="81" t="s">
        <v>156</v>
      </c>
      <c r="B1870" s="82">
        <v>795</v>
      </c>
      <c r="C1870" s="83" t="s">
        <v>54</v>
      </c>
      <c r="D1870" s="83" t="s">
        <v>123</v>
      </c>
      <c r="E1870" s="83" t="s">
        <v>106</v>
      </c>
      <c r="F1870" s="83" t="s">
        <v>157</v>
      </c>
      <c r="G1870" s="86">
        <f>G1871</f>
        <v>0</v>
      </c>
      <c r="H1870" s="86">
        <f>H1871</f>
        <v>0</v>
      </c>
      <c r="I1870" s="171"/>
      <c r="J1870" s="198"/>
      <c r="K1870" s="198"/>
    </row>
    <row r="1871" spans="1:17" ht="16.5" hidden="1" customHeight="1">
      <c r="A1871" s="81" t="s">
        <v>178</v>
      </c>
      <c r="B1871" s="82">
        <v>795</v>
      </c>
      <c r="C1871" s="83" t="s">
        <v>54</v>
      </c>
      <c r="D1871" s="83" t="s">
        <v>123</v>
      </c>
      <c r="E1871" s="83" t="s">
        <v>106</v>
      </c>
      <c r="F1871" s="83" t="s">
        <v>179</v>
      </c>
      <c r="G1871" s="86"/>
      <c r="H1871" s="86"/>
      <c r="I1871" s="171"/>
      <c r="J1871" s="198"/>
      <c r="K1871" s="198"/>
    </row>
    <row r="1872" spans="1:17" ht="22.5" hidden="1" customHeight="1">
      <c r="A1872" s="81" t="s">
        <v>323</v>
      </c>
      <c r="B1872" s="82">
        <v>795</v>
      </c>
      <c r="C1872" s="83" t="s">
        <v>54</v>
      </c>
      <c r="D1872" s="83" t="s">
        <v>123</v>
      </c>
      <c r="E1872" s="83" t="s">
        <v>106</v>
      </c>
      <c r="F1872" s="83" t="s">
        <v>37</v>
      </c>
      <c r="G1872" s="86">
        <f>G1873</f>
        <v>0</v>
      </c>
      <c r="H1872" s="86">
        <f>H1873</f>
        <v>0</v>
      </c>
      <c r="I1872" s="171"/>
      <c r="J1872" s="198"/>
      <c r="K1872" s="198"/>
    </row>
    <row r="1873" spans="1:17" ht="30.75" hidden="1" customHeight="1">
      <c r="A1873" s="81" t="s">
        <v>38</v>
      </c>
      <c r="B1873" s="82">
        <v>795</v>
      </c>
      <c r="C1873" s="83" t="s">
        <v>54</v>
      </c>
      <c r="D1873" s="83" t="s">
        <v>123</v>
      </c>
      <c r="E1873" s="83" t="s">
        <v>106</v>
      </c>
      <c r="F1873" s="83" t="s">
        <v>39</v>
      </c>
      <c r="G1873" s="86"/>
      <c r="H1873" s="86"/>
      <c r="I1873" s="171"/>
      <c r="J1873" s="198"/>
      <c r="K1873" s="198"/>
    </row>
    <row r="1874" spans="1:17" s="18" customFormat="1" ht="65.25" hidden="1" customHeight="1">
      <c r="A1874" s="81" t="s">
        <v>521</v>
      </c>
      <c r="B1874" s="82">
        <v>795</v>
      </c>
      <c r="C1874" s="83" t="s">
        <v>54</v>
      </c>
      <c r="D1874" s="83" t="s">
        <v>123</v>
      </c>
      <c r="E1874" s="83" t="s">
        <v>46</v>
      </c>
      <c r="F1874" s="83"/>
      <c r="G1874" s="86">
        <f>G1875+G1879+G1877</f>
        <v>0</v>
      </c>
      <c r="H1874" s="86">
        <v>0</v>
      </c>
      <c r="I1874" s="171"/>
      <c r="J1874" s="214"/>
      <c r="K1874" s="193"/>
      <c r="L1874" s="191"/>
      <c r="M1874" s="191"/>
      <c r="N1874" s="191"/>
      <c r="O1874" s="191"/>
      <c r="P1874" s="191"/>
      <c r="Q1874" s="191"/>
    </row>
    <row r="1875" spans="1:17" s="18" customFormat="1" ht="32.25" hidden="1" customHeight="1">
      <c r="A1875" s="81" t="s">
        <v>323</v>
      </c>
      <c r="B1875" s="82">
        <v>795</v>
      </c>
      <c r="C1875" s="83" t="s">
        <v>54</v>
      </c>
      <c r="D1875" s="83" t="s">
        <v>123</v>
      </c>
      <c r="E1875" s="83" t="s">
        <v>46</v>
      </c>
      <c r="F1875" s="83" t="s">
        <v>37</v>
      </c>
      <c r="G1875" s="86">
        <f>G1876</f>
        <v>0</v>
      </c>
      <c r="H1875" s="86">
        <v>0</v>
      </c>
      <c r="I1875" s="171"/>
      <c r="J1875" s="214"/>
      <c r="K1875" s="193"/>
      <c r="L1875" s="191"/>
      <c r="M1875" s="191"/>
      <c r="N1875" s="191"/>
      <c r="O1875" s="191"/>
      <c r="P1875" s="191"/>
      <c r="Q1875" s="191"/>
    </row>
    <row r="1876" spans="1:17" s="18" customFormat="1" ht="15.75" hidden="1" customHeight="1">
      <c r="A1876" s="81" t="s">
        <v>38</v>
      </c>
      <c r="B1876" s="82">
        <v>795</v>
      </c>
      <c r="C1876" s="83" t="s">
        <v>54</v>
      </c>
      <c r="D1876" s="83" t="s">
        <v>123</v>
      </c>
      <c r="E1876" s="83" t="s">
        <v>46</v>
      </c>
      <c r="F1876" s="83" t="s">
        <v>39</v>
      </c>
      <c r="G1876" s="86"/>
      <c r="H1876" s="86">
        <v>0</v>
      </c>
      <c r="I1876" s="171"/>
      <c r="J1876" s="214"/>
      <c r="K1876" s="193"/>
      <c r="L1876" s="191"/>
      <c r="M1876" s="191"/>
      <c r="N1876" s="191"/>
      <c r="O1876" s="191"/>
      <c r="P1876" s="191"/>
      <c r="Q1876" s="191"/>
    </row>
    <row r="1877" spans="1:17" ht="22.5" hidden="1" customHeight="1">
      <c r="A1877" s="81" t="s">
        <v>323</v>
      </c>
      <c r="B1877" s="82">
        <v>795</v>
      </c>
      <c r="C1877" s="83" t="s">
        <v>54</v>
      </c>
      <c r="D1877" s="83" t="s">
        <v>123</v>
      </c>
      <c r="E1877" s="83" t="s">
        <v>46</v>
      </c>
      <c r="F1877" s="83" t="s">
        <v>37</v>
      </c>
      <c r="G1877" s="86">
        <f>G1878</f>
        <v>0</v>
      </c>
      <c r="H1877" s="86">
        <v>0</v>
      </c>
      <c r="I1877" s="171"/>
      <c r="J1877" s="198"/>
      <c r="K1877" s="198"/>
    </row>
    <row r="1878" spans="1:17" ht="16.5" hidden="1" customHeight="1">
      <c r="A1878" s="81" t="s">
        <v>38</v>
      </c>
      <c r="B1878" s="82">
        <v>795</v>
      </c>
      <c r="C1878" s="83" t="s">
        <v>54</v>
      </c>
      <c r="D1878" s="83" t="s">
        <v>123</v>
      </c>
      <c r="E1878" s="83" t="s">
        <v>46</v>
      </c>
      <c r="F1878" s="83" t="s">
        <v>39</v>
      </c>
      <c r="G1878" s="86"/>
      <c r="H1878" s="86"/>
      <c r="I1878" s="171"/>
      <c r="J1878" s="198"/>
      <c r="K1878" s="198"/>
    </row>
    <row r="1879" spans="1:17" ht="22.5" hidden="1" customHeight="1">
      <c r="A1879" s="81" t="s">
        <v>156</v>
      </c>
      <c r="B1879" s="82">
        <v>795</v>
      </c>
      <c r="C1879" s="83" t="s">
        <v>54</v>
      </c>
      <c r="D1879" s="83" t="s">
        <v>123</v>
      </c>
      <c r="E1879" s="83" t="s">
        <v>46</v>
      </c>
      <c r="F1879" s="83" t="s">
        <v>157</v>
      </c>
      <c r="G1879" s="86">
        <f>G1880</f>
        <v>0</v>
      </c>
      <c r="H1879" s="86">
        <v>0</v>
      </c>
      <c r="I1879" s="171"/>
      <c r="J1879" s="198"/>
      <c r="K1879" s="198"/>
    </row>
    <row r="1880" spans="1:17" ht="16.5" hidden="1" customHeight="1">
      <c r="A1880" s="81" t="s">
        <v>178</v>
      </c>
      <c r="B1880" s="82">
        <v>795</v>
      </c>
      <c r="C1880" s="83" t="s">
        <v>54</v>
      </c>
      <c r="D1880" s="83" t="s">
        <v>123</v>
      </c>
      <c r="E1880" s="83" t="s">
        <v>46</v>
      </c>
      <c r="F1880" s="83" t="s">
        <v>179</v>
      </c>
      <c r="G1880" s="86"/>
      <c r="H1880" s="86"/>
      <c r="I1880" s="171"/>
      <c r="J1880" s="198"/>
      <c r="K1880" s="198"/>
    </row>
    <row r="1881" spans="1:17" ht="62.25" hidden="1" customHeight="1">
      <c r="A1881" s="81" t="s">
        <v>707</v>
      </c>
      <c r="B1881" s="82">
        <v>795</v>
      </c>
      <c r="C1881" s="83" t="s">
        <v>54</v>
      </c>
      <c r="D1881" s="83" t="s">
        <v>123</v>
      </c>
      <c r="E1881" s="83" t="s">
        <v>706</v>
      </c>
      <c r="F1881" s="83"/>
      <c r="G1881" s="86">
        <f>G1882</f>
        <v>0</v>
      </c>
      <c r="H1881" s="86">
        <f t="shared" ref="H1881" si="456">H1882+H1884+H1886</f>
        <v>0</v>
      </c>
      <c r="I1881" s="171"/>
      <c r="J1881" s="198"/>
      <c r="K1881" s="198"/>
      <c r="L1881" s="200"/>
    </row>
    <row r="1882" spans="1:17" s="18" customFormat="1" ht="15.75" hidden="1" customHeight="1">
      <c r="A1882" s="81" t="s">
        <v>323</v>
      </c>
      <c r="B1882" s="82">
        <v>795</v>
      </c>
      <c r="C1882" s="83" t="s">
        <v>54</v>
      </c>
      <c r="D1882" s="83" t="s">
        <v>123</v>
      </c>
      <c r="E1882" s="83" t="s">
        <v>706</v>
      </c>
      <c r="F1882" s="83" t="s">
        <v>37</v>
      </c>
      <c r="G1882" s="86">
        <f>G1883</f>
        <v>0</v>
      </c>
      <c r="H1882" s="276">
        <v>0</v>
      </c>
      <c r="I1882" s="192"/>
      <c r="J1882" s="214"/>
      <c r="K1882" s="193"/>
      <c r="L1882" s="191"/>
      <c r="M1882" s="191"/>
      <c r="N1882" s="191"/>
      <c r="O1882" s="191"/>
      <c r="P1882" s="191"/>
      <c r="Q1882" s="191"/>
    </row>
    <row r="1883" spans="1:17" s="18" customFormat="1" ht="35.25" hidden="1" customHeight="1">
      <c r="A1883" s="81" t="s">
        <v>38</v>
      </c>
      <c r="B1883" s="82">
        <v>795</v>
      </c>
      <c r="C1883" s="83" t="s">
        <v>54</v>
      </c>
      <c r="D1883" s="83" t="s">
        <v>123</v>
      </c>
      <c r="E1883" s="83" t="s">
        <v>706</v>
      </c>
      <c r="F1883" s="83" t="s">
        <v>39</v>
      </c>
      <c r="G1883" s="86"/>
      <c r="H1883" s="276"/>
      <c r="I1883" s="192"/>
      <c r="J1883" s="214"/>
      <c r="K1883" s="193"/>
      <c r="L1883" s="191"/>
      <c r="M1883" s="191"/>
      <c r="N1883" s="191"/>
      <c r="O1883" s="191"/>
      <c r="P1883" s="191"/>
      <c r="Q1883" s="191"/>
    </row>
    <row r="1884" spans="1:17" ht="68.25" hidden="1" customHeight="1">
      <c r="A1884" s="81" t="s">
        <v>421</v>
      </c>
      <c r="B1884" s="82">
        <v>795</v>
      </c>
      <c r="C1884" s="83" t="s">
        <v>54</v>
      </c>
      <c r="D1884" s="83" t="s">
        <v>123</v>
      </c>
      <c r="E1884" s="83" t="s">
        <v>10</v>
      </c>
      <c r="F1884" s="83"/>
      <c r="G1884" s="86">
        <f>G1885</f>
        <v>0</v>
      </c>
      <c r="H1884" s="86">
        <v>0</v>
      </c>
      <c r="I1884" s="171"/>
      <c r="J1884" s="198"/>
      <c r="K1884" s="198"/>
    </row>
    <row r="1885" spans="1:17" ht="22.5" hidden="1" customHeight="1">
      <c r="A1885" s="81" t="s">
        <v>156</v>
      </c>
      <c r="B1885" s="82">
        <v>795</v>
      </c>
      <c r="C1885" s="83" t="s">
        <v>54</v>
      </c>
      <c r="D1885" s="83" t="s">
        <v>123</v>
      </c>
      <c r="E1885" s="83" t="s">
        <v>10</v>
      </c>
      <c r="F1885" s="83" t="s">
        <v>157</v>
      </c>
      <c r="G1885" s="86">
        <f>G1886</f>
        <v>0</v>
      </c>
      <c r="H1885" s="86">
        <v>0</v>
      </c>
      <c r="I1885" s="171"/>
      <c r="J1885" s="198"/>
      <c r="K1885" s="198"/>
    </row>
    <row r="1886" spans="1:17" ht="16.5" hidden="1" customHeight="1">
      <c r="A1886" s="81" t="s">
        <v>178</v>
      </c>
      <c r="B1886" s="82">
        <v>795</v>
      </c>
      <c r="C1886" s="83" t="s">
        <v>54</v>
      </c>
      <c r="D1886" s="83" t="s">
        <v>123</v>
      </c>
      <c r="E1886" s="83" t="s">
        <v>10</v>
      </c>
      <c r="F1886" s="83" t="s">
        <v>179</v>
      </c>
      <c r="G1886" s="86"/>
      <c r="H1886" s="86"/>
      <c r="I1886" s="171"/>
      <c r="J1886" s="198"/>
      <c r="K1886" s="198"/>
    </row>
    <row r="1887" spans="1:17" ht="63" hidden="1" customHeight="1">
      <c r="A1887" s="81" t="s">
        <v>653</v>
      </c>
      <c r="B1887" s="82">
        <v>795</v>
      </c>
      <c r="C1887" s="83" t="s">
        <v>54</v>
      </c>
      <c r="D1887" s="83" t="s">
        <v>123</v>
      </c>
      <c r="E1887" s="83" t="s">
        <v>299</v>
      </c>
      <c r="F1887" s="83"/>
      <c r="G1887" s="86">
        <f>G1888</f>
        <v>0</v>
      </c>
      <c r="H1887" s="86"/>
      <c r="I1887" s="171"/>
      <c r="J1887" s="198"/>
      <c r="K1887" s="198"/>
    </row>
    <row r="1888" spans="1:17" ht="16.5" hidden="1" customHeight="1">
      <c r="A1888" s="81" t="s">
        <v>323</v>
      </c>
      <c r="B1888" s="82">
        <v>795</v>
      </c>
      <c r="C1888" s="83" t="s">
        <v>54</v>
      </c>
      <c r="D1888" s="83" t="s">
        <v>123</v>
      </c>
      <c r="E1888" s="83" t="s">
        <v>299</v>
      </c>
      <c r="F1888" s="83" t="s">
        <v>37</v>
      </c>
      <c r="G1888" s="86">
        <f>G1889</f>
        <v>0</v>
      </c>
      <c r="H1888" s="86"/>
      <c r="I1888" s="171"/>
      <c r="J1888" s="198"/>
      <c r="K1888" s="198"/>
    </row>
    <row r="1889" spans="1:17" ht="28.5" hidden="1" customHeight="1">
      <c r="A1889" s="81" t="s">
        <v>38</v>
      </c>
      <c r="B1889" s="82">
        <v>795</v>
      </c>
      <c r="C1889" s="83" t="s">
        <v>54</v>
      </c>
      <c r="D1889" s="83" t="s">
        <v>123</v>
      </c>
      <c r="E1889" s="83" t="s">
        <v>299</v>
      </c>
      <c r="F1889" s="83" t="s">
        <v>39</v>
      </c>
      <c r="G1889" s="86"/>
      <c r="H1889" s="86"/>
      <c r="I1889" s="171"/>
      <c r="J1889" s="198"/>
      <c r="K1889" s="198"/>
    </row>
    <row r="1890" spans="1:17" s="18" customFormat="1" ht="76.5" hidden="1" customHeight="1">
      <c r="A1890" s="129" t="s">
        <v>662</v>
      </c>
      <c r="B1890" s="82">
        <v>795</v>
      </c>
      <c r="C1890" s="83" t="s">
        <v>54</v>
      </c>
      <c r="D1890" s="83" t="s">
        <v>123</v>
      </c>
      <c r="E1890" s="83" t="s">
        <v>697</v>
      </c>
      <c r="F1890" s="83"/>
      <c r="G1890" s="86">
        <f t="shared" ref="G1890:H1891" si="457">G1891</f>
        <v>0</v>
      </c>
      <c r="H1890" s="86">
        <f t="shared" si="457"/>
        <v>0</v>
      </c>
      <c r="I1890" s="171"/>
      <c r="J1890" s="193"/>
      <c r="K1890" s="193"/>
      <c r="L1890" s="191"/>
      <c r="M1890" s="191"/>
      <c r="N1890" s="191"/>
      <c r="O1890" s="191"/>
      <c r="P1890" s="191"/>
      <c r="Q1890" s="191"/>
    </row>
    <row r="1891" spans="1:17" s="18" customFormat="1" ht="15" hidden="1" customHeight="1">
      <c r="A1891" s="81" t="s">
        <v>323</v>
      </c>
      <c r="B1891" s="82">
        <v>795</v>
      </c>
      <c r="C1891" s="83" t="s">
        <v>54</v>
      </c>
      <c r="D1891" s="83" t="s">
        <v>123</v>
      </c>
      <c r="E1891" s="83" t="s">
        <v>697</v>
      </c>
      <c r="F1891" s="83" t="s">
        <v>37</v>
      </c>
      <c r="G1891" s="86">
        <f t="shared" si="457"/>
        <v>0</v>
      </c>
      <c r="H1891" s="86">
        <f t="shared" si="457"/>
        <v>0</v>
      </c>
      <c r="I1891" s="171"/>
      <c r="J1891" s="193"/>
      <c r="K1891" s="193"/>
      <c r="L1891" s="191"/>
      <c r="M1891" s="191"/>
      <c r="N1891" s="191"/>
      <c r="O1891" s="191"/>
      <c r="P1891" s="191"/>
      <c r="Q1891" s="191"/>
    </row>
    <row r="1892" spans="1:17" s="18" customFormat="1" ht="32.25" hidden="1" customHeight="1">
      <c r="A1892" s="81" t="s">
        <v>38</v>
      </c>
      <c r="B1892" s="82">
        <v>795</v>
      </c>
      <c r="C1892" s="83" t="s">
        <v>54</v>
      </c>
      <c r="D1892" s="83" t="s">
        <v>123</v>
      </c>
      <c r="E1892" s="83" t="s">
        <v>697</v>
      </c>
      <c r="F1892" s="83" t="s">
        <v>39</v>
      </c>
      <c r="G1892" s="86">
        <f>600000-600000</f>
        <v>0</v>
      </c>
      <c r="H1892" s="86">
        <v>0</v>
      </c>
      <c r="I1892" s="171"/>
      <c r="J1892" s="193"/>
      <c r="K1892" s="193"/>
      <c r="L1892" s="191"/>
      <c r="M1892" s="191"/>
      <c r="N1892" s="191"/>
      <c r="O1892" s="191"/>
      <c r="P1892" s="191"/>
      <c r="Q1892" s="191"/>
    </row>
    <row r="1893" spans="1:17" ht="87" hidden="1" customHeight="1">
      <c r="A1893" s="81" t="s">
        <v>667</v>
      </c>
      <c r="B1893" s="82">
        <v>795</v>
      </c>
      <c r="C1893" s="83" t="s">
        <v>54</v>
      </c>
      <c r="D1893" s="83" t="s">
        <v>123</v>
      </c>
      <c r="E1893" s="83" t="s">
        <v>11</v>
      </c>
      <c r="F1893" s="83"/>
      <c r="G1893" s="86">
        <f>G1894+G1897+G1900</f>
        <v>0</v>
      </c>
      <c r="H1893" s="86">
        <f>H1894+H1897+H1900</f>
        <v>0</v>
      </c>
      <c r="I1893" s="171"/>
      <c r="J1893" s="198"/>
      <c r="K1893" s="198"/>
    </row>
    <row r="1894" spans="1:17" ht="91.5" hidden="1" customHeight="1">
      <c r="A1894" s="81" t="s">
        <v>617</v>
      </c>
      <c r="B1894" s="82">
        <v>795</v>
      </c>
      <c r="C1894" s="83" t="s">
        <v>54</v>
      </c>
      <c r="D1894" s="83" t="s">
        <v>123</v>
      </c>
      <c r="E1894" s="83" t="s">
        <v>616</v>
      </c>
      <c r="F1894" s="83"/>
      <c r="G1894" s="86">
        <f>G1895</f>
        <v>0</v>
      </c>
      <c r="H1894" s="86">
        <v>0</v>
      </c>
      <c r="I1894" s="171"/>
      <c r="J1894" s="198"/>
      <c r="K1894" s="198"/>
    </row>
    <row r="1895" spans="1:17" ht="22.5" hidden="1" customHeight="1">
      <c r="A1895" s="81" t="s">
        <v>156</v>
      </c>
      <c r="B1895" s="82">
        <v>795</v>
      </c>
      <c r="C1895" s="83" t="s">
        <v>54</v>
      </c>
      <c r="D1895" s="83" t="s">
        <v>123</v>
      </c>
      <c r="E1895" s="83" t="s">
        <v>616</v>
      </c>
      <c r="F1895" s="83" t="s">
        <v>157</v>
      </c>
      <c r="G1895" s="86">
        <f>G1896</f>
        <v>0</v>
      </c>
      <c r="H1895" s="86">
        <v>0</v>
      </c>
      <c r="I1895" s="171"/>
      <c r="J1895" s="198"/>
      <c r="K1895" s="198"/>
    </row>
    <row r="1896" spans="1:17" ht="16.5" hidden="1" customHeight="1">
      <c r="A1896" s="81" t="s">
        <v>170</v>
      </c>
      <c r="B1896" s="82">
        <v>795</v>
      </c>
      <c r="C1896" s="83" t="s">
        <v>54</v>
      </c>
      <c r="D1896" s="83" t="s">
        <v>123</v>
      </c>
      <c r="E1896" s="83" t="s">
        <v>616</v>
      </c>
      <c r="F1896" s="83" t="s">
        <v>171</v>
      </c>
      <c r="G1896" s="86"/>
      <c r="H1896" s="86">
        <v>0</v>
      </c>
      <c r="I1896" s="171"/>
      <c r="J1896" s="198"/>
      <c r="K1896" s="198"/>
    </row>
    <row r="1897" spans="1:17" ht="48" hidden="1" customHeight="1">
      <c r="A1897" s="81" t="s">
        <v>601</v>
      </c>
      <c r="B1897" s="82">
        <v>795</v>
      </c>
      <c r="C1897" s="83" t="s">
        <v>54</v>
      </c>
      <c r="D1897" s="83" t="s">
        <v>123</v>
      </c>
      <c r="E1897" s="83" t="s">
        <v>405</v>
      </c>
      <c r="F1897" s="83"/>
      <c r="G1897" s="86">
        <f>G1898</f>
        <v>0</v>
      </c>
      <c r="H1897" s="86">
        <v>0</v>
      </c>
      <c r="I1897" s="171"/>
      <c r="J1897" s="198"/>
      <c r="K1897" s="198"/>
    </row>
    <row r="1898" spans="1:17" ht="22.5" hidden="1" customHeight="1">
      <c r="A1898" s="81" t="s">
        <v>156</v>
      </c>
      <c r="B1898" s="82">
        <v>795</v>
      </c>
      <c r="C1898" s="83" t="s">
        <v>54</v>
      </c>
      <c r="D1898" s="83" t="s">
        <v>123</v>
      </c>
      <c r="E1898" s="83" t="s">
        <v>405</v>
      </c>
      <c r="F1898" s="83" t="s">
        <v>157</v>
      </c>
      <c r="G1898" s="86">
        <f>G1899</f>
        <v>0</v>
      </c>
      <c r="H1898" s="86">
        <v>0</v>
      </c>
      <c r="I1898" s="171"/>
      <c r="J1898" s="198"/>
      <c r="K1898" s="198"/>
    </row>
    <row r="1899" spans="1:17" ht="16.5" hidden="1" customHeight="1">
      <c r="A1899" s="81" t="s">
        <v>170</v>
      </c>
      <c r="B1899" s="82">
        <v>795</v>
      </c>
      <c r="C1899" s="83" t="s">
        <v>54</v>
      </c>
      <c r="D1899" s="83" t="s">
        <v>123</v>
      </c>
      <c r="E1899" s="83" t="s">
        <v>405</v>
      </c>
      <c r="F1899" s="83" t="s">
        <v>171</v>
      </c>
      <c r="G1899" s="86"/>
      <c r="H1899" s="86">
        <v>0</v>
      </c>
      <c r="I1899" s="171"/>
      <c r="J1899" s="198"/>
      <c r="K1899" s="198"/>
    </row>
    <row r="1900" spans="1:17" s="18" customFormat="1" ht="122.25" hidden="1" customHeight="1">
      <c r="A1900" s="138" t="s">
        <v>668</v>
      </c>
      <c r="B1900" s="82">
        <v>795</v>
      </c>
      <c r="C1900" s="83" t="s">
        <v>54</v>
      </c>
      <c r="D1900" s="83" t="s">
        <v>123</v>
      </c>
      <c r="E1900" s="83" t="s">
        <v>618</v>
      </c>
      <c r="F1900" s="83"/>
      <c r="G1900" s="86">
        <f>G1901+G1903</f>
        <v>0</v>
      </c>
      <c r="H1900" s="86">
        <f t="shared" ref="H1900" si="458">H1901+H1903</f>
        <v>0</v>
      </c>
      <c r="I1900" s="171"/>
      <c r="J1900" s="193"/>
      <c r="K1900" s="193"/>
      <c r="L1900" s="191"/>
      <c r="M1900" s="191"/>
      <c r="N1900" s="191"/>
      <c r="O1900" s="191"/>
      <c r="P1900" s="191"/>
      <c r="Q1900" s="191"/>
    </row>
    <row r="1901" spans="1:17" s="18" customFormat="1" ht="24.75" hidden="1" customHeight="1">
      <c r="A1901" s="81" t="s">
        <v>323</v>
      </c>
      <c r="B1901" s="82">
        <v>795</v>
      </c>
      <c r="C1901" s="83" t="s">
        <v>54</v>
      </c>
      <c r="D1901" s="83" t="s">
        <v>123</v>
      </c>
      <c r="E1901" s="83" t="s">
        <v>618</v>
      </c>
      <c r="F1901" s="83" t="s">
        <v>37</v>
      </c>
      <c r="G1901" s="86">
        <f t="shared" ref="G1901:H1901" si="459">G1902</f>
        <v>0</v>
      </c>
      <c r="H1901" s="86">
        <f t="shared" si="459"/>
        <v>0</v>
      </c>
      <c r="I1901" s="171"/>
      <c r="J1901" s="193"/>
      <c r="K1901" s="193"/>
      <c r="L1901" s="191"/>
      <c r="M1901" s="191"/>
      <c r="N1901" s="191"/>
      <c r="O1901" s="191"/>
      <c r="P1901" s="191"/>
      <c r="Q1901" s="191"/>
    </row>
    <row r="1902" spans="1:17" s="18" customFormat="1" ht="30.75" hidden="1" customHeight="1">
      <c r="A1902" s="81" t="s">
        <v>38</v>
      </c>
      <c r="B1902" s="82">
        <v>795</v>
      </c>
      <c r="C1902" s="83" t="s">
        <v>54</v>
      </c>
      <c r="D1902" s="83" t="s">
        <v>123</v>
      </c>
      <c r="E1902" s="83" t="s">
        <v>618</v>
      </c>
      <c r="F1902" s="83" t="s">
        <v>39</v>
      </c>
      <c r="G1902" s="86">
        <f>5365800-50+268287.5-5634037.5</f>
        <v>0</v>
      </c>
      <c r="H1902" s="86"/>
      <c r="I1902" s="171"/>
      <c r="J1902" s="193"/>
      <c r="K1902" s="193"/>
      <c r="L1902" s="191"/>
      <c r="M1902" s="191"/>
      <c r="N1902" s="191"/>
      <c r="O1902" s="191"/>
      <c r="P1902" s="191"/>
      <c r="Q1902" s="191"/>
    </row>
    <row r="1903" spans="1:17" s="89" customFormat="1" ht="22.5" hidden="1" customHeight="1">
      <c r="A1903" s="81" t="s">
        <v>156</v>
      </c>
      <c r="B1903" s="82">
        <v>795</v>
      </c>
      <c r="C1903" s="83" t="s">
        <v>54</v>
      </c>
      <c r="D1903" s="83" t="s">
        <v>123</v>
      </c>
      <c r="E1903" s="83" t="s">
        <v>618</v>
      </c>
      <c r="F1903" s="83" t="s">
        <v>157</v>
      </c>
      <c r="G1903" s="86">
        <f>G1904</f>
        <v>0</v>
      </c>
      <c r="H1903" s="86">
        <f t="shared" ref="H1903" si="460">H1904</f>
        <v>0</v>
      </c>
      <c r="I1903" s="171"/>
      <c r="J1903" s="198"/>
      <c r="K1903" s="198"/>
      <c r="L1903" s="177"/>
      <c r="M1903" s="177"/>
      <c r="N1903" s="177"/>
      <c r="O1903" s="177"/>
      <c r="P1903" s="177"/>
      <c r="Q1903" s="177"/>
    </row>
    <row r="1904" spans="1:17" s="89" customFormat="1" ht="16.5" hidden="1" customHeight="1">
      <c r="A1904" s="81" t="s">
        <v>178</v>
      </c>
      <c r="B1904" s="82">
        <v>795</v>
      </c>
      <c r="C1904" s="83" t="s">
        <v>54</v>
      </c>
      <c r="D1904" s="83" t="s">
        <v>123</v>
      </c>
      <c r="E1904" s="83" t="s">
        <v>618</v>
      </c>
      <c r="F1904" s="83" t="s">
        <v>179</v>
      </c>
      <c r="G1904" s="86"/>
      <c r="H1904" s="123"/>
      <c r="I1904" s="189"/>
      <c r="J1904" s="198"/>
      <c r="K1904" s="198"/>
      <c r="L1904" s="177"/>
      <c r="M1904" s="177"/>
      <c r="N1904" s="177"/>
      <c r="O1904" s="177"/>
      <c r="P1904" s="177"/>
      <c r="Q1904" s="177"/>
    </row>
    <row r="1905" spans="1:17" s="18" customFormat="1" ht="32.25" hidden="1" customHeight="1">
      <c r="A1905" s="81" t="s">
        <v>513</v>
      </c>
      <c r="B1905" s="82">
        <v>795</v>
      </c>
      <c r="C1905" s="83" t="s">
        <v>54</v>
      </c>
      <c r="D1905" s="83" t="s">
        <v>123</v>
      </c>
      <c r="E1905" s="83" t="s">
        <v>202</v>
      </c>
      <c r="F1905" s="83"/>
      <c r="G1905" s="86">
        <f t="shared" ref="G1905:H1910" si="461">G1906</f>
        <v>0</v>
      </c>
      <c r="H1905" s="86">
        <f t="shared" si="461"/>
        <v>0</v>
      </c>
      <c r="I1905" s="171"/>
      <c r="J1905" s="193"/>
      <c r="K1905" s="193"/>
      <c r="L1905" s="191"/>
      <c r="M1905" s="191"/>
      <c r="N1905" s="191"/>
      <c r="O1905" s="191"/>
      <c r="P1905" s="191"/>
      <c r="Q1905" s="191"/>
    </row>
    <row r="1906" spans="1:17" s="18" customFormat="1" ht="56.25" hidden="1" customHeight="1">
      <c r="A1906" s="81" t="s">
        <v>786</v>
      </c>
      <c r="B1906" s="82">
        <v>795</v>
      </c>
      <c r="C1906" s="83" t="s">
        <v>54</v>
      </c>
      <c r="D1906" s="83" t="s">
        <v>123</v>
      </c>
      <c r="E1906" s="83" t="s">
        <v>417</v>
      </c>
      <c r="F1906" s="83"/>
      <c r="G1906" s="86">
        <f t="shared" si="461"/>
        <v>0</v>
      </c>
      <c r="H1906" s="86">
        <f t="shared" si="461"/>
        <v>0</v>
      </c>
      <c r="I1906" s="171"/>
      <c r="J1906" s="193"/>
      <c r="K1906" s="193"/>
      <c r="L1906" s="191"/>
      <c r="M1906" s="191"/>
      <c r="N1906" s="191"/>
      <c r="O1906" s="191"/>
      <c r="P1906" s="191"/>
      <c r="Q1906" s="191"/>
    </row>
    <row r="1907" spans="1:17" s="18" customFormat="1" ht="39" hidden="1" customHeight="1">
      <c r="A1907" s="81" t="s">
        <v>96</v>
      </c>
      <c r="B1907" s="82">
        <v>795</v>
      </c>
      <c r="C1907" s="83" t="s">
        <v>54</v>
      </c>
      <c r="D1907" s="83" t="s">
        <v>123</v>
      </c>
      <c r="E1907" s="83" t="s">
        <v>417</v>
      </c>
      <c r="F1907" s="83" t="s">
        <v>348</v>
      </c>
      <c r="G1907" s="86">
        <f t="shared" si="461"/>
        <v>0</v>
      </c>
      <c r="H1907" s="86">
        <f t="shared" si="461"/>
        <v>0</v>
      </c>
      <c r="I1907" s="171"/>
      <c r="J1907" s="193"/>
      <c r="K1907" s="193"/>
      <c r="L1907" s="191"/>
      <c r="M1907" s="191"/>
      <c r="N1907" s="191"/>
      <c r="O1907" s="191"/>
      <c r="P1907" s="191"/>
      <c r="Q1907" s="191"/>
    </row>
    <row r="1908" spans="1:17" s="18" customFormat="1" ht="15.75" hidden="1" customHeight="1">
      <c r="A1908" s="81" t="s">
        <v>349</v>
      </c>
      <c r="B1908" s="82">
        <v>795</v>
      </c>
      <c r="C1908" s="83" t="s">
        <v>54</v>
      </c>
      <c r="D1908" s="83" t="s">
        <v>123</v>
      </c>
      <c r="E1908" s="83" t="s">
        <v>417</v>
      </c>
      <c r="F1908" s="83" t="s">
        <v>350</v>
      </c>
      <c r="G1908" s="86"/>
      <c r="H1908" s="86"/>
      <c r="I1908" s="171"/>
      <c r="J1908" s="193"/>
      <c r="K1908" s="193"/>
      <c r="L1908" s="191"/>
      <c r="M1908" s="191"/>
      <c r="N1908" s="191"/>
      <c r="O1908" s="191"/>
      <c r="P1908" s="191"/>
      <c r="Q1908" s="191"/>
    </row>
    <row r="1909" spans="1:17" s="18" customFormat="1" ht="70.5" hidden="1" customHeight="1">
      <c r="A1909" s="81" t="s">
        <v>589</v>
      </c>
      <c r="B1909" s="82">
        <v>795</v>
      </c>
      <c r="C1909" s="83" t="s">
        <v>54</v>
      </c>
      <c r="D1909" s="83" t="s">
        <v>123</v>
      </c>
      <c r="E1909" s="83" t="s">
        <v>588</v>
      </c>
      <c r="F1909" s="83"/>
      <c r="G1909" s="86">
        <f t="shared" si="461"/>
        <v>0</v>
      </c>
      <c r="H1909" s="86">
        <f t="shared" si="461"/>
        <v>0</v>
      </c>
      <c r="I1909" s="171"/>
      <c r="J1909" s="193"/>
      <c r="K1909" s="193"/>
      <c r="L1909" s="191"/>
      <c r="M1909" s="191"/>
      <c r="N1909" s="191"/>
      <c r="O1909" s="191"/>
      <c r="P1909" s="191"/>
      <c r="Q1909" s="191"/>
    </row>
    <row r="1910" spans="1:17" s="18" customFormat="1" ht="39" hidden="1" customHeight="1">
      <c r="A1910" s="81" t="s">
        <v>96</v>
      </c>
      <c r="B1910" s="82">
        <v>795</v>
      </c>
      <c r="C1910" s="83" t="s">
        <v>54</v>
      </c>
      <c r="D1910" s="83" t="s">
        <v>123</v>
      </c>
      <c r="E1910" s="83" t="s">
        <v>588</v>
      </c>
      <c r="F1910" s="83" t="s">
        <v>348</v>
      </c>
      <c r="G1910" s="86">
        <f t="shared" si="461"/>
        <v>0</v>
      </c>
      <c r="H1910" s="86">
        <f t="shared" si="461"/>
        <v>0</v>
      </c>
      <c r="I1910" s="171"/>
      <c r="J1910" s="193"/>
      <c r="K1910" s="193"/>
      <c r="L1910" s="191"/>
      <c r="M1910" s="191"/>
      <c r="N1910" s="191"/>
      <c r="O1910" s="191"/>
      <c r="P1910" s="191"/>
      <c r="Q1910" s="191"/>
    </row>
    <row r="1911" spans="1:17" s="18" customFormat="1" ht="15.75" hidden="1" customHeight="1">
      <c r="A1911" s="81" t="s">
        <v>349</v>
      </c>
      <c r="B1911" s="82">
        <v>795</v>
      </c>
      <c r="C1911" s="83" t="s">
        <v>54</v>
      </c>
      <c r="D1911" s="83" t="s">
        <v>123</v>
      </c>
      <c r="E1911" s="83" t="s">
        <v>588</v>
      </c>
      <c r="F1911" s="83" t="s">
        <v>350</v>
      </c>
      <c r="G1911" s="86"/>
      <c r="H1911" s="86"/>
      <c r="I1911" s="171"/>
      <c r="J1911" s="193"/>
      <c r="K1911" s="193"/>
      <c r="L1911" s="191"/>
      <c r="M1911" s="191"/>
      <c r="N1911" s="191"/>
      <c r="O1911" s="191"/>
      <c r="P1911" s="191"/>
      <c r="Q1911" s="191"/>
    </row>
    <row r="1912" spans="1:17" ht="25.5" hidden="1">
      <c r="A1912" s="135" t="s">
        <v>169</v>
      </c>
      <c r="B1912" s="145">
        <v>793</v>
      </c>
      <c r="C1912" s="83" t="s">
        <v>54</v>
      </c>
      <c r="D1912" s="83" t="s">
        <v>123</v>
      </c>
      <c r="E1912" s="83" t="s">
        <v>233</v>
      </c>
      <c r="F1912" s="145"/>
      <c r="G1912" s="86">
        <f>G1913</f>
        <v>0</v>
      </c>
      <c r="H1912" s="86">
        <f t="shared" ref="H1912" si="462">H1913</f>
        <v>0</v>
      </c>
      <c r="I1912" s="171"/>
      <c r="J1912" s="199"/>
      <c r="K1912" s="198"/>
    </row>
    <row r="1913" spans="1:17" ht="25.5" hidden="1">
      <c r="A1913" s="81" t="s">
        <v>323</v>
      </c>
      <c r="B1913" s="145">
        <v>793</v>
      </c>
      <c r="C1913" s="83" t="s">
        <v>54</v>
      </c>
      <c r="D1913" s="83" t="s">
        <v>123</v>
      </c>
      <c r="E1913" s="83" t="s">
        <v>275</v>
      </c>
      <c r="F1913" s="83" t="s">
        <v>37</v>
      </c>
      <c r="G1913" s="86">
        <f>G1914</f>
        <v>0</v>
      </c>
      <c r="H1913" s="86">
        <f>H1914</f>
        <v>0</v>
      </c>
      <c r="I1913" s="171"/>
      <c r="J1913" s="199"/>
      <c r="K1913" s="198"/>
    </row>
    <row r="1914" spans="1:17" ht="35.25" hidden="1" customHeight="1">
      <c r="A1914" s="81" t="s">
        <v>38</v>
      </c>
      <c r="B1914" s="145">
        <v>793</v>
      </c>
      <c r="C1914" s="83" t="s">
        <v>54</v>
      </c>
      <c r="D1914" s="83" t="s">
        <v>123</v>
      </c>
      <c r="E1914" s="83" t="s">
        <v>275</v>
      </c>
      <c r="F1914" s="83" t="s">
        <v>39</v>
      </c>
      <c r="G1914" s="86"/>
      <c r="H1914" s="86"/>
      <c r="I1914" s="171"/>
      <c r="J1914" s="199"/>
      <c r="K1914" s="198"/>
    </row>
    <row r="1915" spans="1:17" s="28" customFormat="1" ht="24.75" hidden="1" customHeight="1">
      <c r="A1915" s="135" t="s">
        <v>169</v>
      </c>
      <c r="B1915" s="145">
        <v>793</v>
      </c>
      <c r="C1915" s="83" t="s">
        <v>54</v>
      </c>
      <c r="D1915" s="83" t="s">
        <v>123</v>
      </c>
      <c r="E1915" s="83" t="s">
        <v>233</v>
      </c>
      <c r="F1915" s="163"/>
      <c r="G1915" s="86">
        <f t="shared" ref="G1915:H1915" si="463">G1916</f>
        <v>0</v>
      </c>
      <c r="H1915" s="86">
        <f t="shared" si="463"/>
        <v>0</v>
      </c>
      <c r="I1915" s="171"/>
      <c r="J1915" s="208"/>
      <c r="K1915" s="208"/>
      <c r="L1915" s="195"/>
      <c r="M1915" s="195"/>
      <c r="N1915" s="195"/>
      <c r="O1915" s="195"/>
      <c r="P1915" s="195"/>
      <c r="Q1915" s="195"/>
    </row>
    <row r="1916" spans="1:17" ht="25.5" hidden="1">
      <c r="A1916" s="135" t="s">
        <v>169</v>
      </c>
      <c r="B1916" s="82">
        <v>795</v>
      </c>
      <c r="C1916" s="83" t="s">
        <v>54</v>
      </c>
      <c r="D1916" s="83" t="s">
        <v>123</v>
      </c>
      <c r="E1916" s="83" t="s">
        <v>275</v>
      </c>
      <c r="F1916" s="83"/>
      <c r="G1916" s="86">
        <f>G1917+G1919</f>
        <v>0</v>
      </c>
      <c r="H1916" s="86">
        <f>H1917+H1919</f>
        <v>0</v>
      </c>
      <c r="I1916" s="171"/>
      <c r="J1916" s="198"/>
      <c r="K1916" s="198"/>
    </row>
    <row r="1917" spans="1:17" hidden="1">
      <c r="A1917" s="81"/>
      <c r="B1917" s="82"/>
      <c r="C1917" s="83" t="s">
        <v>54</v>
      </c>
      <c r="D1917" s="83" t="s">
        <v>123</v>
      </c>
      <c r="E1917" s="83" t="s">
        <v>275</v>
      </c>
      <c r="F1917" s="83"/>
      <c r="G1917" s="86"/>
      <c r="H1917" s="86"/>
      <c r="I1917" s="171"/>
      <c r="J1917" s="198"/>
      <c r="K1917" s="198"/>
    </row>
    <row r="1918" spans="1:17" ht="30.75" hidden="1" customHeight="1">
      <c r="A1918" s="81"/>
      <c r="B1918" s="82"/>
      <c r="C1918" s="83" t="s">
        <v>54</v>
      </c>
      <c r="D1918" s="83" t="s">
        <v>123</v>
      </c>
      <c r="E1918" s="83" t="s">
        <v>275</v>
      </c>
      <c r="F1918" s="83"/>
      <c r="G1918" s="86"/>
      <c r="H1918" s="86"/>
      <c r="I1918" s="171"/>
      <c r="J1918" s="198"/>
      <c r="K1918" s="198"/>
    </row>
    <row r="1919" spans="1:17" ht="30.75" hidden="1" customHeight="1">
      <c r="A1919" s="81" t="s">
        <v>36</v>
      </c>
      <c r="B1919" s="82">
        <v>795</v>
      </c>
      <c r="C1919" s="83" t="s">
        <v>54</v>
      </c>
      <c r="D1919" s="83" t="s">
        <v>123</v>
      </c>
      <c r="E1919" s="83" t="s">
        <v>275</v>
      </c>
      <c r="F1919" s="83" t="s">
        <v>37</v>
      </c>
      <c r="G1919" s="86">
        <f>G1920</f>
        <v>0</v>
      </c>
      <c r="H1919" s="86">
        <f>H1920</f>
        <v>0</v>
      </c>
      <c r="I1919" s="171"/>
      <c r="J1919" s="198"/>
      <c r="K1919" s="198"/>
    </row>
    <row r="1920" spans="1:17" ht="35.25" hidden="1" customHeight="1">
      <c r="A1920" s="81" t="s">
        <v>38</v>
      </c>
      <c r="B1920" s="82">
        <v>795</v>
      </c>
      <c r="C1920" s="83" t="s">
        <v>54</v>
      </c>
      <c r="D1920" s="83" t="s">
        <v>123</v>
      </c>
      <c r="E1920" s="83" t="s">
        <v>275</v>
      </c>
      <c r="F1920" s="83" t="s">
        <v>39</v>
      </c>
      <c r="G1920" s="86"/>
      <c r="H1920" s="86"/>
      <c r="I1920" s="171"/>
      <c r="J1920" s="198"/>
      <c r="K1920" s="198"/>
    </row>
    <row r="1921" spans="1:17" s="46" customFormat="1" ht="23.25" hidden="1" customHeight="1">
      <c r="A1921" s="81" t="s">
        <v>87</v>
      </c>
      <c r="B1921" s="82">
        <v>795</v>
      </c>
      <c r="C1921" s="143" t="s">
        <v>54</v>
      </c>
      <c r="D1921" s="143" t="s">
        <v>88</v>
      </c>
      <c r="E1921" s="83"/>
      <c r="F1921" s="83"/>
      <c r="G1921" s="86">
        <f>G1922</f>
        <v>0</v>
      </c>
      <c r="H1921" s="86">
        <f t="shared" ref="H1921" si="464">H1922</f>
        <v>0</v>
      </c>
      <c r="I1921" s="171"/>
      <c r="J1921" s="198"/>
      <c r="K1921" s="198"/>
      <c r="L1921" s="213"/>
      <c r="M1921" s="213"/>
      <c r="N1921" s="213"/>
      <c r="O1921" s="213"/>
      <c r="P1921" s="213"/>
      <c r="Q1921" s="213"/>
    </row>
    <row r="1922" spans="1:17" s="22" customFormat="1" ht="57" hidden="1" customHeight="1">
      <c r="A1922" s="81" t="s">
        <v>489</v>
      </c>
      <c r="B1922" s="82">
        <v>795</v>
      </c>
      <c r="C1922" s="143" t="s">
        <v>54</v>
      </c>
      <c r="D1922" s="143" t="s">
        <v>88</v>
      </c>
      <c r="E1922" s="144" t="s">
        <v>295</v>
      </c>
      <c r="F1922" s="143"/>
      <c r="G1922" s="92">
        <f>G1923</f>
        <v>0</v>
      </c>
      <c r="H1922" s="92">
        <f>H1923</f>
        <v>0</v>
      </c>
      <c r="I1922" s="186"/>
      <c r="J1922" s="198"/>
      <c r="K1922" s="198"/>
      <c r="L1922" s="198"/>
      <c r="M1922" s="198"/>
      <c r="N1922" s="198"/>
      <c r="O1922" s="198"/>
      <c r="P1922" s="198"/>
      <c r="Q1922" s="198"/>
    </row>
    <row r="1923" spans="1:17" s="22" customFormat="1" ht="25.5" hidden="1">
      <c r="A1923" s="81" t="s">
        <v>76</v>
      </c>
      <c r="B1923" s="82">
        <v>795</v>
      </c>
      <c r="C1923" s="143" t="s">
        <v>54</v>
      </c>
      <c r="D1923" s="143" t="s">
        <v>88</v>
      </c>
      <c r="E1923" s="144" t="s">
        <v>282</v>
      </c>
      <c r="F1923" s="143"/>
      <c r="G1923" s="92">
        <f>G1924+G1927+G1928</f>
        <v>0</v>
      </c>
      <c r="H1923" s="92">
        <f t="shared" ref="H1923" si="465">H1924+H1927+H1928</f>
        <v>0</v>
      </c>
      <c r="I1923" s="186"/>
      <c r="J1923" s="198"/>
      <c r="K1923" s="198"/>
      <c r="L1923" s="198"/>
      <c r="M1923" s="198"/>
      <c r="N1923" s="198"/>
      <c r="O1923" s="198"/>
      <c r="P1923" s="198"/>
      <c r="Q1923" s="198"/>
    </row>
    <row r="1924" spans="1:17" s="22" customFormat="1" ht="63.75" hidden="1">
      <c r="A1924" s="142" t="s">
        <v>55</v>
      </c>
      <c r="B1924" s="82">
        <v>795</v>
      </c>
      <c r="C1924" s="143" t="s">
        <v>54</v>
      </c>
      <c r="D1924" s="143" t="s">
        <v>88</v>
      </c>
      <c r="E1924" s="144" t="s">
        <v>282</v>
      </c>
      <c r="F1924" s="144" t="s">
        <v>58</v>
      </c>
      <c r="G1924" s="92">
        <f>G1925</f>
        <v>0</v>
      </c>
      <c r="H1924" s="92">
        <f>H1925</f>
        <v>0</v>
      </c>
      <c r="I1924" s="186"/>
      <c r="J1924" s="198"/>
      <c r="K1924" s="198"/>
      <c r="L1924" s="198"/>
      <c r="M1924" s="198"/>
      <c r="N1924" s="198"/>
      <c r="O1924" s="198"/>
      <c r="P1924" s="198"/>
      <c r="Q1924" s="198"/>
    </row>
    <row r="1925" spans="1:17" s="22" customFormat="1" ht="25.5" hidden="1">
      <c r="A1925" s="142" t="s">
        <v>56</v>
      </c>
      <c r="B1925" s="82">
        <v>795</v>
      </c>
      <c r="C1925" s="143" t="s">
        <v>54</v>
      </c>
      <c r="D1925" s="143" t="s">
        <v>88</v>
      </c>
      <c r="E1925" s="144" t="s">
        <v>282</v>
      </c>
      <c r="F1925" s="144" t="s">
        <v>59</v>
      </c>
      <c r="G1925" s="92"/>
      <c r="H1925" s="92"/>
      <c r="I1925" s="186"/>
      <c r="J1925" s="198"/>
      <c r="K1925" s="198"/>
      <c r="L1925" s="198"/>
      <c r="M1925" s="198"/>
      <c r="N1925" s="198"/>
      <c r="O1925" s="198"/>
      <c r="P1925" s="198"/>
      <c r="Q1925" s="198"/>
    </row>
    <row r="1926" spans="1:17" ht="25.5" hidden="1">
      <c r="A1926" s="81" t="s">
        <v>36</v>
      </c>
      <c r="B1926" s="82">
        <v>795</v>
      </c>
      <c r="C1926" s="143" t="s">
        <v>54</v>
      </c>
      <c r="D1926" s="143" t="s">
        <v>88</v>
      </c>
      <c r="E1926" s="144" t="s">
        <v>282</v>
      </c>
      <c r="F1926" s="83" t="s">
        <v>37</v>
      </c>
      <c r="G1926" s="86">
        <f>G1927</f>
        <v>0</v>
      </c>
      <c r="H1926" s="86">
        <f t="shared" ref="H1926" si="466">H1927</f>
        <v>0</v>
      </c>
      <c r="I1926" s="171"/>
      <c r="J1926" s="198"/>
      <c r="K1926" s="198"/>
    </row>
    <row r="1927" spans="1:17" ht="25.5" hidden="1">
      <c r="A1927" s="81" t="s">
        <v>38</v>
      </c>
      <c r="B1927" s="82">
        <v>795</v>
      </c>
      <c r="C1927" s="143" t="s">
        <v>54</v>
      </c>
      <c r="D1927" s="143" t="s">
        <v>88</v>
      </c>
      <c r="E1927" s="144" t="s">
        <v>282</v>
      </c>
      <c r="F1927" s="83" t="s">
        <v>39</v>
      </c>
      <c r="G1927" s="86"/>
      <c r="H1927" s="86"/>
      <c r="I1927" s="171"/>
      <c r="J1927" s="198"/>
      <c r="K1927" s="198"/>
    </row>
    <row r="1928" spans="1:17" s="46" customFormat="1" hidden="1">
      <c r="A1928" s="81" t="s">
        <v>63</v>
      </c>
      <c r="B1928" s="145">
        <v>795</v>
      </c>
      <c r="C1928" s="143" t="s">
        <v>54</v>
      </c>
      <c r="D1928" s="143" t="s">
        <v>88</v>
      </c>
      <c r="E1928" s="144" t="s">
        <v>282</v>
      </c>
      <c r="F1928" s="83" t="s">
        <v>64</v>
      </c>
      <c r="G1928" s="86">
        <f>G1929</f>
        <v>0</v>
      </c>
      <c r="H1928" s="86">
        <f>H1929</f>
        <v>0</v>
      </c>
      <c r="I1928" s="171"/>
      <c r="J1928" s="198"/>
      <c r="K1928" s="198"/>
      <c r="L1928" s="213"/>
      <c r="M1928" s="213"/>
      <c r="N1928" s="213"/>
      <c r="O1928" s="213"/>
      <c r="P1928" s="213"/>
      <c r="Q1928" s="213"/>
    </row>
    <row r="1929" spans="1:17" s="46" customFormat="1" hidden="1">
      <c r="A1929" s="81" t="s">
        <v>144</v>
      </c>
      <c r="B1929" s="145">
        <v>795</v>
      </c>
      <c r="C1929" s="143" t="s">
        <v>54</v>
      </c>
      <c r="D1929" s="143" t="s">
        <v>88</v>
      </c>
      <c r="E1929" s="144" t="s">
        <v>282</v>
      </c>
      <c r="F1929" s="83" t="s">
        <v>67</v>
      </c>
      <c r="G1929" s="86"/>
      <c r="H1929" s="86"/>
      <c r="I1929" s="171"/>
      <c r="J1929" s="198"/>
      <c r="K1929" s="198"/>
      <c r="L1929" s="213"/>
      <c r="M1929" s="213"/>
      <c r="N1929" s="213"/>
      <c r="O1929" s="213"/>
      <c r="P1929" s="213"/>
      <c r="Q1929" s="213"/>
    </row>
    <row r="1930" spans="1:17" hidden="1">
      <c r="A1930" s="130" t="s">
        <v>346</v>
      </c>
      <c r="B1930" s="257">
        <v>795</v>
      </c>
      <c r="C1930" s="254" t="s">
        <v>173</v>
      </c>
      <c r="D1930" s="254"/>
      <c r="E1930" s="254"/>
      <c r="F1930" s="254"/>
      <c r="G1930" s="251">
        <f>G1960+G1931+G2037+G2060</f>
        <v>0</v>
      </c>
      <c r="H1930" s="251">
        <f>H1960+H1931+H2037+H2060</f>
        <v>0</v>
      </c>
      <c r="I1930" s="182"/>
      <c r="J1930" s="198"/>
      <c r="K1930" s="198"/>
    </row>
    <row r="1931" spans="1:17" hidden="1">
      <c r="A1931" s="128" t="s">
        <v>174</v>
      </c>
      <c r="B1931" s="82">
        <v>795</v>
      </c>
      <c r="C1931" s="149" t="s">
        <v>173</v>
      </c>
      <c r="D1931" s="149" t="s">
        <v>19</v>
      </c>
      <c r="E1931" s="254"/>
      <c r="F1931" s="254"/>
      <c r="G1931" s="93">
        <f>G1932+G1945+G1955</f>
        <v>0</v>
      </c>
      <c r="H1931" s="93">
        <f>H1932+H1945+H1955</f>
        <v>0</v>
      </c>
      <c r="I1931" s="185"/>
      <c r="J1931" s="198"/>
      <c r="K1931" s="198"/>
    </row>
    <row r="1932" spans="1:17" s="3" customFormat="1" ht="52.5" hidden="1" customHeight="1">
      <c r="A1932" s="81" t="s">
        <v>489</v>
      </c>
      <c r="B1932" s="82">
        <v>795</v>
      </c>
      <c r="C1932" s="83" t="s">
        <v>173</v>
      </c>
      <c r="D1932" s="83" t="s">
        <v>19</v>
      </c>
      <c r="E1932" s="83" t="s">
        <v>295</v>
      </c>
      <c r="F1932" s="83"/>
      <c r="G1932" s="86">
        <f>G1933+G1936+G1939+G1942</f>
        <v>0</v>
      </c>
      <c r="H1932" s="86">
        <f t="shared" ref="H1932" si="467">H1933+H1936+H1939+H1942</f>
        <v>0</v>
      </c>
      <c r="I1932" s="171"/>
      <c r="J1932" s="198"/>
      <c r="K1932" s="198"/>
      <c r="L1932" s="190"/>
      <c r="M1932" s="190"/>
      <c r="N1932" s="190"/>
      <c r="O1932" s="190"/>
      <c r="P1932" s="190"/>
      <c r="Q1932" s="190"/>
    </row>
    <row r="1933" spans="1:17" s="18" customFormat="1" ht="63" hidden="1" customHeight="1">
      <c r="A1933" s="81" t="s">
        <v>81</v>
      </c>
      <c r="B1933" s="82">
        <v>795</v>
      </c>
      <c r="C1933" s="83" t="s">
        <v>173</v>
      </c>
      <c r="D1933" s="83" t="s">
        <v>19</v>
      </c>
      <c r="E1933" s="83" t="s">
        <v>80</v>
      </c>
      <c r="F1933" s="83"/>
      <c r="G1933" s="86">
        <f t="shared" ref="G1933:H1934" si="468">G1934</f>
        <v>0</v>
      </c>
      <c r="H1933" s="86">
        <f t="shared" si="468"/>
        <v>0</v>
      </c>
      <c r="I1933" s="171"/>
      <c r="J1933" s="193"/>
      <c r="K1933" s="193"/>
      <c r="L1933" s="191"/>
      <c r="M1933" s="191"/>
      <c r="N1933" s="191"/>
      <c r="O1933" s="191"/>
      <c r="P1933" s="191"/>
      <c r="Q1933" s="191"/>
    </row>
    <row r="1934" spans="1:17" ht="30.75" hidden="1" customHeight="1">
      <c r="A1934" s="81" t="s">
        <v>36</v>
      </c>
      <c r="B1934" s="82">
        <v>795</v>
      </c>
      <c r="C1934" s="83" t="s">
        <v>173</v>
      </c>
      <c r="D1934" s="83" t="s">
        <v>19</v>
      </c>
      <c r="E1934" s="83" t="s">
        <v>80</v>
      </c>
      <c r="F1934" s="83" t="s">
        <v>37</v>
      </c>
      <c r="G1934" s="86">
        <f t="shared" si="468"/>
        <v>0</v>
      </c>
      <c r="H1934" s="86">
        <f t="shared" si="468"/>
        <v>0</v>
      </c>
      <c r="I1934" s="171"/>
      <c r="J1934" s="198"/>
      <c r="K1934" s="198"/>
    </row>
    <row r="1935" spans="1:17" s="18" customFormat="1" ht="34.5" hidden="1" customHeight="1">
      <c r="A1935" s="81" t="s">
        <v>38</v>
      </c>
      <c r="B1935" s="82">
        <v>795</v>
      </c>
      <c r="C1935" s="83" t="s">
        <v>173</v>
      </c>
      <c r="D1935" s="83" t="s">
        <v>19</v>
      </c>
      <c r="E1935" s="83" t="s">
        <v>80</v>
      </c>
      <c r="F1935" s="83" t="s">
        <v>39</v>
      </c>
      <c r="G1935" s="86"/>
      <c r="H1935" s="86"/>
      <c r="I1935" s="171"/>
      <c r="J1935" s="193"/>
      <c r="K1935" s="193"/>
      <c r="L1935" s="191"/>
      <c r="M1935" s="191"/>
      <c r="N1935" s="191"/>
      <c r="O1935" s="191"/>
      <c r="P1935" s="191"/>
      <c r="Q1935" s="191"/>
    </row>
    <row r="1936" spans="1:17" s="18" customFormat="1" ht="20.25" hidden="1" customHeight="1">
      <c r="A1936" s="81" t="s">
        <v>83</v>
      </c>
      <c r="B1936" s="82">
        <v>795</v>
      </c>
      <c r="C1936" s="83" t="s">
        <v>173</v>
      </c>
      <c r="D1936" s="83" t="s">
        <v>19</v>
      </c>
      <c r="E1936" s="83" t="s">
        <v>82</v>
      </c>
      <c r="F1936" s="83"/>
      <c r="G1936" s="86">
        <f t="shared" ref="G1936:H1937" si="469">G1937</f>
        <v>0</v>
      </c>
      <c r="H1936" s="86">
        <f t="shared" si="469"/>
        <v>0</v>
      </c>
      <c r="I1936" s="171"/>
      <c r="J1936" s="193"/>
      <c r="K1936" s="193"/>
      <c r="L1936" s="191"/>
      <c r="M1936" s="191"/>
      <c r="N1936" s="191"/>
      <c r="O1936" s="191"/>
      <c r="P1936" s="191"/>
      <c r="Q1936" s="191"/>
    </row>
    <row r="1937" spans="1:17" ht="30.75" hidden="1" customHeight="1">
      <c r="A1937" s="81" t="s">
        <v>36</v>
      </c>
      <c r="B1937" s="82">
        <v>795</v>
      </c>
      <c r="C1937" s="83" t="s">
        <v>173</v>
      </c>
      <c r="D1937" s="83" t="s">
        <v>19</v>
      </c>
      <c r="E1937" s="83" t="s">
        <v>82</v>
      </c>
      <c r="F1937" s="83" t="s">
        <v>37</v>
      </c>
      <c r="G1937" s="86">
        <f t="shared" si="469"/>
        <v>0</v>
      </c>
      <c r="H1937" s="86">
        <f t="shared" si="469"/>
        <v>0</v>
      </c>
      <c r="I1937" s="171"/>
      <c r="J1937" s="198"/>
      <c r="K1937" s="198"/>
    </row>
    <row r="1938" spans="1:17" s="18" customFormat="1" ht="34.5" hidden="1" customHeight="1">
      <c r="A1938" s="81" t="s">
        <v>38</v>
      </c>
      <c r="B1938" s="82">
        <v>795</v>
      </c>
      <c r="C1938" s="83" t="s">
        <v>173</v>
      </c>
      <c r="D1938" s="83" t="s">
        <v>19</v>
      </c>
      <c r="E1938" s="83" t="s">
        <v>82</v>
      </c>
      <c r="F1938" s="83" t="s">
        <v>39</v>
      </c>
      <c r="G1938" s="86"/>
      <c r="H1938" s="86"/>
      <c r="I1938" s="171"/>
      <c r="J1938" s="193"/>
      <c r="K1938" s="193"/>
      <c r="L1938" s="191"/>
      <c r="M1938" s="191"/>
      <c r="N1938" s="191"/>
      <c r="O1938" s="191"/>
      <c r="P1938" s="191"/>
      <c r="Q1938" s="191"/>
    </row>
    <row r="1939" spans="1:17" s="18" customFormat="1" ht="20.25" hidden="1" customHeight="1">
      <c r="A1939" s="81" t="s">
        <v>85</v>
      </c>
      <c r="B1939" s="82">
        <v>795</v>
      </c>
      <c r="C1939" s="83" t="s">
        <v>173</v>
      </c>
      <c r="D1939" s="83" t="s">
        <v>19</v>
      </c>
      <c r="E1939" s="83" t="s">
        <v>84</v>
      </c>
      <c r="F1939" s="83"/>
      <c r="G1939" s="86">
        <f t="shared" ref="G1939:H1940" si="470">G1940</f>
        <v>0</v>
      </c>
      <c r="H1939" s="86">
        <f t="shared" si="470"/>
        <v>0</v>
      </c>
      <c r="I1939" s="171"/>
      <c r="J1939" s="193"/>
      <c r="K1939" s="193"/>
      <c r="L1939" s="191"/>
      <c r="M1939" s="191"/>
      <c r="N1939" s="191"/>
      <c r="O1939" s="191"/>
      <c r="P1939" s="191"/>
      <c r="Q1939" s="191"/>
    </row>
    <row r="1940" spans="1:17" ht="30.75" hidden="1" customHeight="1">
      <c r="A1940" s="81" t="s">
        <v>36</v>
      </c>
      <c r="B1940" s="82">
        <v>795</v>
      </c>
      <c r="C1940" s="83" t="s">
        <v>173</v>
      </c>
      <c r="D1940" s="83" t="s">
        <v>19</v>
      </c>
      <c r="E1940" s="83" t="s">
        <v>84</v>
      </c>
      <c r="F1940" s="83" t="s">
        <v>37</v>
      </c>
      <c r="G1940" s="86">
        <f t="shared" si="470"/>
        <v>0</v>
      </c>
      <c r="H1940" s="86">
        <f t="shared" si="470"/>
        <v>0</v>
      </c>
      <c r="I1940" s="171"/>
      <c r="J1940" s="198"/>
      <c r="K1940" s="198"/>
    </row>
    <row r="1941" spans="1:17" s="18" customFormat="1" ht="34.5" hidden="1" customHeight="1">
      <c r="A1941" s="81" t="s">
        <v>38</v>
      </c>
      <c r="B1941" s="82">
        <v>795</v>
      </c>
      <c r="C1941" s="83" t="s">
        <v>173</v>
      </c>
      <c r="D1941" s="83" t="s">
        <v>19</v>
      </c>
      <c r="E1941" s="83" t="s">
        <v>84</v>
      </c>
      <c r="F1941" s="83" t="s">
        <v>39</v>
      </c>
      <c r="G1941" s="86"/>
      <c r="H1941" s="86"/>
      <c r="I1941" s="171"/>
      <c r="J1941" s="193"/>
      <c r="K1941" s="193"/>
      <c r="L1941" s="191"/>
      <c r="M1941" s="191"/>
      <c r="N1941" s="191"/>
      <c r="O1941" s="191"/>
      <c r="P1941" s="191"/>
      <c r="Q1941" s="191"/>
    </row>
    <row r="1942" spans="1:17" s="46" customFormat="1" ht="24" hidden="1" customHeight="1">
      <c r="A1942" s="81" t="s">
        <v>532</v>
      </c>
      <c r="B1942" s="82">
        <v>795</v>
      </c>
      <c r="C1942" s="149" t="s">
        <v>173</v>
      </c>
      <c r="D1942" s="149" t="s">
        <v>19</v>
      </c>
      <c r="E1942" s="83" t="s">
        <v>531</v>
      </c>
      <c r="F1942" s="83"/>
      <c r="G1942" s="86">
        <f t="shared" ref="G1942:H1943" si="471">G1943</f>
        <v>0</v>
      </c>
      <c r="H1942" s="86">
        <f t="shared" si="471"/>
        <v>0</v>
      </c>
      <c r="I1942" s="171"/>
      <c r="J1942" s="198"/>
      <c r="K1942" s="198"/>
      <c r="L1942" s="213"/>
      <c r="M1942" s="213"/>
      <c r="N1942" s="213"/>
      <c r="O1942" s="213"/>
      <c r="P1942" s="213"/>
      <c r="Q1942" s="213"/>
    </row>
    <row r="1943" spans="1:17" s="46" customFormat="1" ht="28.5" hidden="1" customHeight="1">
      <c r="A1943" s="81" t="s">
        <v>323</v>
      </c>
      <c r="B1943" s="82">
        <v>795</v>
      </c>
      <c r="C1943" s="149" t="s">
        <v>173</v>
      </c>
      <c r="D1943" s="149" t="s">
        <v>19</v>
      </c>
      <c r="E1943" s="83" t="s">
        <v>531</v>
      </c>
      <c r="F1943" s="83" t="s">
        <v>37</v>
      </c>
      <c r="G1943" s="86">
        <f t="shared" si="471"/>
        <v>0</v>
      </c>
      <c r="H1943" s="86">
        <f t="shared" si="471"/>
        <v>0</v>
      </c>
      <c r="I1943" s="171"/>
      <c r="J1943" s="198"/>
      <c r="K1943" s="198"/>
      <c r="L1943" s="213"/>
      <c r="M1943" s="213"/>
      <c r="N1943" s="213"/>
      <c r="O1943" s="213"/>
      <c r="P1943" s="213"/>
      <c r="Q1943" s="213"/>
    </row>
    <row r="1944" spans="1:17" s="46" customFormat="1" ht="28.5" hidden="1" customHeight="1">
      <c r="A1944" s="81" t="s">
        <v>38</v>
      </c>
      <c r="B1944" s="82">
        <v>795</v>
      </c>
      <c r="C1944" s="149" t="s">
        <v>173</v>
      </c>
      <c r="D1944" s="149" t="s">
        <v>19</v>
      </c>
      <c r="E1944" s="83" t="s">
        <v>531</v>
      </c>
      <c r="F1944" s="83" t="s">
        <v>39</v>
      </c>
      <c r="G1944" s="86"/>
      <c r="H1944" s="86">
        <v>0</v>
      </c>
      <c r="I1944" s="171"/>
      <c r="J1944" s="198"/>
      <c r="K1944" s="198"/>
      <c r="L1944" s="213"/>
      <c r="M1944" s="213"/>
      <c r="N1944" s="213"/>
      <c r="O1944" s="213"/>
      <c r="P1944" s="213"/>
      <c r="Q1944" s="213"/>
    </row>
    <row r="1945" spans="1:17" s="18" customFormat="1" ht="51" hidden="1">
      <c r="A1945" s="81" t="s">
        <v>508</v>
      </c>
      <c r="B1945" s="82">
        <v>795</v>
      </c>
      <c r="C1945" s="149" t="s">
        <v>173</v>
      </c>
      <c r="D1945" s="149" t="s">
        <v>19</v>
      </c>
      <c r="E1945" s="83" t="s">
        <v>214</v>
      </c>
      <c r="F1945" s="83"/>
      <c r="G1945" s="86">
        <f>G1946+G1952+G1949</f>
        <v>0</v>
      </c>
      <c r="H1945" s="86">
        <f t="shared" ref="H1945" si="472">H1946+H1952+H1949</f>
        <v>0</v>
      </c>
      <c r="I1945" s="171"/>
      <c r="J1945" s="193"/>
      <c r="K1945" s="193"/>
      <c r="L1945" s="191"/>
      <c r="M1945" s="191"/>
      <c r="N1945" s="191"/>
      <c r="O1945" s="191"/>
      <c r="P1945" s="191"/>
      <c r="Q1945" s="191"/>
    </row>
    <row r="1946" spans="1:17" s="18" customFormat="1" ht="89.25" hidden="1">
      <c r="A1946" s="81" t="s">
        <v>436</v>
      </c>
      <c r="B1946" s="82">
        <v>795</v>
      </c>
      <c r="C1946" s="149" t="s">
        <v>173</v>
      </c>
      <c r="D1946" s="149" t="s">
        <v>19</v>
      </c>
      <c r="E1946" s="83" t="s">
        <v>519</v>
      </c>
      <c r="F1946" s="83"/>
      <c r="G1946" s="86">
        <f>G1947</f>
        <v>0</v>
      </c>
      <c r="H1946" s="86">
        <f t="shared" ref="H1946:H1950" si="473">H1947</f>
        <v>0</v>
      </c>
      <c r="I1946" s="171"/>
      <c r="J1946" s="193"/>
      <c r="K1946" s="193"/>
      <c r="L1946" s="191"/>
      <c r="M1946" s="191"/>
      <c r="N1946" s="191"/>
      <c r="O1946" s="191"/>
      <c r="P1946" s="191"/>
      <c r="Q1946" s="191"/>
    </row>
    <row r="1947" spans="1:17" s="18" customFormat="1" ht="23.25" hidden="1" customHeight="1">
      <c r="A1947" s="81" t="s">
        <v>63</v>
      </c>
      <c r="B1947" s="82">
        <v>795</v>
      </c>
      <c r="C1947" s="149" t="s">
        <v>173</v>
      </c>
      <c r="D1947" s="149" t="s">
        <v>19</v>
      </c>
      <c r="E1947" s="83" t="s">
        <v>519</v>
      </c>
      <c r="F1947" s="83" t="s">
        <v>64</v>
      </c>
      <c r="G1947" s="86">
        <f>G1948</f>
        <v>0</v>
      </c>
      <c r="H1947" s="86">
        <f t="shared" si="473"/>
        <v>0</v>
      </c>
      <c r="I1947" s="171"/>
      <c r="J1947" s="193"/>
      <c r="K1947" s="193"/>
      <c r="L1947" s="191"/>
      <c r="M1947" s="191"/>
      <c r="N1947" s="191"/>
      <c r="O1947" s="191"/>
      <c r="P1947" s="191"/>
      <c r="Q1947" s="191"/>
    </row>
    <row r="1948" spans="1:17" s="18" customFormat="1" ht="20.25" hidden="1" customHeight="1">
      <c r="A1948" s="129" t="s">
        <v>144</v>
      </c>
      <c r="B1948" s="82">
        <v>795</v>
      </c>
      <c r="C1948" s="149" t="s">
        <v>173</v>
      </c>
      <c r="D1948" s="149" t="s">
        <v>19</v>
      </c>
      <c r="E1948" s="83" t="s">
        <v>519</v>
      </c>
      <c r="F1948" s="83" t="s">
        <v>67</v>
      </c>
      <c r="G1948" s="86"/>
      <c r="H1948" s="86"/>
      <c r="I1948" s="171"/>
      <c r="J1948" s="193"/>
      <c r="K1948" s="193"/>
      <c r="L1948" s="191"/>
      <c r="M1948" s="191"/>
      <c r="N1948" s="191"/>
      <c r="O1948" s="191"/>
      <c r="P1948" s="191"/>
      <c r="Q1948" s="191"/>
    </row>
    <row r="1949" spans="1:17" s="18" customFormat="1" ht="76.5" hidden="1">
      <c r="A1949" s="81" t="s">
        <v>437</v>
      </c>
      <c r="B1949" s="82">
        <v>795</v>
      </c>
      <c r="C1949" s="149" t="s">
        <v>173</v>
      </c>
      <c r="D1949" s="149" t="s">
        <v>19</v>
      </c>
      <c r="E1949" s="83" t="s">
        <v>520</v>
      </c>
      <c r="F1949" s="83"/>
      <c r="G1949" s="86">
        <f>G1950</f>
        <v>0</v>
      </c>
      <c r="H1949" s="86">
        <f t="shared" si="473"/>
        <v>0</v>
      </c>
      <c r="I1949" s="171"/>
      <c r="J1949" s="193"/>
      <c r="K1949" s="193"/>
      <c r="L1949" s="191"/>
      <c r="M1949" s="191"/>
      <c r="N1949" s="191"/>
      <c r="O1949" s="191"/>
      <c r="P1949" s="191"/>
      <c r="Q1949" s="191"/>
    </row>
    <row r="1950" spans="1:17" s="18" customFormat="1" ht="22.5" hidden="1" customHeight="1">
      <c r="A1950" s="81" t="s">
        <v>63</v>
      </c>
      <c r="B1950" s="82">
        <v>795</v>
      </c>
      <c r="C1950" s="149" t="s">
        <v>173</v>
      </c>
      <c r="D1950" s="149" t="s">
        <v>19</v>
      </c>
      <c r="E1950" s="83" t="s">
        <v>520</v>
      </c>
      <c r="F1950" s="83" t="s">
        <v>64</v>
      </c>
      <c r="G1950" s="86">
        <f>G1951</f>
        <v>0</v>
      </c>
      <c r="H1950" s="86">
        <f t="shared" si="473"/>
        <v>0</v>
      </c>
      <c r="I1950" s="171"/>
      <c r="J1950" s="193"/>
      <c r="K1950" s="193"/>
      <c r="L1950" s="191"/>
      <c r="M1950" s="191"/>
      <c r="N1950" s="191"/>
      <c r="O1950" s="191"/>
      <c r="P1950" s="191"/>
      <c r="Q1950" s="191"/>
    </row>
    <row r="1951" spans="1:17" s="18" customFormat="1" ht="17.25" hidden="1" customHeight="1">
      <c r="A1951" s="129" t="s">
        <v>144</v>
      </c>
      <c r="B1951" s="82">
        <v>795</v>
      </c>
      <c r="C1951" s="149" t="s">
        <v>173</v>
      </c>
      <c r="D1951" s="149" t="s">
        <v>19</v>
      </c>
      <c r="E1951" s="83" t="s">
        <v>520</v>
      </c>
      <c r="F1951" s="83" t="s">
        <v>67</v>
      </c>
      <c r="G1951" s="86"/>
      <c r="H1951" s="86"/>
      <c r="I1951" s="171"/>
      <c r="J1951" s="193"/>
      <c r="K1951" s="193"/>
      <c r="L1951" s="191"/>
      <c r="M1951" s="191"/>
      <c r="N1951" s="191"/>
      <c r="O1951" s="191"/>
      <c r="P1951" s="191"/>
      <c r="Q1951" s="191"/>
    </row>
    <row r="1952" spans="1:17" s="46" customFormat="1" ht="48.75" hidden="1" customHeight="1">
      <c r="A1952" s="81" t="s">
        <v>422</v>
      </c>
      <c r="B1952" s="82">
        <v>795</v>
      </c>
      <c r="C1952" s="149" t="s">
        <v>173</v>
      </c>
      <c r="D1952" s="149" t="s">
        <v>19</v>
      </c>
      <c r="E1952" s="83" t="s">
        <v>377</v>
      </c>
      <c r="F1952" s="83"/>
      <c r="G1952" s="86">
        <f>G1953+G1958</f>
        <v>0</v>
      </c>
      <c r="H1952" s="86">
        <f t="shared" ref="G1952:H1953" si="474">H1953</f>
        <v>0</v>
      </c>
      <c r="I1952" s="171"/>
      <c r="J1952" s="198"/>
      <c r="K1952" s="198"/>
      <c r="L1952" s="213"/>
      <c r="M1952" s="213"/>
      <c r="N1952" s="213"/>
      <c r="O1952" s="213"/>
      <c r="P1952" s="213"/>
      <c r="Q1952" s="213"/>
    </row>
    <row r="1953" spans="1:17" s="46" customFormat="1" ht="21" hidden="1" customHeight="1">
      <c r="A1953" s="81" t="s">
        <v>323</v>
      </c>
      <c r="B1953" s="82">
        <v>795</v>
      </c>
      <c r="C1953" s="149" t="s">
        <v>173</v>
      </c>
      <c r="D1953" s="149" t="s">
        <v>19</v>
      </c>
      <c r="E1953" s="83" t="s">
        <v>377</v>
      </c>
      <c r="F1953" s="83" t="s">
        <v>37</v>
      </c>
      <c r="G1953" s="86">
        <f t="shared" si="474"/>
        <v>0</v>
      </c>
      <c r="H1953" s="86">
        <f t="shared" si="474"/>
        <v>0</v>
      </c>
      <c r="I1953" s="171"/>
      <c r="J1953" s="198"/>
      <c r="K1953" s="198"/>
      <c r="L1953" s="213"/>
      <c r="M1953" s="213"/>
      <c r="N1953" s="213"/>
      <c r="O1953" s="213"/>
      <c r="P1953" s="213"/>
      <c r="Q1953" s="213"/>
    </row>
    <row r="1954" spans="1:17" s="46" customFormat="1" ht="28.5" hidden="1" customHeight="1">
      <c r="A1954" s="81" t="s">
        <v>38</v>
      </c>
      <c r="B1954" s="82">
        <v>795</v>
      </c>
      <c r="C1954" s="149" t="s">
        <v>173</v>
      </c>
      <c r="D1954" s="149" t="s">
        <v>19</v>
      </c>
      <c r="E1954" s="83" t="s">
        <v>377</v>
      </c>
      <c r="F1954" s="83" t="s">
        <v>39</v>
      </c>
      <c r="G1954" s="86"/>
      <c r="H1954" s="86"/>
      <c r="I1954" s="171"/>
      <c r="J1954" s="198"/>
      <c r="K1954" s="198"/>
      <c r="L1954" s="213"/>
      <c r="M1954" s="213"/>
      <c r="N1954" s="213"/>
      <c r="O1954" s="213"/>
      <c r="P1954" s="213"/>
      <c r="Q1954" s="213"/>
    </row>
    <row r="1955" spans="1:17" ht="25.5" hidden="1">
      <c r="A1955" s="81" t="s">
        <v>169</v>
      </c>
      <c r="B1955" s="82">
        <v>795</v>
      </c>
      <c r="C1955" s="149" t="s">
        <v>173</v>
      </c>
      <c r="D1955" s="149" t="s">
        <v>19</v>
      </c>
      <c r="E1955" s="83" t="s">
        <v>275</v>
      </c>
      <c r="F1955" s="83"/>
      <c r="G1955" s="86">
        <f>G1956</f>
        <v>0</v>
      </c>
      <c r="H1955" s="86"/>
      <c r="I1955" s="171"/>
      <c r="J1955" s="198"/>
      <c r="K1955" s="198"/>
    </row>
    <row r="1956" spans="1:17" ht="25.5" hidden="1">
      <c r="A1956" s="81" t="s">
        <v>323</v>
      </c>
      <c r="B1956" s="82">
        <v>795</v>
      </c>
      <c r="C1956" s="149" t="s">
        <v>173</v>
      </c>
      <c r="D1956" s="149" t="s">
        <v>19</v>
      </c>
      <c r="E1956" s="83" t="s">
        <v>275</v>
      </c>
      <c r="F1956" s="83" t="s">
        <v>37</v>
      </c>
      <c r="G1956" s="86">
        <f>G1957</f>
        <v>0</v>
      </c>
      <c r="H1956" s="86"/>
      <c r="I1956" s="171"/>
      <c r="J1956" s="198"/>
      <c r="K1956" s="198"/>
    </row>
    <row r="1957" spans="1:17" ht="25.5" hidden="1">
      <c r="A1957" s="81" t="s">
        <v>38</v>
      </c>
      <c r="B1957" s="82">
        <v>795</v>
      </c>
      <c r="C1957" s="149" t="s">
        <v>173</v>
      </c>
      <c r="D1957" s="149" t="s">
        <v>19</v>
      </c>
      <c r="E1957" s="83" t="s">
        <v>275</v>
      </c>
      <c r="F1957" s="83" t="s">
        <v>39</v>
      </c>
      <c r="G1957" s="86"/>
      <c r="H1957" s="86">
        <v>0</v>
      </c>
      <c r="I1957" s="171"/>
      <c r="J1957" s="198"/>
      <c r="K1957" s="198"/>
    </row>
    <row r="1958" spans="1:17" ht="23.25" hidden="1" customHeight="1">
      <c r="A1958" s="81" t="s">
        <v>156</v>
      </c>
      <c r="B1958" s="82">
        <v>795</v>
      </c>
      <c r="C1958" s="83" t="s">
        <v>173</v>
      </c>
      <c r="D1958" s="83" t="s">
        <v>28</v>
      </c>
      <c r="E1958" s="83" t="s">
        <v>377</v>
      </c>
      <c r="F1958" s="83" t="s">
        <v>157</v>
      </c>
      <c r="G1958" s="86">
        <f>G1959</f>
        <v>0</v>
      </c>
      <c r="H1958" s="86">
        <f>H1959</f>
        <v>0</v>
      </c>
      <c r="I1958" s="171"/>
      <c r="J1958" s="198"/>
      <c r="K1958" s="198"/>
    </row>
    <row r="1959" spans="1:17" ht="23.25" hidden="1" customHeight="1">
      <c r="A1959" s="81" t="s">
        <v>178</v>
      </c>
      <c r="B1959" s="82">
        <v>795</v>
      </c>
      <c r="C1959" s="83" t="s">
        <v>173</v>
      </c>
      <c r="D1959" s="83" t="s">
        <v>28</v>
      </c>
      <c r="E1959" s="83" t="s">
        <v>377</v>
      </c>
      <c r="F1959" s="83" t="s">
        <v>179</v>
      </c>
      <c r="G1959" s="86"/>
      <c r="H1959" s="86">
        <v>0</v>
      </c>
      <c r="I1959" s="171"/>
      <c r="J1959" s="198"/>
      <c r="K1959" s="198"/>
    </row>
    <row r="1960" spans="1:17" hidden="1">
      <c r="A1960" s="131" t="s">
        <v>175</v>
      </c>
      <c r="B1960" s="82">
        <v>795</v>
      </c>
      <c r="C1960" s="83" t="s">
        <v>173</v>
      </c>
      <c r="D1960" s="83" t="s">
        <v>28</v>
      </c>
      <c r="E1960" s="83"/>
      <c r="F1960" s="83"/>
      <c r="G1960" s="86">
        <f>G1961+G2019+G2031</f>
        <v>0</v>
      </c>
      <c r="H1960" s="86">
        <f>H1961+H2011+H2016</f>
        <v>0</v>
      </c>
      <c r="I1960" s="171"/>
      <c r="J1960" s="198"/>
      <c r="K1960" s="198"/>
    </row>
    <row r="1961" spans="1:17" s="3" customFormat="1" ht="52.5" hidden="1" customHeight="1">
      <c r="A1961" s="81" t="s">
        <v>489</v>
      </c>
      <c r="B1961" s="82">
        <v>795</v>
      </c>
      <c r="C1961" s="83" t="s">
        <v>173</v>
      </c>
      <c r="D1961" s="83" t="s">
        <v>28</v>
      </c>
      <c r="E1961" s="83" t="s">
        <v>295</v>
      </c>
      <c r="F1961" s="83"/>
      <c r="G1961" s="86">
        <f>G1962+G1970+G1973+G1976+G1979+G1982+G1985+G1988+G1996</f>
        <v>0</v>
      </c>
      <c r="H1961" s="86">
        <f t="shared" ref="H1961" si="475">H1962+H1973+H1988+H1999+H2002+H1991+H1996+H2005+H2008+H1967</f>
        <v>0</v>
      </c>
      <c r="I1961" s="171"/>
      <c r="J1961" s="198"/>
      <c r="K1961" s="198"/>
      <c r="L1961" s="190"/>
      <c r="M1961" s="190"/>
      <c r="N1961" s="190"/>
      <c r="O1961" s="190"/>
      <c r="P1961" s="190"/>
      <c r="Q1961" s="190"/>
    </row>
    <row r="1962" spans="1:17" hidden="1">
      <c r="A1962" s="81" t="s">
        <v>749</v>
      </c>
      <c r="B1962" s="82">
        <v>795</v>
      </c>
      <c r="C1962" s="83" t="s">
        <v>173</v>
      </c>
      <c r="D1962" s="83" t="s">
        <v>28</v>
      </c>
      <c r="E1962" s="83" t="s">
        <v>296</v>
      </c>
      <c r="F1962" s="83"/>
      <c r="G1962" s="86">
        <f>G1963+G1965</f>
        <v>0</v>
      </c>
      <c r="H1962" s="86">
        <f t="shared" ref="G1962:H1971" si="476">H1963</f>
        <v>0</v>
      </c>
      <c r="I1962" s="171"/>
      <c r="J1962" s="198"/>
      <c r="K1962" s="198"/>
    </row>
    <row r="1963" spans="1:17" ht="25.5" hidden="1">
      <c r="A1963" s="81" t="s">
        <v>36</v>
      </c>
      <c r="B1963" s="82">
        <v>795</v>
      </c>
      <c r="C1963" s="83" t="s">
        <v>173</v>
      </c>
      <c r="D1963" s="83" t="s">
        <v>28</v>
      </c>
      <c r="E1963" s="83" t="s">
        <v>296</v>
      </c>
      <c r="F1963" s="83" t="s">
        <v>37</v>
      </c>
      <c r="G1963" s="86">
        <f t="shared" si="476"/>
        <v>0</v>
      </c>
      <c r="H1963" s="86">
        <f t="shared" si="476"/>
        <v>0</v>
      </c>
      <c r="I1963" s="171"/>
      <c r="J1963" s="198"/>
      <c r="K1963" s="198"/>
    </row>
    <row r="1964" spans="1:17" ht="25.5" hidden="1">
      <c r="A1964" s="81" t="s">
        <v>38</v>
      </c>
      <c r="B1964" s="82">
        <v>795</v>
      </c>
      <c r="C1964" s="83" t="s">
        <v>173</v>
      </c>
      <c r="D1964" s="83" t="s">
        <v>28</v>
      </c>
      <c r="E1964" s="83" t="s">
        <v>296</v>
      </c>
      <c r="F1964" s="83" t="s">
        <v>39</v>
      </c>
      <c r="G1964" s="86"/>
      <c r="H1964" s="86"/>
      <c r="I1964" s="171"/>
      <c r="J1964" s="198"/>
      <c r="K1964" s="198"/>
    </row>
    <row r="1965" spans="1:17" hidden="1">
      <c r="A1965" s="81" t="s">
        <v>63</v>
      </c>
      <c r="B1965" s="82">
        <v>795</v>
      </c>
      <c r="C1965" s="83" t="s">
        <v>173</v>
      </c>
      <c r="D1965" s="83" t="s">
        <v>28</v>
      </c>
      <c r="E1965" s="83" t="s">
        <v>296</v>
      </c>
      <c r="F1965" s="83" t="s">
        <v>64</v>
      </c>
      <c r="G1965" s="86">
        <f>G1966</f>
        <v>0</v>
      </c>
      <c r="H1965" s="86"/>
      <c r="I1965" s="171"/>
      <c r="J1965" s="198"/>
      <c r="K1965" s="198"/>
    </row>
    <row r="1966" spans="1:17" hidden="1">
      <c r="A1966" s="81" t="s">
        <v>180</v>
      </c>
      <c r="B1966" s="82">
        <v>795</v>
      </c>
      <c r="C1966" s="83" t="s">
        <v>173</v>
      </c>
      <c r="D1966" s="83" t="s">
        <v>28</v>
      </c>
      <c r="E1966" s="83" t="s">
        <v>296</v>
      </c>
      <c r="F1966" s="83" t="s">
        <v>181</v>
      </c>
      <c r="G1966" s="86">
        <v>0</v>
      </c>
      <c r="H1966" s="86"/>
      <c r="I1966" s="171"/>
      <c r="J1966" s="198"/>
      <c r="K1966" s="198"/>
    </row>
    <row r="1967" spans="1:17" hidden="1">
      <c r="A1967" s="81" t="s">
        <v>694</v>
      </c>
      <c r="B1967" s="82">
        <v>795</v>
      </c>
      <c r="C1967" s="83" t="s">
        <v>173</v>
      </c>
      <c r="D1967" s="83" t="s">
        <v>28</v>
      </c>
      <c r="E1967" s="83" t="s">
        <v>693</v>
      </c>
      <c r="F1967" s="83"/>
      <c r="G1967" s="86">
        <f t="shared" si="476"/>
        <v>0</v>
      </c>
      <c r="H1967" s="86">
        <f t="shared" si="476"/>
        <v>0</v>
      </c>
      <c r="I1967" s="171"/>
      <c r="J1967" s="198"/>
      <c r="K1967" s="198"/>
    </row>
    <row r="1968" spans="1:17" ht="25.5" hidden="1">
      <c r="A1968" s="81" t="s">
        <v>36</v>
      </c>
      <c r="B1968" s="82">
        <v>795</v>
      </c>
      <c r="C1968" s="83" t="s">
        <v>173</v>
      </c>
      <c r="D1968" s="83" t="s">
        <v>28</v>
      </c>
      <c r="E1968" s="83" t="s">
        <v>693</v>
      </c>
      <c r="F1968" s="83" t="s">
        <v>37</v>
      </c>
      <c r="G1968" s="86">
        <f t="shared" si="476"/>
        <v>0</v>
      </c>
      <c r="H1968" s="86">
        <f t="shared" si="476"/>
        <v>0</v>
      </c>
      <c r="I1968" s="171"/>
      <c r="J1968" s="198"/>
      <c r="K1968" s="198"/>
    </row>
    <row r="1969" spans="1:17" ht="25.5" hidden="1">
      <c r="A1969" s="81" t="s">
        <v>38</v>
      </c>
      <c r="B1969" s="82">
        <v>795</v>
      </c>
      <c r="C1969" s="83" t="s">
        <v>173</v>
      </c>
      <c r="D1969" s="83" t="s">
        <v>28</v>
      </c>
      <c r="E1969" s="83" t="s">
        <v>693</v>
      </c>
      <c r="F1969" s="83" t="s">
        <v>39</v>
      </c>
      <c r="G1969" s="86"/>
      <c r="H1969" s="86">
        <v>0</v>
      </c>
      <c r="I1969" s="171"/>
      <c r="J1969" s="198"/>
      <c r="K1969" s="198"/>
    </row>
    <row r="1970" spans="1:17" hidden="1">
      <c r="A1970" s="81" t="s">
        <v>740</v>
      </c>
      <c r="B1970" s="82">
        <v>795</v>
      </c>
      <c r="C1970" s="83" t="s">
        <v>173</v>
      </c>
      <c r="D1970" s="83" t="s">
        <v>28</v>
      </c>
      <c r="E1970" s="83" t="s">
        <v>739</v>
      </c>
      <c r="F1970" s="83"/>
      <c r="G1970" s="86">
        <f t="shared" si="476"/>
        <v>0</v>
      </c>
      <c r="H1970" s="86">
        <f t="shared" si="476"/>
        <v>0</v>
      </c>
      <c r="I1970" s="171"/>
      <c r="J1970" s="198"/>
      <c r="K1970" s="198"/>
    </row>
    <row r="1971" spans="1:17" ht="25.5" hidden="1">
      <c r="A1971" s="81" t="s">
        <v>36</v>
      </c>
      <c r="B1971" s="82">
        <v>795</v>
      </c>
      <c r="C1971" s="83" t="s">
        <v>173</v>
      </c>
      <c r="D1971" s="83" t="s">
        <v>28</v>
      </c>
      <c r="E1971" s="83" t="s">
        <v>739</v>
      </c>
      <c r="F1971" s="83" t="s">
        <v>37</v>
      </c>
      <c r="G1971" s="86">
        <f t="shared" si="476"/>
        <v>0</v>
      </c>
      <c r="H1971" s="86">
        <f t="shared" si="476"/>
        <v>0</v>
      </c>
      <c r="I1971" s="171"/>
      <c r="J1971" s="198"/>
      <c r="K1971" s="198"/>
    </row>
    <row r="1972" spans="1:17" ht="25.5" hidden="1">
      <c r="A1972" s="81" t="s">
        <v>38</v>
      </c>
      <c r="B1972" s="82">
        <v>795</v>
      </c>
      <c r="C1972" s="83" t="s">
        <v>173</v>
      </c>
      <c r="D1972" s="83" t="s">
        <v>28</v>
      </c>
      <c r="E1972" s="83" t="s">
        <v>739</v>
      </c>
      <c r="F1972" s="83" t="s">
        <v>39</v>
      </c>
      <c r="G1972" s="86"/>
      <c r="H1972" s="86"/>
      <c r="I1972" s="171"/>
      <c r="J1972" s="198"/>
      <c r="K1972" s="198"/>
    </row>
    <row r="1973" spans="1:17" s="3" customFormat="1" ht="67.5" hidden="1" customHeight="1">
      <c r="A1973" s="81" t="s">
        <v>320</v>
      </c>
      <c r="B1973" s="82">
        <v>795</v>
      </c>
      <c r="C1973" s="83" t="s">
        <v>173</v>
      </c>
      <c r="D1973" s="83" t="s">
        <v>28</v>
      </c>
      <c r="E1973" s="83" t="s">
        <v>321</v>
      </c>
      <c r="F1973" s="83"/>
      <c r="G1973" s="86">
        <f>G1975</f>
        <v>0</v>
      </c>
      <c r="H1973" s="86">
        <f>H1975</f>
        <v>0</v>
      </c>
      <c r="I1973" s="171"/>
      <c r="J1973" s="198"/>
      <c r="K1973" s="198"/>
      <c r="L1973" s="190"/>
      <c r="M1973" s="190"/>
      <c r="N1973" s="190"/>
      <c r="O1973" s="190"/>
      <c r="P1973" s="190"/>
      <c r="Q1973" s="190"/>
    </row>
    <row r="1974" spans="1:17" hidden="1">
      <c r="A1974" s="81" t="s">
        <v>156</v>
      </c>
      <c r="B1974" s="82">
        <v>795</v>
      </c>
      <c r="C1974" s="83" t="s">
        <v>173</v>
      </c>
      <c r="D1974" s="83" t="s">
        <v>28</v>
      </c>
      <c r="E1974" s="83" t="s">
        <v>321</v>
      </c>
      <c r="F1974" s="83" t="s">
        <v>157</v>
      </c>
      <c r="G1974" s="86">
        <f>G1975</f>
        <v>0</v>
      </c>
      <c r="H1974" s="86">
        <f>H1975</f>
        <v>0</v>
      </c>
      <c r="I1974" s="171"/>
      <c r="J1974" s="198"/>
      <c r="K1974" s="198"/>
    </row>
    <row r="1975" spans="1:17" hidden="1">
      <c r="A1975" s="81" t="s">
        <v>178</v>
      </c>
      <c r="B1975" s="82">
        <v>795</v>
      </c>
      <c r="C1975" s="83" t="s">
        <v>173</v>
      </c>
      <c r="D1975" s="83" t="s">
        <v>28</v>
      </c>
      <c r="E1975" s="83" t="s">
        <v>321</v>
      </c>
      <c r="F1975" s="83" t="s">
        <v>179</v>
      </c>
      <c r="G1975" s="86"/>
      <c r="H1975" s="86"/>
      <c r="I1975" s="171"/>
      <c r="J1975" s="198"/>
      <c r="K1975" s="198"/>
    </row>
    <row r="1976" spans="1:17" ht="44.25" hidden="1" customHeight="1">
      <c r="A1976" s="81" t="s">
        <v>806</v>
      </c>
      <c r="B1976" s="82">
        <v>795</v>
      </c>
      <c r="C1976" s="83" t="s">
        <v>173</v>
      </c>
      <c r="D1976" s="83" t="s">
        <v>28</v>
      </c>
      <c r="E1976" s="83" t="s">
        <v>805</v>
      </c>
      <c r="F1976" s="83"/>
      <c r="G1976" s="86">
        <f t="shared" ref="G1976:H1986" si="477">G1977</f>
        <v>0</v>
      </c>
      <c r="H1976" s="86">
        <f t="shared" si="477"/>
        <v>0</v>
      </c>
      <c r="I1976" s="171"/>
      <c r="J1976" s="198"/>
      <c r="K1976" s="198"/>
    </row>
    <row r="1977" spans="1:17" ht="34.5" hidden="1" customHeight="1">
      <c r="A1977" s="81" t="s">
        <v>36</v>
      </c>
      <c r="B1977" s="82">
        <v>795</v>
      </c>
      <c r="C1977" s="83" t="s">
        <v>173</v>
      </c>
      <c r="D1977" s="83" t="s">
        <v>28</v>
      </c>
      <c r="E1977" s="83" t="s">
        <v>805</v>
      </c>
      <c r="F1977" s="83" t="s">
        <v>348</v>
      </c>
      <c r="G1977" s="86">
        <f t="shared" si="477"/>
        <v>0</v>
      </c>
      <c r="H1977" s="86">
        <f t="shared" si="477"/>
        <v>0</v>
      </c>
      <c r="I1977" s="171"/>
      <c r="J1977" s="198"/>
      <c r="K1977" s="198"/>
    </row>
    <row r="1978" spans="1:17" ht="34.5" hidden="1" customHeight="1">
      <c r="A1978" s="81" t="s">
        <v>38</v>
      </c>
      <c r="B1978" s="82">
        <v>795</v>
      </c>
      <c r="C1978" s="83" t="s">
        <v>173</v>
      </c>
      <c r="D1978" s="83" t="s">
        <v>28</v>
      </c>
      <c r="E1978" s="83" t="s">
        <v>805</v>
      </c>
      <c r="F1978" s="83" t="s">
        <v>350</v>
      </c>
      <c r="G1978" s="86"/>
      <c r="H1978" s="86"/>
      <c r="I1978" s="171"/>
      <c r="J1978" s="198"/>
      <c r="K1978" s="198"/>
    </row>
    <row r="1979" spans="1:17" ht="44.25" hidden="1" customHeight="1">
      <c r="A1979" s="81" t="s">
        <v>808</v>
      </c>
      <c r="B1979" s="82">
        <v>795</v>
      </c>
      <c r="C1979" s="83" t="s">
        <v>173</v>
      </c>
      <c r="D1979" s="83" t="s">
        <v>28</v>
      </c>
      <c r="E1979" s="83" t="s">
        <v>807</v>
      </c>
      <c r="F1979" s="83"/>
      <c r="G1979" s="86">
        <f t="shared" si="477"/>
        <v>0</v>
      </c>
      <c r="H1979" s="86">
        <f t="shared" si="477"/>
        <v>0</v>
      </c>
      <c r="I1979" s="171"/>
      <c r="J1979" s="198"/>
      <c r="K1979" s="198"/>
    </row>
    <row r="1980" spans="1:17" ht="34.5" hidden="1" customHeight="1">
      <c r="A1980" s="81" t="s">
        <v>36</v>
      </c>
      <c r="B1980" s="82">
        <v>795</v>
      </c>
      <c r="C1980" s="83" t="s">
        <v>173</v>
      </c>
      <c r="D1980" s="83" t="s">
        <v>28</v>
      </c>
      <c r="E1980" s="83" t="s">
        <v>807</v>
      </c>
      <c r="F1980" s="83" t="s">
        <v>348</v>
      </c>
      <c r="G1980" s="86">
        <f t="shared" si="477"/>
        <v>0</v>
      </c>
      <c r="H1980" s="86">
        <f t="shared" si="477"/>
        <v>0</v>
      </c>
      <c r="I1980" s="171"/>
      <c r="J1980" s="198"/>
      <c r="K1980" s="198"/>
    </row>
    <row r="1981" spans="1:17" ht="34.5" hidden="1" customHeight="1">
      <c r="A1981" s="81" t="s">
        <v>38</v>
      </c>
      <c r="B1981" s="82">
        <v>795</v>
      </c>
      <c r="C1981" s="83" t="s">
        <v>173</v>
      </c>
      <c r="D1981" s="83" t="s">
        <v>28</v>
      </c>
      <c r="E1981" s="83" t="s">
        <v>807</v>
      </c>
      <c r="F1981" s="83" t="s">
        <v>350</v>
      </c>
      <c r="G1981" s="86"/>
      <c r="H1981" s="86"/>
      <c r="I1981" s="171"/>
      <c r="J1981" s="198"/>
      <c r="K1981" s="198"/>
    </row>
    <row r="1982" spans="1:17" ht="44.25" hidden="1" customHeight="1">
      <c r="A1982" s="81" t="s">
        <v>810</v>
      </c>
      <c r="B1982" s="82">
        <v>795</v>
      </c>
      <c r="C1982" s="83" t="s">
        <v>173</v>
      </c>
      <c r="D1982" s="83" t="s">
        <v>28</v>
      </c>
      <c r="E1982" s="83" t="s">
        <v>809</v>
      </c>
      <c r="F1982" s="83"/>
      <c r="G1982" s="86">
        <f t="shared" si="477"/>
        <v>0</v>
      </c>
      <c r="H1982" s="86">
        <f t="shared" si="477"/>
        <v>0</v>
      </c>
      <c r="I1982" s="171"/>
      <c r="J1982" s="198"/>
      <c r="K1982" s="198"/>
    </row>
    <row r="1983" spans="1:17" ht="34.5" hidden="1" customHeight="1">
      <c r="A1983" s="81" t="s">
        <v>36</v>
      </c>
      <c r="B1983" s="82">
        <v>795</v>
      </c>
      <c r="C1983" s="83" t="s">
        <v>173</v>
      </c>
      <c r="D1983" s="83" t="s">
        <v>28</v>
      </c>
      <c r="E1983" s="83" t="s">
        <v>809</v>
      </c>
      <c r="F1983" s="83" t="s">
        <v>348</v>
      </c>
      <c r="G1983" s="86">
        <f t="shared" si="477"/>
        <v>0</v>
      </c>
      <c r="H1983" s="86">
        <f t="shared" si="477"/>
        <v>0</v>
      </c>
      <c r="I1983" s="171"/>
      <c r="J1983" s="198"/>
      <c r="K1983" s="198"/>
    </row>
    <row r="1984" spans="1:17" ht="34.5" hidden="1" customHeight="1">
      <c r="A1984" s="81" t="s">
        <v>38</v>
      </c>
      <c r="B1984" s="82">
        <v>795</v>
      </c>
      <c r="C1984" s="83" t="s">
        <v>173</v>
      </c>
      <c r="D1984" s="83" t="s">
        <v>28</v>
      </c>
      <c r="E1984" s="83" t="s">
        <v>809</v>
      </c>
      <c r="F1984" s="83" t="s">
        <v>350</v>
      </c>
      <c r="G1984" s="86"/>
      <c r="H1984" s="86"/>
      <c r="I1984" s="171"/>
      <c r="J1984" s="198"/>
      <c r="K1984" s="198"/>
    </row>
    <row r="1985" spans="1:17" ht="57" hidden="1" customHeight="1">
      <c r="A1985" s="81" t="s">
        <v>812</v>
      </c>
      <c r="B1985" s="82">
        <v>795</v>
      </c>
      <c r="C1985" s="83" t="s">
        <v>173</v>
      </c>
      <c r="D1985" s="83" t="s">
        <v>28</v>
      </c>
      <c r="E1985" s="83" t="s">
        <v>811</v>
      </c>
      <c r="F1985" s="83"/>
      <c r="G1985" s="86">
        <f t="shared" si="477"/>
        <v>0</v>
      </c>
      <c r="H1985" s="86">
        <f t="shared" si="477"/>
        <v>0</v>
      </c>
      <c r="I1985" s="171"/>
      <c r="J1985" s="198"/>
      <c r="K1985" s="198"/>
    </row>
    <row r="1986" spans="1:17" ht="34.5" hidden="1" customHeight="1">
      <c r="A1986" s="81" t="s">
        <v>36</v>
      </c>
      <c r="B1986" s="82">
        <v>795</v>
      </c>
      <c r="C1986" s="83" t="s">
        <v>173</v>
      </c>
      <c r="D1986" s="83" t="s">
        <v>28</v>
      </c>
      <c r="E1986" s="83" t="s">
        <v>811</v>
      </c>
      <c r="F1986" s="83" t="s">
        <v>348</v>
      </c>
      <c r="G1986" s="86">
        <f t="shared" si="477"/>
        <v>0</v>
      </c>
      <c r="H1986" s="86">
        <f t="shared" si="477"/>
        <v>0</v>
      </c>
      <c r="I1986" s="171"/>
      <c r="J1986" s="198"/>
      <c r="K1986" s="198"/>
    </row>
    <row r="1987" spans="1:17" ht="34.5" hidden="1" customHeight="1">
      <c r="A1987" s="81" t="s">
        <v>38</v>
      </c>
      <c r="B1987" s="82">
        <v>795</v>
      </c>
      <c r="C1987" s="83" t="s">
        <v>173</v>
      </c>
      <c r="D1987" s="83" t="s">
        <v>28</v>
      </c>
      <c r="E1987" s="83" t="s">
        <v>811</v>
      </c>
      <c r="F1987" s="83" t="s">
        <v>350</v>
      </c>
      <c r="G1987" s="86"/>
      <c r="H1987" s="86"/>
      <c r="I1987" s="171"/>
      <c r="J1987" s="198"/>
      <c r="K1987" s="198"/>
    </row>
    <row r="1988" spans="1:17" ht="75" hidden="1" customHeight="1">
      <c r="A1988" s="81" t="s">
        <v>818</v>
      </c>
      <c r="B1988" s="82">
        <v>795</v>
      </c>
      <c r="C1988" s="83" t="s">
        <v>173</v>
      </c>
      <c r="D1988" s="83" t="s">
        <v>28</v>
      </c>
      <c r="E1988" s="83" t="s">
        <v>714</v>
      </c>
      <c r="F1988" s="83"/>
      <c r="G1988" s="86">
        <f>G1989+G1994</f>
        <v>0</v>
      </c>
      <c r="H1988" s="86">
        <f t="shared" ref="G1988:H2000" si="478">H1989</f>
        <v>0</v>
      </c>
      <c r="I1988" s="171"/>
      <c r="J1988" s="198"/>
      <c r="K1988" s="198"/>
    </row>
    <row r="1989" spans="1:17" ht="34.5" hidden="1" customHeight="1">
      <c r="A1989" s="81" t="s">
        <v>36</v>
      </c>
      <c r="B1989" s="82">
        <v>795</v>
      </c>
      <c r="C1989" s="83" t="s">
        <v>173</v>
      </c>
      <c r="D1989" s="83" t="s">
        <v>28</v>
      </c>
      <c r="E1989" s="83" t="s">
        <v>714</v>
      </c>
      <c r="F1989" s="83" t="s">
        <v>348</v>
      </c>
      <c r="G1989" s="86">
        <f t="shared" si="478"/>
        <v>0</v>
      </c>
      <c r="H1989" s="86">
        <f t="shared" si="478"/>
        <v>0</v>
      </c>
      <c r="I1989" s="171"/>
      <c r="J1989" s="198"/>
      <c r="K1989" s="198"/>
      <c r="L1989" s="1"/>
      <c r="M1989" s="1"/>
      <c r="N1989" s="1"/>
      <c r="O1989" s="1"/>
      <c r="P1989" s="1"/>
      <c r="Q1989" s="1"/>
    </row>
    <row r="1990" spans="1:17" ht="34.5" hidden="1" customHeight="1">
      <c r="A1990" s="81" t="s">
        <v>38</v>
      </c>
      <c r="B1990" s="82">
        <v>795</v>
      </c>
      <c r="C1990" s="83" t="s">
        <v>173</v>
      </c>
      <c r="D1990" s="83" t="s">
        <v>28</v>
      </c>
      <c r="E1990" s="83" t="s">
        <v>714</v>
      </c>
      <c r="F1990" s="83" t="s">
        <v>350</v>
      </c>
      <c r="G1990" s="86">
        <f>675000-675000</f>
        <v>0</v>
      </c>
      <c r="H1990" s="86">
        <f>832780-832780</f>
        <v>0</v>
      </c>
      <c r="I1990" s="171"/>
      <c r="J1990" s="198"/>
      <c r="K1990" s="198"/>
      <c r="L1990" s="1"/>
      <c r="M1990" s="1"/>
      <c r="N1990" s="1"/>
      <c r="O1990" s="1"/>
      <c r="P1990" s="1"/>
      <c r="Q1990" s="1"/>
    </row>
    <row r="1991" spans="1:17" ht="34.5" hidden="1" customHeight="1">
      <c r="A1991" s="81" t="s">
        <v>504</v>
      </c>
      <c r="B1991" s="82">
        <v>795</v>
      </c>
      <c r="C1991" s="83" t="s">
        <v>173</v>
      </c>
      <c r="D1991" s="83" t="s">
        <v>28</v>
      </c>
      <c r="E1991" s="83" t="s">
        <v>505</v>
      </c>
      <c r="F1991" s="83"/>
      <c r="G1991" s="86">
        <f t="shared" si="478"/>
        <v>0</v>
      </c>
      <c r="H1991" s="86">
        <f t="shared" si="478"/>
        <v>0</v>
      </c>
      <c r="I1991" s="171"/>
      <c r="J1991" s="198"/>
      <c r="K1991" s="198"/>
      <c r="L1991" s="1"/>
      <c r="M1991" s="1"/>
      <c r="N1991" s="1"/>
      <c r="O1991" s="1"/>
      <c r="P1991" s="1"/>
      <c r="Q1991" s="1"/>
    </row>
    <row r="1992" spans="1:17" ht="34.5" hidden="1" customHeight="1">
      <c r="A1992" s="81" t="s">
        <v>36</v>
      </c>
      <c r="B1992" s="82">
        <v>795</v>
      </c>
      <c r="C1992" s="83" t="s">
        <v>173</v>
      </c>
      <c r="D1992" s="83" t="s">
        <v>28</v>
      </c>
      <c r="E1992" s="83" t="s">
        <v>505</v>
      </c>
      <c r="F1992" s="83" t="s">
        <v>37</v>
      </c>
      <c r="G1992" s="86">
        <f t="shared" si="478"/>
        <v>0</v>
      </c>
      <c r="H1992" s="86">
        <f t="shared" si="478"/>
        <v>0</v>
      </c>
      <c r="I1992" s="171"/>
      <c r="J1992" s="198"/>
      <c r="K1992" s="198"/>
      <c r="L1992" s="1"/>
      <c r="M1992" s="1"/>
      <c r="N1992" s="1"/>
      <c r="O1992" s="1"/>
      <c r="P1992" s="1"/>
      <c r="Q1992" s="1"/>
    </row>
    <row r="1993" spans="1:17" ht="34.5" hidden="1" customHeight="1">
      <c r="A1993" s="81" t="s">
        <v>38</v>
      </c>
      <c r="B1993" s="82">
        <v>795</v>
      </c>
      <c r="C1993" s="83" t="s">
        <v>173</v>
      </c>
      <c r="D1993" s="83" t="s">
        <v>28</v>
      </c>
      <c r="E1993" s="83" t="s">
        <v>505</v>
      </c>
      <c r="F1993" s="83" t="s">
        <v>39</v>
      </c>
      <c r="G1993" s="86">
        <v>0</v>
      </c>
      <c r="H1993" s="86">
        <f>167220-167220</f>
        <v>0</v>
      </c>
      <c r="I1993" s="171"/>
      <c r="J1993" s="198"/>
      <c r="K1993" s="198"/>
      <c r="L1993" s="1"/>
      <c r="M1993" s="1"/>
      <c r="N1993" s="1"/>
      <c r="O1993" s="1"/>
      <c r="P1993" s="1"/>
      <c r="Q1993" s="1"/>
    </row>
    <row r="1994" spans="1:17" ht="18" hidden="1" customHeight="1">
      <c r="A1994" s="81" t="s">
        <v>156</v>
      </c>
      <c r="B1994" s="82">
        <v>795</v>
      </c>
      <c r="C1994" s="83" t="s">
        <v>173</v>
      </c>
      <c r="D1994" s="83" t="s">
        <v>28</v>
      </c>
      <c r="E1994" s="83" t="s">
        <v>714</v>
      </c>
      <c r="F1994" s="83" t="s">
        <v>157</v>
      </c>
      <c r="G1994" s="86">
        <f>G1995</f>
        <v>0</v>
      </c>
      <c r="H1994" s="86">
        <f>H1995</f>
        <v>0</v>
      </c>
      <c r="I1994" s="171"/>
      <c r="J1994" s="198"/>
      <c r="K1994" s="198"/>
      <c r="L1994" s="1"/>
      <c r="M1994" s="1"/>
      <c r="N1994" s="1"/>
      <c r="O1994" s="1"/>
      <c r="P1994" s="1"/>
      <c r="Q1994" s="1"/>
    </row>
    <row r="1995" spans="1:17" ht="18" hidden="1" customHeight="1">
      <c r="A1995" s="81" t="s">
        <v>178</v>
      </c>
      <c r="B1995" s="82">
        <v>795</v>
      </c>
      <c r="C1995" s="83" t="s">
        <v>173</v>
      </c>
      <c r="D1995" s="83" t="s">
        <v>28</v>
      </c>
      <c r="E1995" s="83" t="s">
        <v>714</v>
      </c>
      <c r="F1995" s="83" t="s">
        <v>179</v>
      </c>
      <c r="G1995" s="86"/>
      <c r="H1995" s="86">
        <v>0</v>
      </c>
      <c r="I1995" s="171"/>
      <c r="J1995" s="198"/>
      <c r="K1995" s="198"/>
      <c r="L1995" s="1"/>
      <c r="M1995" s="1"/>
      <c r="N1995" s="1"/>
      <c r="O1995" s="1"/>
      <c r="P1995" s="1"/>
      <c r="Q1995" s="1"/>
    </row>
    <row r="1996" spans="1:17" ht="34.5" hidden="1" customHeight="1">
      <c r="A1996" s="81" t="s">
        <v>530</v>
      </c>
      <c r="B1996" s="82">
        <v>795</v>
      </c>
      <c r="C1996" s="83" t="s">
        <v>173</v>
      </c>
      <c r="D1996" s="83" t="s">
        <v>28</v>
      </c>
      <c r="E1996" s="83" t="s">
        <v>529</v>
      </c>
      <c r="F1996" s="83"/>
      <c r="G1996" s="86">
        <f t="shared" si="478"/>
        <v>0</v>
      </c>
      <c r="H1996" s="86">
        <f t="shared" si="478"/>
        <v>0</v>
      </c>
      <c r="I1996" s="171"/>
      <c r="J1996" s="198"/>
      <c r="K1996" s="198"/>
      <c r="L1996" s="1"/>
      <c r="M1996" s="1"/>
      <c r="N1996" s="1"/>
      <c r="O1996" s="1"/>
      <c r="P1996" s="1"/>
      <c r="Q1996" s="1"/>
    </row>
    <row r="1997" spans="1:17" ht="34.5" hidden="1" customHeight="1">
      <c r="A1997" s="81" t="s">
        <v>36</v>
      </c>
      <c r="B1997" s="82">
        <v>795</v>
      </c>
      <c r="C1997" s="83" t="s">
        <v>173</v>
      </c>
      <c r="D1997" s="83" t="s">
        <v>28</v>
      </c>
      <c r="E1997" s="83" t="s">
        <v>529</v>
      </c>
      <c r="F1997" s="83" t="s">
        <v>37</v>
      </c>
      <c r="G1997" s="86">
        <f t="shared" si="478"/>
        <v>0</v>
      </c>
      <c r="H1997" s="86">
        <f t="shared" si="478"/>
        <v>0</v>
      </c>
      <c r="I1997" s="171"/>
      <c r="J1997" s="198"/>
      <c r="K1997" s="198"/>
      <c r="L1997" s="1"/>
      <c r="M1997" s="1"/>
      <c r="N1997" s="1"/>
      <c r="O1997" s="1"/>
      <c r="P1997" s="1"/>
      <c r="Q1997" s="1"/>
    </row>
    <row r="1998" spans="1:17" ht="34.5" hidden="1" customHeight="1">
      <c r="A1998" s="81" t="s">
        <v>38</v>
      </c>
      <c r="B1998" s="82">
        <v>795</v>
      </c>
      <c r="C1998" s="83" t="s">
        <v>173</v>
      </c>
      <c r="D1998" s="83" t="s">
        <v>28</v>
      </c>
      <c r="E1998" s="83" t="s">
        <v>529</v>
      </c>
      <c r="F1998" s="83" t="s">
        <v>39</v>
      </c>
      <c r="G1998" s="86"/>
      <c r="H1998" s="86"/>
      <c r="I1998" s="171"/>
      <c r="J1998" s="198"/>
      <c r="K1998" s="198"/>
      <c r="L1998" s="1"/>
      <c r="M1998" s="1"/>
      <c r="N1998" s="1"/>
      <c r="O1998" s="1"/>
      <c r="P1998" s="1"/>
      <c r="Q1998" s="1"/>
    </row>
    <row r="1999" spans="1:17" ht="34.5" hidden="1" customHeight="1">
      <c r="A1999" s="81" t="s">
        <v>460</v>
      </c>
      <c r="B1999" s="82">
        <v>795</v>
      </c>
      <c r="C1999" s="83" t="s">
        <v>173</v>
      </c>
      <c r="D1999" s="83" t="s">
        <v>28</v>
      </c>
      <c r="E1999" s="83" t="s">
        <v>459</v>
      </c>
      <c r="F1999" s="83"/>
      <c r="G1999" s="86">
        <f t="shared" si="478"/>
        <v>0</v>
      </c>
      <c r="H1999" s="86">
        <f t="shared" si="478"/>
        <v>0</v>
      </c>
      <c r="I1999" s="171"/>
      <c r="J1999" s="198"/>
      <c r="K1999" s="198"/>
      <c r="L1999" s="1"/>
      <c r="M1999" s="1"/>
      <c r="N1999" s="1"/>
      <c r="O1999" s="1"/>
      <c r="P1999" s="1"/>
      <c r="Q1999" s="1"/>
    </row>
    <row r="2000" spans="1:17" ht="34.5" hidden="1" customHeight="1">
      <c r="A2000" s="81" t="s">
        <v>36</v>
      </c>
      <c r="B2000" s="82">
        <v>795</v>
      </c>
      <c r="C2000" s="83" t="s">
        <v>173</v>
      </c>
      <c r="D2000" s="83" t="s">
        <v>28</v>
      </c>
      <c r="E2000" s="83" t="s">
        <v>459</v>
      </c>
      <c r="F2000" s="83" t="s">
        <v>37</v>
      </c>
      <c r="G2000" s="86">
        <f t="shared" si="478"/>
        <v>0</v>
      </c>
      <c r="H2000" s="86">
        <f t="shared" si="478"/>
        <v>0</v>
      </c>
      <c r="I2000" s="171"/>
      <c r="J2000" s="198"/>
      <c r="K2000" s="198"/>
      <c r="L2000" s="1"/>
      <c r="M2000" s="1"/>
      <c r="N2000" s="1"/>
      <c r="O2000" s="1"/>
      <c r="P2000" s="1"/>
      <c r="Q2000" s="1"/>
    </row>
    <row r="2001" spans="1:17" ht="34.5" hidden="1" customHeight="1">
      <c r="A2001" s="81" t="s">
        <v>38</v>
      </c>
      <c r="B2001" s="82">
        <v>795</v>
      </c>
      <c r="C2001" s="83" t="s">
        <v>173</v>
      </c>
      <c r="D2001" s="83" t="s">
        <v>28</v>
      </c>
      <c r="E2001" s="83" t="s">
        <v>459</v>
      </c>
      <c r="F2001" s="83" t="s">
        <v>39</v>
      </c>
      <c r="G2001" s="86">
        <f>200000-200000</f>
        <v>0</v>
      </c>
      <c r="H2001" s="86"/>
      <c r="I2001" s="171"/>
      <c r="J2001" s="198"/>
      <c r="K2001" s="198"/>
      <c r="L2001" s="1"/>
      <c r="M2001" s="1"/>
      <c r="N2001" s="1"/>
      <c r="O2001" s="1"/>
      <c r="P2001" s="1"/>
      <c r="Q2001" s="1"/>
    </row>
    <row r="2002" spans="1:17" ht="34.5" hidden="1" customHeight="1">
      <c r="A2002" s="81" t="s">
        <v>498</v>
      </c>
      <c r="B2002" s="82">
        <v>795</v>
      </c>
      <c r="C2002" s="83" t="s">
        <v>173</v>
      </c>
      <c r="D2002" s="83" t="s">
        <v>28</v>
      </c>
      <c r="E2002" s="83" t="s">
        <v>497</v>
      </c>
      <c r="F2002" s="83"/>
      <c r="G2002" s="86">
        <f>G2003</f>
        <v>0</v>
      </c>
      <c r="H2002" s="86">
        <f t="shared" ref="H2002" si="479">H2003</f>
        <v>0</v>
      </c>
      <c r="I2002" s="171"/>
      <c r="J2002" s="198"/>
      <c r="K2002" s="198"/>
      <c r="L2002" s="1"/>
      <c r="M2002" s="1"/>
      <c r="N2002" s="1"/>
      <c r="O2002" s="1"/>
      <c r="P2002" s="1"/>
      <c r="Q2002" s="1"/>
    </row>
    <row r="2003" spans="1:17" ht="34.5" hidden="1" customHeight="1">
      <c r="A2003" s="81" t="s">
        <v>96</v>
      </c>
      <c r="B2003" s="82">
        <v>795</v>
      </c>
      <c r="C2003" s="83" t="s">
        <v>173</v>
      </c>
      <c r="D2003" s="83" t="s">
        <v>28</v>
      </c>
      <c r="E2003" s="83" t="s">
        <v>497</v>
      </c>
      <c r="F2003" s="83" t="s">
        <v>348</v>
      </c>
      <c r="G2003" s="86">
        <f>G2004</f>
        <v>0</v>
      </c>
      <c r="H2003" s="86">
        <f t="shared" ref="H2003" si="480">H2004</f>
        <v>0</v>
      </c>
      <c r="I2003" s="171"/>
      <c r="J2003" s="198"/>
      <c r="K2003" s="198"/>
      <c r="L2003" s="1"/>
      <c r="M2003" s="1"/>
      <c r="N2003" s="1"/>
      <c r="O2003" s="1"/>
      <c r="P2003" s="1"/>
      <c r="Q2003" s="1"/>
    </row>
    <row r="2004" spans="1:17" ht="34.5" hidden="1" customHeight="1">
      <c r="A2004" s="81" t="s">
        <v>349</v>
      </c>
      <c r="B2004" s="82">
        <v>795</v>
      </c>
      <c r="C2004" s="83" t="s">
        <v>173</v>
      </c>
      <c r="D2004" s="83" t="s">
        <v>28</v>
      </c>
      <c r="E2004" s="83" t="s">
        <v>497</v>
      </c>
      <c r="F2004" s="83" t="s">
        <v>350</v>
      </c>
      <c r="G2004" s="86"/>
      <c r="H2004" s="86">
        <v>0</v>
      </c>
      <c r="I2004" s="171"/>
      <c r="J2004" s="198"/>
      <c r="K2004" s="198"/>
      <c r="L2004" s="1"/>
      <c r="M2004" s="1"/>
      <c r="N2004" s="1"/>
      <c r="O2004" s="1"/>
      <c r="P2004" s="1"/>
      <c r="Q2004" s="1"/>
    </row>
    <row r="2005" spans="1:17" ht="34.5" hidden="1" customHeight="1">
      <c r="A2005" s="81" t="s">
        <v>533</v>
      </c>
      <c r="B2005" s="82">
        <v>795</v>
      </c>
      <c r="C2005" s="83" t="s">
        <v>173</v>
      </c>
      <c r="D2005" s="83" t="s">
        <v>28</v>
      </c>
      <c r="E2005" s="83" t="s">
        <v>534</v>
      </c>
      <c r="F2005" s="83"/>
      <c r="G2005" s="86">
        <f>G2006</f>
        <v>0</v>
      </c>
      <c r="H2005" s="86">
        <v>0</v>
      </c>
      <c r="I2005" s="171"/>
      <c r="J2005" s="198"/>
      <c r="K2005" s="198"/>
    </row>
    <row r="2006" spans="1:17" ht="34.5" hidden="1" customHeight="1">
      <c r="A2006" s="81" t="s">
        <v>96</v>
      </c>
      <c r="B2006" s="82">
        <v>795</v>
      </c>
      <c r="C2006" s="83" t="s">
        <v>173</v>
      </c>
      <c r="D2006" s="83" t="s">
        <v>28</v>
      </c>
      <c r="E2006" s="83" t="s">
        <v>534</v>
      </c>
      <c r="F2006" s="83" t="s">
        <v>348</v>
      </c>
      <c r="G2006" s="86">
        <f>G2007</f>
        <v>0</v>
      </c>
      <c r="H2006" s="86">
        <v>0</v>
      </c>
      <c r="I2006" s="171"/>
      <c r="J2006" s="198"/>
      <c r="K2006" s="198"/>
    </row>
    <row r="2007" spans="1:17" ht="34.5" hidden="1" customHeight="1">
      <c r="A2007" s="81" t="s">
        <v>349</v>
      </c>
      <c r="B2007" s="82">
        <v>795</v>
      </c>
      <c r="C2007" s="83" t="s">
        <v>173</v>
      </c>
      <c r="D2007" s="83" t="s">
        <v>28</v>
      </c>
      <c r="E2007" s="83" t="s">
        <v>534</v>
      </c>
      <c r="F2007" s="83" t="s">
        <v>350</v>
      </c>
      <c r="G2007" s="86"/>
      <c r="H2007" s="86">
        <v>0</v>
      </c>
      <c r="I2007" s="171"/>
      <c r="J2007" s="198"/>
      <c r="K2007" s="198"/>
    </row>
    <row r="2008" spans="1:17" ht="20.25" hidden="1" customHeight="1">
      <c r="A2008" s="81" t="s">
        <v>627</v>
      </c>
      <c r="B2008" s="82">
        <v>795</v>
      </c>
      <c r="C2008" s="83" t="s">
        <v>173</v>
      </c>
      <c r="D2008" s="83" t="s">
        <v>28</v>
      </c>
      <c r="E2008" s="83" t="s">
        <v>626</v>
      </c>
      <c r="F2008" s="83"/>
      <c r="G2008" s="86">
        <f t="shared" ref="G2008:H2009" si="481">G2009</f>
        <v>0</v>
      </c>
      <c r="H2008" s="86">
        <f t="shared" si="481"/>
        <v>0</v>
      </c>
      <c r="I2008" s="171"/>
      <c r="J2008" s="198"/>
      <c r="K2008" s="198"/>
    </row>
    <row r="2009" spans="1:17" ht="34.5" hidden="1" customHeight="1">
      <c r="A2009" s="81" t="s">
        <v>36</v>
      </c>
      <c r="B2009" s="82">
        <v>795</v>
      </c>
      <c r="C2009" s="83" t="s">
        <v>173</v>
      </c>
      <c r="D2009" s="83" t="s">
        <v>28</v>
      </c>
      <c r="E2009" s="83" t="s">
        <v>626</v>
      </c>
      <c r="F2009" s="83" t="s">
        <v>37</v>
      </c>
      <c r="G2009" s="86">
        <f t="shared" si="481"/>
        <v>0</v>
      </c>
      <c r="H2009" s="86">
        <f t="shared" si="481"/>
        <v>0</v>
      </c>
      <c r="I2009" s="171"/>
      <c r="J2009" s="198"/>
      <c r="K2009" s="198"/>
    </row>
    <row r="2010" spans="1:17" ht="34.5" hidden="1" customHeight="1">
      <c r="A2010" s="81" t="s">
        <v>38</v>
      </c>
      <c r="B2010" s="82">
        <v>795</v>
      </c>
      <c r="C2010" s="83" t="s">
        <v>173</v>
      </c>
      <c r="D2010" s="83" t="s">
        <v>28</v>
      </c>
      <c r="E2010" s="83" t="s">
        <v>626</v>
      </c>
      <c r="F2010" s="83" t="s">
        <v>39</v>
      </c>
      <c r="G2010" s="86"/>
      <c r="H2010" s="86"/>
      <c r="I2010" s="171"/>
      <c r="J2010" s="198"/>
      <c r="K2010" s="198"/>
    </row>
    <row r="2011" spans="1:17" s="18" customFormat="1" ht="25.5" hidden="1">
      <c r="A2011" s="81" t="s">
        <v>470</v>
      </c>
      <c r="B2011" s="82">
        <v>795</v>
      </c>
      <c r="C2011" s="83" t="s">
        <v>173</v>
      </c>
      <c r="D2011" s="83" t="s">
        <v>28</v>
      </c>
      <c r="E2011" s="83" t="s">
        <v>262</v>
      </c>
      <c r="F2011" s="83"/>
      <c r="G2011" s="86">
        <f>G2012</f>
        <v>0</v>
      </c>
      <c r="H2011" s="86">
        <f>H2012</f>
        <v>0</v>
      </c>
      <c r="I2011" s="171"/>
      <c r="J2011" s="193"/>
      <c r="K2011" s="193"/>
      <c r="L2011" s="191"/>
      <c r="M2011" s="191"/>
      <c r="N2011" s="191"/>
      <c r="O2011" s="191"/>
      <c r="P2011" s="191"/>
      <c r="Q2011" s="191"/>
    </row>
    <row r="2012" spans="1:17" s="18" customFormat="1" ht="51.75" hidden="1" customHeight="1">
      <c r="A2012" s="81" t="s">
        <v>547</v>
      </c>
      <c r="B2012" s="82">
        <v>795</v>
      </c>
      <c r="C2012" s="83" t="s">
        <v>173</v>
      </c>
      <c r="D2012" s="83" t="s">
        <v>28</v>
      </c>
      <c r="E2012" s="83" t="s">
        <v>546</v>
      </c>
      <c r="F2012" s="83"/>
      <c r="G2012" s="86">
        <f>G2013</f>
        <v>0</v>
      </c>
      <c r="H2012" s="86">
        <f t="shared" ref="H2012" si="482">H2013</f>
        <v>0</v>
      </c>
      <c r="I2012" s="171"/>
      <c r="J2012" s="193"/>
      <c r="K2012" s="193"/>
      <c r="L2012" s="191"/>
      <c r="M2012" s="191"/>
      <c r="N2012" s="191"/>
      <c r="O2012" s="191"/>
      <c r="P2012" s="191"/>
      <c r="Q2012" s="191"/>
    </row>
    <row r="2013" spans="1:17" s="18" customFormat="1" ht="25.5" hidden="1" customHeight="1">
      <c r="A2013" s="81" t="s">
        <v>512</v>
      </c>
      <c r="B2013" s="82">
        <v>795</v>
      </c>
      <c r="C2013" s="83" t="s">
        <v>173</v>
      </c>
      <c r="D2013" s="83" t="s">
        <v>28</v>
      </c>
      <c r="E2013" s="83" t="s">
        <v>546</v>
      </c>
      <c r="F2013" s="83"/>
      <c r="G2013" s="86">
        <f>G2014</f>
        <v>0</v>
      </c>
      <c r="H2013" s="86">
        <f t="shared" ref="H2013:H2014" si="483">H2014</f>
        <v>0</v>
      </c>
      <c r="I2013" s="171"/>
      <c r="J2013" s="193"/>
      <c r="K2013" s="193"/>
      <c r="L2013" s="191"/>
      <c r="M2013" s="191"/>
      <c r="N2013" s="191"/>
      <c r="O2013" s="191"/>
      <c r="P2013" s="191"/>
      <c r="Q2013" s="191"/>
    </row>
    <row r="2014" spans="1:17" s="18" customFormat="1" hidden="1">
      <c r="A2014" s="81" t="s">
        <v>156</v>
      </c>
      <c r="B2014" s="82">
        <v>795</v>
      </c>
      <c r="C2014" s="83" t="s">
        <v>173</v>
      </c>
      <c r="D2014" s="83" t="s">
        <v>28</v>
      </c>
      <c r="E2014" s="83" t="s">
        <v>546</v>
      </c>
      <c r="F2014" s="83" t="s">
        <v>157</v>
      </c>
      <c r="G2014" s="86">
        <f>G2015</f>
        <v>0</v>
      </c>
      <c r="H2014" s="86">
        <f t="shared" si="483"/>
        <v>0</v>
      </c>
      <c r="I2014" s="171"/>
      <c r="J2014" s="193"/>
      <c r="K2014" s="193"/>
      <c r="L2014" s="191"/>
      <c r="M2014" s="191"/>
      <c r="N2014" s="191"/>
      <c r="O2014" s="191"/>
      <c r="P2014" s="191"/>
      <c r="Q2014" s="191"/>
    </row>
    <row r="2015" spans="1:17" s="18" customFormat="1" hidden="1">
      <c r="A2015" s="81" t="s">
        <v>170</v>
      </c>
      <c r="B2015" s="82">
        <v>795</v>
      </c>
      <c r="C2015" s="83" t="s">
        <v>173</v>
      </c>
      <c r="D2015" s="83" t="s">
        <v>28</v>
      </c>
      <c r="E2015" s="83" t="s">
        <v>546</v>
      </c>
      <c r="F2015" s="83" t="s">
        <v>171</v>
      </c>
      <c r="G2015" s="86"/>
      <c r="H2015" s="86">
        <v>0</v>
      </c>
      <c r="I2015" s="171"/>
      <c r="J2015" s="193"/>
      <c r="K2015" s="193"/>
      <c r="L2015" s="191"/>
      <c r="M2015" s="191"/>
      <c r="N2015" s="191"/>
      <c r="O2015" s="191"/>
      <c r="P2015" s="191"/>
      <c r="Q2015" s="191"/>
    </row>
    <row r="2016" spans="1:17" ht="30.75" hidden="1" customHeight="1">
      <c r="A2016" s="81" t="s">
        <v>272</v>
      </c>
      <c r="B2016" s="82">
        <v>795</v>
      </c>
      <c r="C2016" s="83" t="s">
        <v>173</v>
      </c>
      <c r="D2016" s="83" t="s">
        <v>28</v>
      </c>
      <c r="E2016" s="83" t="s">
        <v>566</v>
      </c>
      <c r="F2016" s="83"/>
      <c r="G2016" s="86">
        <f>G2017</f>
        <v>0</v>
      </c>
      <c r="H2016" s="86">
        <v>0</v>
      </c>
      <c r="I2016" s="171"/>
      <c r="J2016" s="198"/>
      <c r="K2016" s="198"/>
    </row>
    <row r="2017" spans="1:17" ht="30.75" hidden="1" customHeight="1">
      <c r="A2017" s="81" t="s">
        <v>36</v>
      </c>
      <c r="B2017" s="82">
        <v>795</v>
      </c>
      <c r="C2017" s="83" t="s">
        <v>173</v>
      </c>
      <c r="D2017" s="83" t="s">
        <v>28</v>
      </c>
      <c r="E2017" s="83" t="s">
        <v>566</v>
      </c>
      <c r="F2017" s="83" t="s">
        <v>37</v>
      </c>
      <c r="G2017" s="86">
        <f>G2018</f>
        <v>0</v>
      </c>
      <c r="H2017" s="86">
        <v>0</v>
      </c>
      <c r="I2017" s="171"/>
      <c r="J2017" s="198"/>
      <c r="K2017" s="198"/>
    </row>
    <row r="2018" spans="1:17" ht="1.5" hidden="1" customHeight="1">
      <c r="A2018" s="81" t="s">
        <v>38</v>
      </c>
      <c r="B2018" s="82">
        <v>795</v>
      </c>
      <c r="C2018" s="83" t="s">
        <v>173</v>
      </c>
      <c r="D2018" s="83" t="s">
        <v>28</v>
      </c>
      <c r="E2018" s="83" t="s">
        <v>566</v>
      </c>
      <c r="F2018" s="83" t="s">
        <v>39</v>
      </c>
      <c r="G2018" s="86"/>
      <c r="H2018" s="86">
        <v>0</v>
      </c>
      <c r="I2018" s="171"/>
      <c r="J2018" s="198"/>
      <c r="K2018" s="198"/>
    </row>
    <row r="2019" spans="1:17" ht="30.75" hidden="1" customHeight="1">
      <c r="A2019" s="81" t="s">
        <v>272</v>
      </c>
      <c r="B2019" s="82">
        <v>795</v>
      </c>
      <c r="C2019" s="83" t="s">
        <v>173</v>
      </c>
      <c r="D2019" s="83" t="s">
        <v>28</v>
      </c>
      <c r="E2019" s="83" t="s">
        <v>565</v>
      </c>
      <c r="F2019" s="83"/>
      <c r="G2019" s="86">
        <f>G2020</f>
        <v>0</v>
      </c>
      <c r="H2019" s="86">
        <v>0</v>
      </c>
      <c r="I2019" s="171"/>
      <c r="J2019" s="198"/>
      <c r="K2019" s="198"/>
    </row>
    <row r="2020" spans="1:17" ht="30.75" hidden="1" customHeight="1">
      <c r="A2020" s="81" t="s">
        <v>272</v>
      </c>
      <c r="B2020" s="82">
        <v>795</v>
      </c>
      <c r="C2020" s="83" t="s">
        <v>173</v>
      </c>
      <c r="D2020" s="83" t="s">
        <v>28</v>
      </c>
      <c r="E2020" s="83" t="s">
        <v>566</v>
      </c>
      <c r="F2020" s="83"/>
      <c r="G2020" s="86">
        <f>G2027+G2029</f>
        <v>0</v>
      </c>
      <c r="H2020" s="86">
        <v>0</v>
      </c>
      <c r="I2020" s="171"/>
      <c r="J2020" s="198"/>
      <c r="K2020" s="198"/>
    </row>
    <row r="2021" spans="1:17" ht="30.75" hidden="1" customHeight="1">
      <c r="A2021" s="81" t="s">
        <v>36</v>
      </c>
      <c r="B2021" s="82">
        <v>795</v>
      </c>
      <c r="C2021" s="83" t="s">
        <v>173</v>
      </c>
      <c r="D2021" s="83" t="s">
        <v>28</v>
      </c>
      <c r="E2021" s="83" t="s">
        <v>566</v>
      </c>
      <c r="F2021" s="83" t="s">
        <v>37</v>
      </c>
      <c r="G2021" s="86" t="e">
        <f>G2022</f>
        <v>#REF!</v>
      </c>
      <c r="H2021" s="86">
        <v>0</v>
      </c>
      <c r="I2021" s="171"/>
      <c r="J2021" s="198"/>
      <c r="K2021" s="198"/>
    </row>
    <row r="2022" spans="1:17" ht="30.75" hidden="1" customHeight="1">
      <c r="A2022" s="81" t="s">
        <v>38</v>
      </c>
      <c r="B2022" s="82">
        <v>795</v>
      </c>
      <c r="C2022" s="83" t="s">
        <v>173</v>
      </c>
      <c r="D2022" s="83" t="s">
        <v>28</v>
      </c>
      <c r="E2022" s="83" t="s">
        <v>566</v>
      </c>
      <c r="F2022" s="83" t="s">
        <v>39</v>
      </c>
      <c r="G2022" s="86" t="e">
        <f>'прил 5,'!#REF!</f>
        <v>#REF!</v>
      </c>
      <c r="H2022" s="86">
        <v>0</v>
      </c>
      <c r="I2022" s="171"/>
      <c r="J2022" s="198"/>
      <c r="K2022" s="198"/>
    </row>
    <row r="2023" spans="1:17" ht="23.25" hidden="1" customHeight="1">
      <c r="A2023" s="81" t="s">
        <v>148</v>
      </c>
      <c r="B2023" s="82">
        <v>795</v>
      </c>
      <c r="C2023" s="83" t="s">
        <v>173</v>
      </c>
      <c r="D2023" s="83" t="s">
        <v>28</v>
      </c>
      <c r="E2023" s="83" t="s">
        <v>566</v>
      </c>
      <c r="F2023" s="83" t="s">
        <v>149</v>
      </c>
      <c r="G2023" s="86">
        <f>G2024</f>
        <v>0</v>
      </c>
      <c r="H2023" s="86">
        <v>0</v>
      </c>
      <c r="I2023" s="171"/>
      <c r="J2023" s="198"/>
      <c r="K2023" s="198"/>
    </row>
    <row r="2024" spans="1:17" ht="30.75" hidden="1" customHeight="1">
      <c r="A2024" s="81" t="s">
        <v>150</v>
      </c>
      <c r="B2024" s="82">
        <v>795</v>
      </c>
      <c r="C2024" s="83" t="s">
        <v>173</v>
      </c>
      <c r="D2024" s="83" t="s">
        <v>28</v>
      </c>
      <c r="E2024" s="83" t="s">
        <v>566</v>
      </c>
      <c r="F2024" s="83" t="s">
        <v>151</v>
      </c>
      <c r="G2024" s="86">
        <f>'прил 5,'!G1965</f>
        <v>0</v>
      </c>
      <c r="H2024" s="86">
        <v>0</v>
      </c>
      <c r="I2024" s="171"/>
      <c r="J2024" s="198"/>
      <c r="K2024" s="198"/>
    </row>
    <row r="2025" spans="1:17" ht="21.75" hidden="1" customHeight="1">
      <c r="A2025" s="81" t="s">
        <v>156</v>
      </c>
      <c r="B2025" s="82">
        <v>795</v>
      </c>
      <c r="C2025" s="83" t="s">
        <v>173</v>
      </c>
      <c r="D2025" s="83" t="s">
        <v>28</v>
      </c>
      <c r="E2025" s="83" t="s">
        <v>566</v>
      </c>
      <c r="F2025" s="83" t="s">
        <v>157</v>
      </c>
      <c r="G2025" s="86">
        <f>G2026</f>
        <v>0</v>
      </c>
      <c r="H2025" s="86">
        <v>0</v>
      </c>
      <c r="I2025" s="171"/>
      <c r="J2025" s="198"/>
      <c r="K2025" s="198"/>
    </row>
    <row r="2026" spans="1:17" ht="22.5" hidden="1" customHeight="1">
      <c r="A2026" s="81" t="s">
        <v>178</v>
      </c>
      <c r="B2026" s="82">
        <v>795</v>
      </c>
      <c r="C2026" s="83" t="s">
        <v>173</v>
      </c>
      <c r="D2026" s="83" t="s">
        <v>28</v>
      </c>
      <c r="E2026" s="83" t="s">
        <v>566</v>
      </c>
      <c r="F2026" s="83" t="s">
        <v>179</v>
      </c>
      <c r="G2026" s="86"/>
      <c r="H2026" s="86">
        <v>0</v>
      </c>
      <c r="I2026" s="171"/>
      <c r="J2026" s="198"/>
      <c r="K2026" s="198"/>
    </row>
    <row r="2027" spans="1:17" ht="25.5" hidden="1">
      <c r="A2027" s="81" t="s">
        <v>36</v>
      </c>
      <c r="B2027" s="82">
        <v>795</v>
      </c>
      <c r="C2027" s="83" t="s">
        <v>173</v>
      </c>
      <c r="D2027" s="83" t="s">
        <v>28</v>
      </c>
      <c r="E2027" s="83" t="s">
        <v>566</v>
      </c>
      <c r="F2027" s="83" t="s">
        <v>37</v>
      </c>
      <c r="G2027" s="84">
        <f t="shared" ref="G2027:H2029" si="484">G2028</f>
        <v>0</v>
      </c>
      <c r="H2027" s="84">
        <f t="shared" si="484"/>
        <v>0</v>
      </c>
      <c r="I2027" s="172"/>
      <c r="J2027" s="198"/>
      <c r="K2027" s="198"/>
    </row>
    <row r="2028" spans="1:17" ht="25.5" hidden="1">
      <c r="A2028" s="81" t="s">
        <v>38</v>
      </c>
      <c r="B2028" s="82">
        <v>795</v>
      </c>
      <c r="C2028" s="83" t="s">
        <v>173</v>
      </c>
      <c r="D2028" s="83" t="s">
        <v>28</v>
      </c>
      <c r="E2028" s="83" t="s">
        <v>566</v>
      </c>
      <c r="F2028" s="83" t="s">
        <v>39</v>
      </c>
      <c r="G2028" s="84"/>
      <c r="H2028" s="84"/>
      <c r="I2028" s="172"/>
      <c r="J2028" s="198"/>
      <c r="K2028" s="198"/>
    </row>
    <row r="2029" spans="1:17" ht="25.5" hidden="1">
      <c r="A2029" s="81" t="s">
        <v>96</v>
      </c>
      <c r="B2029" s="82">
        <v>795</v>
      </c>
      <c r="C2029" s="83" t="s">
        <v>173</v>
      </c>
      <c r="D2029" s="83" t="s">
        <v>28</v>
      </c>
      <c r="E2029" s="83" t="s">
        <v>566</v>
      </c>
      <c r="F2029" s="83" t="s">
        <v>348</v>
      </c>
      <c r="G2029" s="84">
        <f t="shared" si="484"/>
        <v>0</v>
      </c>
      <c r="H2029" s="84">
        <f t="shared" si="484"/>
        <v>0</v>
      </c>
      <c r="I2029" s="172"/>
      <c r="J2029" s="198"/>
      <c r="K2029" s="198"/>
    </row>
    <row r="2030" spans="1:17" hidden="1">
      <c r="A2030" s="81" t="s">
        <v>349</v>
      </c>
      <c r="B2030" s="82">
        <v>795</v>
      </c>
      <c r="C2030" s="83" t="s">
        <v>173</v>
      </c>
      <c r="D2030" s="83" t="s">
        <v>28</v>
      </c>
      <c r="E2030" s="83" t="s">
        <v>566</v>
      </c>
      <c r="F2030" s="83" t="s">
        <v>350</v>
      </c>
      <c r="G2030" s="84"/>
      <c r="H2030" s="84"/>
      <c r="I2030" s="172"/>
      <c r="J2030" s="198"/>
      <c r="K2030" s="198"/>
    </row>
    <row r="2031" spans="1:17" s="28" customFormat="1" ht="24.75" hidden="1" customHeight="1">
      <c r="A2031" s="135" t="s">
        <v>169</v>
      </c>
      <c r="B2031" s="145">
        <v>793</v>
      </c>
      <c r="C2031" s="83" t="s">
        <v>173</v>
      </c>
      <c r="D2031" s="83" t="s">
        <v>28</v>
      </c>
      <c r="E2031" s="83" t="s">
        <v>233</v>
      </c>
      <c r="F2031" s="163"/>
      <c r="G2031" s="86">
        <f t="shared" ref="G2031:H2031" si="485">G2032</f>
        <v>0</v>
      </c>
      <c r="H2031" s="86">
        <f t="shared" si="485"/>
        <v>0</v>
      </c>
      <c r="I2031" s="171"/>
      <c r="J2031" s="208"/>
      <c r="K2031" s="208"/>
      <c r="L2031" s="195"/>
      <c r="M2031" s="195"/>
      <c r="N2031" s="195"/>
      <c r="O2031" s="195"/>
      <c r="P2031" s="195"/>
      <c r="Q2031" s="195"/>
    </row>
    <row r="2032" spans="1:17" ht="25.5" hidden="1">
      <c r="A2032" s="135" t="s">
        <v>169</v>
      </c>
      <c r="B2032" s="82">
        <v>795</v>
      </c>
      <c r="C2032" s="83" t="s">
        <v>173</v>
      </c>
      <c r="D2032" s="83" t="s">
        <v>28</v>
      </c>
      <c r="E2032" s="83" t="s">
        <v>275</v>
      </c>
      <c r="F2032" s="83"/>
      <c r="G2032" s="86">
        <f>G2033+G2035</f>
        <v>0</v>
      </c>
      <c r="H2032" s="86">
        <f>H2033+H2035</f>
        <v>0</v>
      </c>
      <c r="I2032" s="171"/>
      <c r="J2032" s="198"/>
      <c r="K2032" s="198"/>
    </row>
    <row r="2033" spans="1:17" hidden="1">
      <c r="A2033" s="81"/>
      <c r="B2033" s="82"/>
      <c r="C2033" s="83" t="s">
        <v>173</v>
      </c>
      <c r="D2033" s="83" t="s">
        <v>28</v>
      </c>
      <c r="E2033" s="83" t="s">
        <v>275</v>
      </c>
      <c r="F2033" s="83"/>
      <c r="G2033" s="86"/>
      <c r="H2033" s="86"/>
      <c r="I2033" s="171"/>
      <c r="J2033" s="198"/>
      <c r="K2033" s="198"/>
    </row>
    <row r="2034" spans="1:17" ht="30.75" hidden="1" customHeight="1">
      <c r="A2034" s="81"/>
      <c r="B2034" s="82"/>
      <c r="C2034" s="83" t="s">
        <v>173</v>
      </c>
      <c r="D2034" s="83" t="s">
        <v>28</v>
      </c>
      <c r="E2034" s="83" t="s">
        <v>275</v>
      </c>
      <c r="F2034" s="83"/>
      <c r="G2034" s="86"/>
      <c r="H2034" s="86"/>
      <c r="I2034" s="171"/>
      <c r="J2034" s="198"/>
      <c r="K2034" s="198"/>
    </row>
    <row r="2035" spans="1:17" ht="30.75" hidden="1" customHeight="1">
      <c r="A2035" s="81" t="s">
        <v>36</v>
      </c>
      <c r="B2035" s="82">
        <v>795</v>
      </c>
      <c r="C2035" s="83" t="s">
        <v>173</v>
      </c>
      <c r="D2035" s="83" t="s">
        <v>28</v>
      </c>
      <c r="E2035" s="83" t="s">
        <v>275</v>
      </c>
      <c r="F2035" s="83" t="s">
        <v>37</v>
      </c>
      <c r="G2035" s="86">
        <f>G2036</f>
        <v>0</v>
      </c>
      <c r="H2035" s="86">
        <f>H2036</f>
        <v>0</v>
      </c>
      <c r="I2035" s="171"/>
      <c r="J2035" s="198"/>
      <c r="K2035" s="198"/>
    </row>
    <row r="2036" spans="1:17" ht="35.25" hidden="1" customHeight="1">
      <c r="A2036" s="81" t="s">
        <v>38</v>
      </c>
      <c r="B2036" s="82">
        <v>795</v>
      </c>
      <c r="C2036" s="83" t="s">
        <v>173</v>
      </c>
      <c r="D2036" s="83" t="s">
        <v>28</v>
      </c>
      <c r="E2036" s="83" t="s">
        <v>275</v>
      </c>
      <c r="F2036" s="83" t="s">
        <v>39</v>
      </c>
      <c r="G2036" s="86"/>
      <c r="H2036" s="86"/>
      <c r="I2036" s="171"/>
      <c r="J2036" s="198"/>
      <c r="K2036" s="198"/>
    </row>
    <row r="2037" spans="1:17" s="22" customFormat="1" ht="17.25" hidden="1" customHeight="1">
      <c r="A2037" s="150" t="s">
        <v>284</v>
      </c>
      <c r="B2037" s="257">
        <v>795</v>
      </c>
      <c r="C2037" s="152" t="s">
        <v>173</v>
      </c>
      <c r="D2037" s="152" t="s">
        <v>70</v>
      </c>
      <c r="E2037" s="152"/>
      <c r="F2037" s="152"/>
      <c r="G2037" s="153">
        <f>G2038+G2053</f>
        <v>0</v>
      </c>
      <c r="H2037" s="153">
        <f t="shared" ref="H2037" si="486">H2038+H2053</f>
        <v>0</v>
      </c>
      <c r="I2037" s="187"/>
      <c r="J2037" s="198"/>
      <c r="K2037" s="198"/>
      <c r="L2037" s="198"/>
      <c r="M2037" s="198"/>
      <c r="N2037" s="198"/>
      <c r="O2037" s="198"/>
      <c r="P2037" s="198"/>
      <c r="Q2037" s="198"/>
    </row>
    <row r="2038" spans="1:17" ht="51" hidden="1">
      <c r="A2038" s="81" t="s">
        <v>489</v>
      </c>
      <c r="B2038" s="82">
        <v>795</v>
      </c>
      <c r="C2038" s="83" t="s">
        <v>173</v>
      </c>
      <c r="D2038" s="83" t="s">
        <v>70</v>
      </c>
      <c r="E2038" s="83" t="s">
        <v>295</v>
      </c>
      <c r="F2038" s="83"/>
      <c r="G2038" s="86">
        <f>G2039+G2042+G2047+G2050</f>
        <v>0</v>
      </c>
      <c r="H2038" s="86">
        <f t="shared" ref="H2038" si="487">H2039+H2042+H2047+H2050</f>
        <v>0</v>
      </c>
      <c r="I2038" s="171"/>
      <c r="J2038" s="198"/>
      <c r="K2038" s="198"/>
    </row>
    <row r="2039" spans="1:17" s="46" customFormat="1" ht="17.25" hidden="1" customHeight="1">
      <c r="A2039" s="81" t="s">
        <v>380</v>
      </c>
      <c r="B2039" s="82">
        <v>795</v>
      </c>
      <c r="C2039" s="83" t="s">
        <v>173</v>
      </c>
      <c r="D2039" s="83" t="s">
        <v>70</v>
      </c>
      <c r="E2039" s="83" t="s">
        <v>379</v>
      </c>
      <c r="F2039" s="83"/>
      <c r="G2039" s="86">
        <f t="shared" ref="G2039:H2040" si="488">G2040</f>
        <v>0</v>
      </c>
      <c r="H2039" s="86">
        <f t="shared" si="488"/>
        <v>0</v>
      </c>
      <c r="I2039" s="171"/>
      <c r="J2039" s="198"/>
      <c r="K2039" s="198"/>
      <c r="L2039" s="213"/>
      <c r="M2039" s="213"/>
      <c r="N2039" s="213"/>
      <c r="O2039" s="213"/>
      <c r="P2039" s="213"/>
      <c r="Q2039" s="213"/>
    </row>
    <row r="2040" spans="1:17" s="46" customFormat="1" ht="17.25" hidden="1" customHeight="1">
      <c r="A2040" s="81" t="s">
        <v>323</v>
      </c>
      <c r="B2040" s="82">
        <v>795</v>
      </c>
      <c r="C2040" s="83" t="s">
        <v>173</v>
      </c>
      <c r="D2040" s="83" t="s">
        <v>70</v>
      </c>
      <c r="E2040" s="83" t="s">
        <v>379</v>
      </c>
      <c r="F2040" s="83" t="s">
        <v>37</v>
      </c>
      <c r="G2040" s="86">
        <f t="shared" si="488"/>
        <v>0</v>
      </c>
      <c r="H2040" s="86">
        <f t="shared" si="488"/>
        <v>0</v>
      </c>
      <c r="I2040" s="171"/>
      <c r="J2040" s="198"/>
      <c r="K2040" s="198"/>
      <c r="L2040" s="213"/>
      <c r="M2040" s="213"/>
      <c r="N2040" s="213"/>
      <c r="O2040" s="213"/>
      <c r="P2040" s="213"/>
      <c r="Q2040" s="213"/>
    </row>
    <row r="2041" spans="1:17" s="46" customFormat="1" ht="32.25" hidden="1" customHeight="1">
      <c r="A2041" s="81" t="s">
        <v>38</v>
      </c>
      <c r="B2041" s="82">
        <v>795</v>
      </c>
      <c r="C2041" s="83" t="s">
        <v>173</v>
      </c>
      <c r="D2041" s="83" t="s">
        <v>70</v>
      </c>
      <c r="E2041" s="83" t="s">
        <v>379</v>
      </c>
      <c r="F2041" s="83" t="s">
        <v>39</v>
      </c>
      <c r="G2041" s="86"/>
      <c r="H2041" s="86"/>
      <c r="I2041" s="171"/>
      <c r="J2041" s="198"/>
      <c r="K2041" s="198"/>
      <c r="L2041" s="213"/>
      <c r="M2041" s="213"/>
      <c r="N2041" s="213"/>
      <c r="O2041" s="213"/>
      <c r="P2041" s="213"/>
      <c r="Q2041" s="213"/>
    </row>
    <row r="2042" spans="1:17" hidden="1">
      <c r="A2042" s="81" t="s">
        <v>79</v>
      </c>
      <c r="B2042" s="82">
        <v>795</v>
      </c>
      <c r="C2042" s="83" t="s">
        <v>173</v>
      </c>
      <c r="D2042" s="83" t="s">
        <v>70</v>
      </c>
      <c r="E2042" s="83" t="s">
        <v>100</v>
      </c>
      <c r="F2042" s="83"/>
      <c r="G2042" s="86">
        <f>G2043+G2045</f>
        <v>0</v>
      </c>
      <c r="H2042" s="86">
        <f>H2043+H2045</f>
        <v>0</v>
      </c>
      <c r="I2042" s="171"/>
      <c r="J2042" s="198"/>
      <c r="K2042" s="198"/>
    </row>
    <row r="2043" spans="1:17" ht="25.5" hidden="1">
      <c r="A2043" s="81" t="s">
        <v>36</v>
      </c>
      <c r="B2043" s="82">
        <v>795</v>
      </c>
      <c r="C2043" s="83" t="s">
        <v>173</v>
      </c>
      <c r="D2043" s="83" t="s">
        <v>70</v>
      </c>
      <c r="E2043" s="83" t="s">
        <v>100</v>
      </c>
      <c r="F2043" s="83" t="s">
        <v>37</v>
      </c>
      <c r="G2043" s="86">
        <f>G2044</f>
        <v>0</v>
      </c>
      <c r="H2043" s="86">
        <f>H2044</f>
        <v>0</v>
      </c>
      <c r="I2043" s="171"/>
      <c r="J2043" s="198"/>
      <c r="K2043" s="198"/>
    </row>
    <row r="2044" spans="1:17" ht="30.75" hidden="1" customHeight="1">
      <c r="A2044" s="81" t="s">
        <v>38</v>
      </c>
      <c r="B2044" s="82">
        <v>795</v>
      </c>
      <c r="C2044" s="83" t="s">
        <v>173</v>
      </c>
      <c r="D2044" s="83" t="s">
        <v>70</v>
      </c>
      <c r="E2044" s="83" t="s">
        <v>100</v>
      </c>
      <c r="F2044" s="83" t="s">
        <v>39</v>
      </c>
      <c r="G2044" s="86"/>
      <c r="H2044" s="86"/>
      <c r="I2044" s="171"/>
      <c r="J2044" s="198"/>
      <c r="K2044" s="198"/>
    </row>
    <row r="2045" spans="1:17" ht="18" hidden="1" customHeight="1">
      <c r="A2045" s="81" t="s">
        <v>156</v>
      </c>
      <c r="B2045" s="82">
        <v>795</v>
      </c>
      <c r="C2045" s="83" t="s">
        <v>173</v>
      </c>
      <c r="D2045" s="83" t="s">
        <v>70</v>
      </c>
      <c r="E2045" s="83" t="s">
        <v>100</v>
      </c>
      <c r="F2045" s="83" t="s">
        <v>157</v>
      </c>
      <c r="G2045" s="86">
        <f>G2046</f>
        <v>0</v>
      </c>
      <c r="H2045" s="86">
        <f>H2046</f>
        <v>0</v>
      </c>
      <c r="I2045" s="171"/>
      <c r="J2045" s="198"/>
      <c r="K2045" s="198"/>
    </row>
    <row r="2046" spans="1:17" ht="18" hidden="1" customHeight="1">
      <c r="A2046" s="81" t="s">
        <v>178</v>
      </c>
      <c r="B2046" s="82">
        <v>795</v>
      </c>
      <c r="C2046" s="83" t="s">
        <v>173</v>
      </c>
      <c r="D2046" s="83" t="s">
        <v>70</v>
      </c>
      <c r="E2046" s="83" t="s">
        <v>100</v>
      </c>
      <c r="F2046" s="83" t="s">
        <v>179</v>
      </c>
      <c r="G2046" s="86"/>
      <c r="H2046" s="86"/>
      <c r="I2046" s="171"/>
      <c r="J2046" s="198"/>
      <c r="K2046" s="198"/>
    </row>
    <row r="2047" spans="1:17" ht="26.25" hidden="1" customHeight="1">
      <c r="A2047" s="81" t="s">
        <v>77</v>
      </c>
      <c r="B2047" s="82">
        <v>795</v>
      </c>
      <c r="C2047" s="83" t="s">
        <v>173</v>
      </c>
      <c r="D2047" s="83" t="s">
        <v>70</v>
      </c>
      <c r="E2047" s="83" t="s">
        <v>78</v>
      </c>
      <c r="F2047" s="83"/>
      <c r="G2047" s="86">
        <f t="shared" ref="G2047:H2048" si="489">G2048</f>
        <v>0</v>
      </c>
      <c r="H2047" s="86">
        <f t="shared" si="489"/>
        <v>0</v>
      </c>
      <c r="I2047" s="171"/>
      <c r="J2047" s="198"/>
      <c r="K2047" s="198"/>
    </row>
    <row r="2048" spans="1:17" ht="26.25" hidden="1" customHeight="1">
      <c r="A2048" s="81" t="s">
        <v>36</v>
      </c>
      <c r="B2048" s="82">
        <v>795</v>
      </c>
      <c r="C2048" s="83" t="s">
        <v>173</v>
      </c>
      <c r="D2048" s="83" t="s">
        <v>70</v>
      </c>
      <c r="E2048" s="83" t="s">
        <v>78</v>
      </c>
      <c r="F2048" s="83" t="s">
        <v>37</v>
      </c>
      <c r="G2048" s="86">
        <f t="shared" si="489"/>
        <v>0</v>
      </c>
      <c r="H2048" s="86">
        <f t="shared" si="489"/>
        <v>0</v>
      </c>
      <c r="I2048" s="171"/>
      <c r="J2048" s="198"/>
      <c r="K2048" s="198"/>
    </row>
    <row r="2049" spans="1:17" ht="25.5" hidden="1">
      <c r="A2049" s="81" t="s">
        <v>38</v>
      </c>
      <c r="B2049" s="82">
        <v>795</v>
      </c>
      <c r="C2049" s="83" t="s">
        <v>173</v>
      </c>
      <c r="D2049" s="83" t="s">
        <v>70</v>
      </c>
      <c r="E2049" s="83" t="s">
        <v>78</v>
      </c>
      <c r="F2049" s="83" t="s">
        <v>39</v>
      </c>
      <c r="G2049" s="86"/>
      <c r="H2049" s="86"/>
      <c r="I2049" s="171"/>
      <c r="J2049" s="198"/>
      <c r="K2049" s="198"/>
    </row>
    <row r="2050" spans="1:17" ht="30.75" hidden="1" customHeight="1">
      <c r="A2050" s="81" t="s">
        <v>698</v>
      </c>
      <c r="B2050" s="82">
        <v>795</v>
      </c>
      <c r="C2050" s="83" t="s">
        <v>173</v>
      </c>
      <c r="D2050" s="83" t="s">
        <v>70</v>
      </c>
      <c r="E2050" s="83" t="s">
        <v>416</v>
      </c>
      <c r="F2050" s="83"/>
      <c r="G2050" s="86">
        <f t="shared" ref="G2050:H2051" si="490">G2051</f>
        <v>0</v>
      </c>
      <c r="H2050" s="86">
        <f t="shared" si="490"/>
        <v>0</v>
      </c>
      <c r="I2050" s="171"/>
      <c r="J2050" s="198"/>
      <c r="K2050" s="198"/>
    </row>
    <row r="2051" spans="1:17" ht="30.75" hidden="1" customHeight="1">
      <c r="A2051" s="81" t="s">
        <v>36</v>
      </c>
      <c r="B2051" s="82">
        <v>795</v>
      </c>
      <c r="C2051" s="83" t="s">
        <v>173</v>
      </c>
      <c r="D2051" s="83" t="s">
        <v>70</v>
      </c>
      <c r="E2051" s="83" t="s">
        <v>416</v>
      </c>
      <c r="F2051" s="83" t="s">
        <v>37</v>
      </c>
      <c r="G2051" s="86">
        <f t="shared" si="490"/>
        <v>0</v>
      </c>
      <c r="H2051" s="86">
        <f t="shared" si="490"/>
        <v>0</v>
      </c>
      <c r="I2051" s="171"/>
      <c r="J2051" s="198"/>
      <c r="K2051" s="198"/>
    </row>
    <row r="2052" spans="1:17" ht="30.75" hidden="1" customHeight="1">
      <c r="A2052" s="81" t="s">
        <v>38</v>
      </c>
      <c r="B2052" s="82">
        <v>795</v>
      </c>
      <c r="C2052" s="83" t="s">
        <v>173</v>
      </c>
      <c r="D2052" s="83" t="s">
        <v>70</v>
      </c>
      <c r="E2052" s="83" t="s">
        <v>416</v>
      </c>
      <c r="F2052" s="83" t="s">
        <v>39</v>
      </c>
      <c r="G2052" s="86"/>
      <c r="H2052" s="86"/>
      <c r="I2052" s="171"/>
      <c r="J2052" s="198"/>
      <c r="K2052" s="198"/>
    </row>
    <row r="2053" spans="1:17" ht="44.25" hidden="1" customHeight="1">
      <c r="A2053" s="81" t="s">
        <v>465</v>
      </c>
      <c r="B2053" s="82">
        <v>795</v>
      </c>
      <c r="C2053" s="83" t="s">
        <v>173</v>
      </c>
      <c r="D2053" s="83" t="s">
        <v>70</v>
      </c>
      <c r="E2053" s="83" t="s">
        <v>139</v>
      </c>
      <c r="F2053" s="83"/>
      <c r="G2053" s="86">
        <f>G2054+G2057</f>
        <v>0</v>
      </c>
      <c r="H2053" s="86">
        <f t="shared" ref="H2053" si="491">H2054+H2057</f>
        <v>0</v>
      </c>
      <c r="I2053" s="171"/>
      <c r="J2053" s="198"/>
      <c r="K2053" s="198"/>
    </row>
    <row r="2054" spans="1:17" s="22" customFormat="1" ht="36" hidden="1" customHeight="1">
      <c r="A2054" s="81" t="s">
        <v>640</v>
      </c>
      <c r="B2054" s="145">
        <v>795</v>
      </c>
      <c r="C2054" s="83" t="s">
        <v>173</v>
      </c>
      <c r="D2054" s="83" t="s">
        <v>70</v>
      </c>
      <c r="E2054" s="83" t="s">
        <v>641</v>
      </c>
      <c r="F2054" s="152"/>
      <c r="G2054" s="86">
        <f>G2055</f>
        <v>0</v>
      </c>
      <c r="H2054" s="86">
        <f t="shared" ref="H2054:H2055" si="492">H2055</f>
        <v>0</v>
      </c>
      <c r="I2054" s="171"/>
      <c r="J2054" s="198"/>
      <c r="K2054" s="198"/>
      <c r="L2054" s="198"/>
      <c r="M2054" s="198"/>
      <c r="N2054" s="198"/>
      <c r="O2054" s="198"/>
      <c r="P2054" s="198"/>
      <c r="Q2054" s="198"/>
    </row>
    <row r="2055" spans="1:17" s="22" customFormat="1" ht="24" hidden="1" customHeight="1">
      <c r="A2055" s="81" t="s">
        <v>156</v>
      </c>
      <c r="B2055" s="145">
        <v>795</v>
      </c>
      <c r="C2055" s="83" t="s">
        <v>173</v>
      </c>
      <c r="D2055" s="83" t="s">
        <v>70</v>
      </c>
      <c r="E2055" s="83" t="s">
        <v>641</v>
      </c>
      <c r="F2055" s="83" t="s">
        <v>157</v>
      </c>
      <c r="G2055" s="86">
        <f>G2056</f>
        <v>0</v>
      </c>
      <c r="H2055" s="86">
        <f t="shared" si="492"/>
        <v>0</v>
      </c>
      <c r="I2055" s="171"/>
      <c r="J2055" s="198"/>
      <c r="K2055" s="198"/>
      <c r="L2055" s="198"/>
      <c r="M2055" s="198"/>
      <c r="N2055" s="198"/>
      <c r="O2055" s="198"/>
      <c r="P2055" s="198"/>
      <c r="Q2055" s="198"/>
    </row>
    <row r="2056" spans="1:17" s="22" customFormat="1" ht="24" hidden="1" customHeight="1">
      <c r="A2056" s="81" t="s">
        <v>178</v>
      </c>
      <c r="B2056" s="145">
        <v>795</v>
      </c>
      <c r="C2056" s="83" t="s">
        <v>173</v>
      </c>
      <c r="D2056" s="83" t="s">
        <v>70</v>
      </c>
      <c r="E2056" s="83" t="s">
        <v>641</v>
      </c>
      <c r="F2056" s="83" t="s">
        <v>179</v>
      </c>
      <c r="G2056" s="86"/>
      <c r="H2056" s="86">
        <v>0</v>
      </c>
      <c r="I2056" s="171"/>
      <c r="J2056" s="198"/>
      <c r="K2056" s="198"/>
      <c r="L2056" s="198"/>
      <c r="M2056" s="198"/>
      <c r="N2056" s="198"/>
      <c r="O2056" s="198"/>
      <c r="P2056" s="198"/>
      <c r="Q2056" s="198"/>
    </row>
    <row r="2057" spans="1:17" ht="50.25" hidden="1" customHeight="1">
      <c r="A2057" s="81" t="s">
        <v>402</v>
      </c>
      <c r="B2057" s="82">
        <v>795</v>
      </c>
      <c r="C2057" s="83" t="s">
        <v>173</v>
      </c>
      <c r="D2057" s="83" t="s">
        <v>70</v>
      </c>
      <c r="E2057" s="83" t="s">
        <v>401</v>
      </c>
      <c r="F2057" s="83"/>
      <c r="G2057" s="86">
        <f>G2058</f>
        <v>0</v>
      </c>
      <c r="H2057" s="86">
        <f t="shared" ref="H2057:H2058" si="493">H2058</f>
        <v>0</v>
      </c>
      <c r="I2057" s="171"/>
      <c r="J2057" s="198"/>
      <c r="K2057" s="198"/>
    </row>
    <row r="2058" spans="1:17" ht="23.25" hidden="1" customHeight="1">
      <c r="A2058" s="81" t="s">
        <v>156</v>
      </c>
      <c r="B2058" s="82">
        <v>795</v>
      </c>
      <c r="C2058" s="83" t="s">
        <v>173</v>
      </c>
      <c r="D2058" s="83" t="s">
        <v>70</v>
      </c>
      <c r="E2058" s="83" t="s">
        <v>401</v>
      </c>
      <c r="F2058" s="83" t="s">
        <v>157</v>
      </c>
      <c r="G2058" s="86">
        <f>G2059</f>
        <v>0</v>
      </c>
      <c r="H2058" s="86">
        <f t="shared" si="493"/>
        <v>0</v>
      </c>
      <c r="I2058" s="171"/>
      <c r="J2058" s="198"/>
      <c r="K2058" s="198"/>
    </row>
    <row r="2059" spans="1:17" ht="23.25" hidden="1" customHeight="1">
      <c r="A2059" s="81" t="s">
        <v>178</v>
      </c>
      <c r="B2059" s="82">
        <v>795</v>
      </c>
      <c r="C2059" s="83" t="s">
        <v>173</v>
      </c>
      <c r="D2059" s="83" t="s">
        <v>70</v>
      </c>
      <c r="E2059" s="83" t="s">
        <v>401</v>
      </c>
      <c r="F2059" s="83" t="s">
        <v>179</v>
      </c>
      <c r="G2059" s="86"/>
      <c r="H2059" s="84"/>
      <c r="I2059" s="172"/>
      <c r="J2059" s="198"/>
      <c r="K2059" s="198"/>
    </row>
    <row r="2060" spans="1:17" s="22" customFormat="1" ht="25.5" hidden="1">
      <c r="A2060" s="150" t="s">
        <v>582</v>
      </c>
      <c r="B2060" s="257">
        <v>795</v>
      </c>
      <c r="C2060" s="152" t="s">
        <v>173</v>
      </c>
      <c r="D2060" s="152" t="s">
        <v>173</v>
      </c>
      <c r="E2060" s="152"/>
      <c r="F2060" s="152"/>
      <c r="G2060" s="153">
        <f>G2061+G2084</f>
        <v>0</v>
      </c>
      <c r="H2060" s="153">
        <f t="shared" ref="H2060" si="494">H2061</f>
        <v>0</v>
      </c>
      <c r="I2060" s="187"/>
      <c r="J2060" s="198"/>
      <c r="K2060" s="198"/>
      <c r="L2060" s="198"/>
      <c r="M2060" s="198"/>
      <c r="N2060" s="198"/>
      <c r="O2060" s="198"/>
      <c r="P2060" s="198"/>
      <c r="Q2060" s="198"/>
    </row>
    <row r="2061" spans="1:17" ht="54" hidden="1" customHeight="1">
      <c r="A2061" s="81" t="s">
        <v>489</v>
      </c>
      <c r="B2061" s="82">
        <v>795</v>
      </c>
      <c r="C2061" s="83" t="s">
        <v>173</v>
      </c>
      <c r="D2061" s="83" t="s">
        <v>173</v>
      </c>
      <c r="E2061" s="83" t="s">
        <v>295</v>
      </c>
      <c r="F2061" s="83"/>
      <c r="G2061" s="86">
        <f>G2062+G2069+G2074+G2085</f>
        <v>0</v>
      </c>
      <c r="H2061" s="86">
        <f t="shared" ref="H2061" si="495">H2065+H2074+H2079+H2062</f>
        <v>0</v>
      </c>
      <c r="I2061" s="171"/>
      <c r="J2061" s="198"/>
      <c r="K2061" s="198"/>
    </row>
    <row r="2062" spans="1:17" ht="73.5" hidden="1" customHeight="1">
      <c r="A2062" s="135" t="s">
        <v>709</v>
      </c>
      <c r="B2062" s="82">
        <v>795</v>
      </c>
      <c r="C2062" s="83" t="s">
        <v>173</v>
      </c>
      <c r="D2062" s="83" t="s">
        <v>173</v>
      </c>
      <c r="E2062" s="83" t="s">
        <v>715</v>
      </c>
      <c r="F2062" s="83"/>
      <c r="G2062" s="86">
        <f>G2063</f>
        <v>0</v>
      </c>
      <c r="H2062" s="84">
        <v>0</v>
      </c>
      <c r="I2062" s="172"/>
      <c r="J2062" s="198"/>
      <c r="K2062" s="198"/>
    </row>
    <row r="2063" spans="1:17" ht="21" hidden="1" customHeight="1">
      <c r="A2063" s="81" t="s">
        <v>156</v>
      </c>
      <c r="B2063" s="82">
        <v>795</v>
      </c>
      <c r="C2063" s="83" t="s">
        <v>173</v>
      </c>
      <c r="D2063" s="83" t="s">
        <v>173</v>
      </c>
      <c r="E2063" s="83" t="s">
        <v>715</v>
      </c>
      <c r="F2063" s="83" t="s">
        <v>157</v>
      </c>
      <c r="G2063" s="86">
        <f>G2064</f>
        <v>0</v>
      </c>
      <c r="H2063" s="84">
        <v>0</v>
      </c>
      <c r="I2063" s="172"/>
      <c r="J2063" s="198"/>
      <c r="K2063" s="198"/>
    </row>
    <row r="2064" spans="1:17" ht="20.25" hidden="1" customHeight="1">
      <c r="A2064" s="81" t="s">
        <v>170</v>
      </c>
      <c r="B2064" s="82">
        <v>795</v>
      </c>
      <c r="C2064" s="83" t="s">
        <v>173</v>
      </c>
      <c r="D2064" s="83" t="s">
        <v>173</v>
      </c>
      <c r="E2064" s="83" t="s">
        <v>715</v>
      </c>
      <c r="F2064" s="83" t="s">
        <v>171</v>
      </c>
      <c r="G2064" s="86"/>
      <c r="H2064" s="84"/>
      <c r="I2064" s="172"/>
      <c r="J2064" s="198"/>
      <c r="K2064" s="198"/>
    </row>
    <row r="2065" spans="1:17" ht="25.5" hidden="1" customHeight="1">
      <c r="A2065" s="135" t="s">
        <v>622</v>
      </c>
      <c r="B2065" s="82">
        <v>795</v>
      </c>
      <c r="C2065" s="83" t="s">
        <v>173</v>
      </c>
      <c r="D2065" s="83" t="s">
        <v>173</v>
      </c>
      <c r="E2065" s="83" t="s">
        <v>619</v>
      </c>
      <c r="F2065" s="83"/>
      <c r="G2065" s="86">
        <f>G2066</f>
        <v>0</v>
      </c>
      <c r="H2065" s="84">
        <v>0</v>
      </c>
      <c r="I2065" s="172"/>
      <c r="J2065" s="198"/>
      <c r="K2065" s="198"/>
    </row>
    <row r="2066" spans="1:17" ht="39.75" hidden="1" customHeight="1">
      <c r="A2066" s="135" t="s">
        <v>621</v>
      </c>
      <c r="B2066" s="82">
        <v>795</v>
      </c>
      <c r="C2066" s="83" t="s">
        <v>173</v>
      </c>
      <c r="D2066" s="83" t="s">
        <v>173</v>
      </c>
      <c r="E2066" s="83" t="s">
        <v>620</v>
      </c>
      <c r="F2066" s="83"/>
      <c r="G2066" s="86">
        <f>G2067</f>
        <v>0</v>
      </c>
      <c r="H2066" s="84">
        <v>0</v>
      </c>
      <c r="I2066" s="172"/>
      <c r="J2066" s="198"/>
      <c r="K2066" s="198"/>
    </row>
    <row r="2067" spans="1:17" ht="30.75" hidden="1" customHeight="1">
      <c r="A2067" s="81" t="s">
        <v>96</v>
      </c>
      <c r="B2067" s="82">
        <v>795</v>
      </c>
      <c r="C2067" s="83" t="s">
        <v>173</v>
      </c>
      <c r="D2067" s="83" t="s">
        <v>173</v>
      </c>
      <c r="E2067" s="83" t="s">
        <v>620</v>
      </c>
      <c r="F2067" s="83" t="s">
        <v>348</v>
      </c>
      <c r="G2067" s="86">
        <f>G2068</f>
        <v>0</v>
      </c>
      <c r="H2067" s="84">
        <v>0</v>
      </c>
      <c r="I2067" s="172"/>
      <c r="J2067" s="198"/>
      <c r="K2067" s="198"/>
    </row>
    <row r="2068" spans="1:17" ht="30.75" hidden="1" customHeight="1">
      <c r="A2068" s="81" t="s">
        <v>349</v>
      </c>
      <c r="B2068" s="82">
        <v>795</v>
      </c>
      <c r="C2068" s="83" t="s">
        <v>173</v>
      </c>
      <c r="D2068" s="83" t="s">
        <v>173</v>
      </c>
      <c r="E2068" s="83" t="s">
        <v>620</v>
      </c>
      <c r="F2068" s="83" t="s">
        <v>350</v>
      </c>
      <c r="G2068" s="86"/>
      <c r="H2068" s="84">
        <v>0</v>
      </c>
      <c r="I2068" s="172"/>
      <c r="J2068" s="198"/>
      <c r="K2068" s="198"/>
    </row>
    <row r="2069" spans="1:17" ht="55.5" hidden="1" customHeight="1">
      <c r="A2069" s="135" t="s">
        <v>733</v>
      </c>
      <c r="B2069" s="82">
        <v>795</v>
      </c>
      <c r="C2069" s="83" t="s">
        <v>173</v>
      </c>
      <c r="D2069" s="83" t="s">
        <v>173</v>
      </c>
      <c r="E2069" s="83" t="s">
        <v>717</v>
      </c>
      <c r="F2069" s="83"/>
      <c r="G2069" s="86">
        <f>G2070+G2072</f>
        <v>0</v>
      </c>
      <c r="H2069" s="86">
        <f t="shared" ref="H2069" si="496">H2070+H2072</f>
        <v>0</v>
      </c>
      <c r="I2069" s="171"/>
      <c r="J2069" s="198"/>
      <c r="K2069" s="198"/>
    </row>
    <row r="2070" spans="1:17" ht="27" hidden="1" customHeight="1">
      <c r="A2070" s="81" t="s">
        <v>96</v>
      </c>
      <c r="B2070" s="82">
        <v>795</v>
      </c>
      <c r="C2070" s="83" t="s">
        <v>173</v>
      </c>
      <c r="D2070" s="83" t="s">
        <v>173</v>
      </c>
      <c r="E2070" s="83" t="s">
        <v>605</v>
      </c>
      <c r="F2070" s="83" t="s">
        <v>348</v>
      </c>
      <c r="G2070" s="86">
        <f>G2071</f>
        <v>0</v>
      </c>
      <c r="H2070" s="84">
        <f>H2071</f>
        <v>0</v>
      </c>
      <c r="I2070" s="172"/>
      <c r="J2070" s="198"/>
      <c r="K2070" s="198"/>
    </row>
    <row r="2071" spans="1:17" ht="18.75" hidden="1" customHeight="1">
      <c r="A2071" s="81" t="s">
        <v>349</v>
      </c>
      <c r="B2071" s="82">
        <v>795</v>
      </c>
      <c r="C2071" s="83" t="s">
        <v>173</v>
      </c>
      <c r="D2071" s="83" t="s">
        <v>173</v>
      </c>
      <c r="E2071" s="83" t="s">
        <v>605</v>
      </c>
      <c r="F2071" s="83" t="s">
        <v>350</v>
      </c>
      <c r="G2071" s="86"/>
      <c r="H2071" s="84"/>
      <c r="I2071" s="172"/>
      <c r="J2071" s="198"/>
      <c r="K2071" s="198"/>
    </row>
    <row r="2072" spans="1:17" ht="39.75" hidden="1" customHeight="1">
      <c r="A2072" s="81" t="s">
        <v>36</v>
      </c>
      <c r="B2072" s="82">
        <v>795</v>
      </c>
      <c r="C2072" s="83" t="s">
        <v>173</v>
      </c>
      <c r="D2072" s="83" t="s">
        <v>173</v>
      </c>
      <c r="E2072" s="83" t="s">
        <v>718</v>
      </c>
      <c r="F2072" s="83" t="s">
        <v>348</v>
      </c>
      <c r="G2072" s="86">
        <f>G2073</f>
        <v>0</v>
      </c>
      <c r="H2072" s="84"/>
      <c r="I2072" s="172"/>
      <c r="J2072" s="198"/>
      <c r="K2072" s="198"/>
    </row>
    <row r="2073" spans="1:17" ht="39" hidden="1" customHeight="1">
      <c r="A2073" s="81" t="s">
        <v>38</v>
      </c>
      <c r="B2073" s="82">
        <v>795</v>
      </c>
      <c r="C2073" s="83" t="s">
        <v>173</v>
      </c>
      <c r="D2073" s="83" t="s">
        <v>173</v>
      </c>
      <c r="E2073" s="83" t="s">
        <v>717</v>
      </c>
      <c r="F2073" s="83" t="s">
        <v>350</v>
      </c>
      <c r="G2073" s="86">
        <f>358104.72+400000-758104.72</f>
        <v>0</v>
      </c>
      <c r="H2073" s="84"/>
      <c r="I2073" s="172"/>
      <c r="J2073" s="198"/>
      <c r="K2073" s="198"/>
    </row>
    <row r="2074" spans="1:17" ht="57" hidden="1" customHeight="1">
      <c r="A2074" s="135" t="s">
        <v>733</v>
      </c>
      <c r="B2074" s="82">
        <v>795</v>
      </c>
      <c r="C2074" s="83" t="s">
        <v>173</v>
      </c>
      <c r="D2074" s="83" t="s">
        <v>173</v>
      </c>
      <c r="E2074" s="83" t="s">
        <v>605</v>
      </c>
      <c r="F2074" s="83"/>
      <c r="G2074" s="86">
        <f>G2075+G2077</f>
        <v>0</v>
      </c>
      <c r="H2074" s="86">
        <f t="shared" ref="H2074" si="497">H2075+H2077</f>
        <v>0</v>
      </c>
      <c r="I2074" s="171"/>
      <c r="J2074" s="198"/>
      <c r="K2074" s="198"/>
    </row>
    <row r="2075" spans="1:17" ht="27" hidden="1" customHeight="1">
      <c r="A2075" s="81" t="s">
        <v>96</v>
      </c>
      <c r="B2075" s="82">
        <v>795</v>
      </c>
      <c r="C2075" s="83" t="s">
        <v>173</v>
      </c>
      <c r="D2075" s="83" t="s">
        <v>173</v>
      </c>
      <c r="E2075" s="83" t="s">
        <v>605</v>
      </c>
      <c r="F2075" s="83" t="s">
        <v>348</v>
      </c>
      <c r="G2075" s="86">
        <f>G2076</f>
        <v>0</v>
      </c>
      <c r="H2075" s="84">
        <f>H2076</f>
        <v>0</v>
      </c>
      <c r="I2075" s="172"/>
      <c r="J2075" s="198"/>
      <c r="K2075" s="198"/>
    </row>
    <row r="2076" spans="1:17" ht="18.75" hidden="1" customHeight="1">
      <c r="A2076" s="81" t="s">
        <v>349</v>
      </c>
      <c r="B2076" s="82">
        <v>795</v>
      </c>
      <c r="C2076" s="83" t="s">
        <v>173</v>
      </c>
      <c r="D2076" s="83" t="s">
        <v>173</v>
      </c>
      <c r="E2076" s="83" t="s">
        <v>605</v>
      </c>
      <c r="F2076" s="83" t="s">
        <v>350</v>
      </c>
      <c r="G2076" s="86"/>
      <c r="H2076" s="84"/>
      <c r="I2076" s="172"/>
      <c r="J2076" s="198"/>
      <c r="K2076" s="198"/>
    </row>
    <row r="2077" spans="1:17" ht="30" hidden="1" customHeight="1">
      <c r="A2077" s="81" t="s">
        <v>36</v>
      </c>
      <c r="B2077" s="82">
        <v>795</v>
      </c>
      <c r="C2077" s="83" t="s">
        <v>173</v>
      </c>
      <c r="D2077" s="83" t="s">
        <v>173</v>
      </c>
      <c r="E2077" s="83" t="s">
        <v>605</v>
      </c>
      <c r="F2077" s="83" t="s">
        <v>348</v>
      </c>
      <c r="G2077" s="86">
        <f>G2078</f>
        <v>0</v>
      </c>
      <c r="H2077" s="84">
        <v>0</v>
      </c>
      <c r="I2077" s="172"/>
      <c r="J2077" s="198"/>
      <c r="K2077" s="198"/>
    </row>
    <row r="2078" spans="1:17" ht="30.75" hidden="1" customHeight="1">
      <c r="A2078" s="81" t="s">
        <v>38</v>
      </c>
      <c r="B2078" s="82">
        <v>795</v>
      </c>
      <c r="C2078" s="83" t="s">
        <v>173</v>
      </c>
      <c r="D2078" s="83" t="s">
        <v>173</v>
      </c>
      <c r="E2078" s="83" t="s">
        <v>605</v>
      </c>
      <c r="F2078" s="83" t="s">
        <v>350</v>
      </c>
      <c r="G2078" s="86"/>
      <c r="H2078" s="84"/>
      <c r="I2078" s="172"/>
      <c r="J2078" s="198"/>
      <c r="K2078" s="198"/>
    </row>
    <row r="2079" spans="1:17" s="3" customFormat="1" ht="33.75" hidden="1" customHeight="1">
      <c r="A2079" s="81" t="s">
        <v>504</v>
      </c>
      <c r="B2079" s="82">
        <v>795</v>
      </c>
      <c r="C2079" s="83" t="s">
        <v>173</v>
      </c>
      <c r="D2079" s="83" t="s">
        <v>173</v>
      </c>
      <c r="E2079" s="83" t="s">
        <v>505</v>
      </c>
      <c r="F2079" s="83"/>
      <c r="G2079" s="86">
        <f>G2080</f>
        <v>0</v>
      </c>
      <c r="H2079" s="84">
        <v>0</v>
      </c>
      <c r="I2079" s="172"/>
      <c r="J2079" s="198"/>
      <c r="K2079" s="198"/>
      <c r="L2079" s="190"/>
      <c r="M2079" s="190"/>
      <c r="N2079" s="190"/>
      <c r="O2079" s="190"/>
      <c r="P2079" s="190"/>
      <c r="Q2079" s="190"/>
    </row>
    <row r="2080" spans="1:17" s="3" customFormat="1" ht="38.25" hidden="1" customHeight="1">
      <c r="A2080" s="81" t="s">
        <v>36</v>
      </c>
      <c r="B2080" s="82">
        <v>795</v>
      </c>
      <c r="C2080" s="83" t="s">
        <v>173</v>
      </c>
      <c r="D2080" s="83" t="s">
        <v>173</v>
      </c>
      <c r="E2080" s="83" t="s">
        <v>505</v>
      </c>
      <c r="F2080" s="83" t="s">
        <v>37</v>
      </c>
      <c r="G2080" s="86">
        <f>G2081</f>
        <v>0</v>
      </c>
      <c r="H2080" s="84">
        <v>0</v>
      </c>
      <c r="I2080" s="172"/>
      <c r="J2080" s="198"/>
      <c r="K2080" s="198"/>
      <c r="L2080" s="190"/>
      <c r="M2080" s="190"/>
      <c r="N2080" s="190"/>
      <c r="O2080" s="190"/>
      <c r="P2080" s="190"/>
      <c r="Q2080" s="190"/>
    </row>
    <row r="2081" spans="1:17" s="3" customFormat="1" ht="38.25" hidden="1" customHeight="1">
      <c r="A2081" s="81" t="s">
        <v>38</v>
      </c>
      <c r="B2081" s="82">
        <v>795</v>
      </c>
      <c r="C2081" s="83" t="s">
        <v>173</v>
      </c>
      <c r="D2081" s="83" t="s">
        <v>173</v>
      </c>
      <c r="E2081" s="83" t="s">
        <v>505</v>
      </c>
      <c r="F2081" s="83" t="s">
        <v>39</v>
      </c>
      <c r="G2081" s="86"/>
      <c r="H2081" s="84">
        <v>0</v>
      </c>
      <c r="I2081" s="172"/>
      <c r="J2081" s="198"/>
      <c r="K2081" s="198"/>
      <c r="L2081" s="190"/>
      <c r="M2081" s="190"/>
      <c r="N2081" s="190"/>
      <c r="O2081" s="190"/>
      <c r="P2081" s="190"/>
      <c r="Q2081" s="190"/>
    </row>
    <row r="2082" spans="1:17" ht="57" hidden="1" customHeight="1">
      <c r="A2082" s="135" t="s">
        <v>868</v>
      </c>
      <c r="B2082" s="82">
        <v>795</v>
      </c>
      <c r="C2082" s="83" t="s">
        <v>173</v>
      </c>
      <c r="D2082" s="83" t="s">
        <v>173</v>
      </c>
      <c r="E2082" s="83" t="s">
        <v>867</v>
      </c>
      <c r="F2082" s="83"/>
      <c r="G2082" s="86">
        <f>G2083</f>
        <v>0</v>
      </c>
      <c r="H2082" s="86">
        <f t="shared" ref="H2082" si="498">H2083+H2085</f>
        <v>0</v>
      </c>
      <c r="I2082" s="171"/>
      <c r="J2082" s="198"/>
      <c r="K2082" s="198"/>
    </row>
    <row r="2083" spans="1:17" ht="27" hidden="1" customHeight="1">
      <c r="A2083" s="81" t="s">
        <v>63</v>
      </c>
      <c r="B2083" s="82">
        <v>795</v>
      </c>
      <c r="C2083" s="83" t="s">
        <v>173</v>
      </c>
      <c r="D2083" s="83" t="s">
        <v>173</v>
      </c>
      <c r="E2083" s="83" t="s">
        <v>867</v>
      </c>
      <c r="F2083" s="83" t="s">
        <v>64</v>
      </c>
      <c r="G2083" s="86">
        <f>G2084</f>
        <v>0</v>
      </c>
      <c r="H2083" s="84">
        <f>H2084</f>
        <v>0</v>
      </c>
      <c r="I2083" s="172"/>
      <c r="J2083" s="198"/>
      <c r="K2083" s="198"/>
    </row>
    <row r="2084" spans="1:17" ht="18.75" hidden="1" customHeight="1">
      <c r="A2084" s="81" t="s">
        <v>180</v>
      </c>
      <c r="B2084" s="82">
        <v>795</v>
      </c>
      <c r="C2084" s="83" t="s">
        <v>173</v>
      </c>
      <c r="D2084" s="83" t="s">
        <v>173</v>
      </c>
      <c r="E2084" s="83" t="s">
        <v>867</v>
      </c>
      <c r="F2084" s="83" t="s">
        <v>181</v>
      </c>
      <c r="G2084" s="86"/>
      <c r="H2084" s="84"/>
      <c r="I2084" s="172"/>
      <c r="J2084" s="198"/>
      <c r="K2084" s="198"/>
    </row>
    <row r="2085" spans="1:17" s="3" customFormat="1" ht="72" hidden="1" customHeight="1">
      <c r="A2085" s="81" t="s">
        <v>818</v>
      </c>
      <c r="B2085" s="82">
        <v>795</v>
      </c>
      <c r="C2085" s="83" t="s">
        <v>173</v>
      </c>
      <c r="D2085" s="83" t="s">
        <v>173</v>
      </c>
      <c r="E2085" s="83" t="s">
        <v>714</v>
      </c>
      <c r="F2085" s="83"/>
      <c r="G2085" s="86"/>
      <c r="H2085" s="84">
        <f>H2086</f>
        <v>0</v>
      </c>
      <c r="I2085" s="172"/>
      <c r="J2085" s="198"/>
      <c r="K2085" s="198"/>
      <c r="L2085" s="190"/>
      <c r="M2085" s="190"/>
      <c r="N2085" s="190"/>
      <c r="O2085" s="190"/>
      <c r="P2085" s="190"/>
      <c r="Q2085" s="190"/>
    </row>
    <row r="2086" spans="1:17" s="3" customFormat="1" ht="38.25" hidden="1" customHeight="1">
      <c r="A2086" s="81" t="s">
        <v>156</v>
      </c>
      <c r="B2086" s="82">
        <v>795</v>
      </c>
      <c r="C2086" s="83" t="s">
        <v>173</v>
      </c>
      <c r="D2086" s="83" t="s">
        <v>173</v>
      </c>
      <c r="E2086" s="83" t="s">
        <v>714</v>
      </c>
      <c r="F2086" s="83" t="s">
        <v>157</v>
      </c>
      <c r="G2086" s="86">
        <f>G2087</f>
        <v>0</v>
      </c>
      <c r="H2086" s="84">
        <f>H2087</f>
        <v>0</v>
      </c>
      <c r="I2086" s="172"/>
      <c r="J2086" s="198"/>
      <c r="K2086" s="198"/>
      <c r="L2086" s="190"/>
      <c r="M2086" s="190"/>
      <c r="N2086" s="190"/>
      <c r="O2086" s="190"/>
      <c r="P2086" s="190"/>
      <c r="Q2086" s="190"/>
    </row>
    <row r="2087" spans="1:17" s="3" customFormat="1" ht="38.25" hidden="1" customHeight="1">
      <c r="A2087" s="81" t="s">
        <v>178</v>
      </c>
      <c r="B2087" s="82">
        <v>795</v>
      </c>
      <c r="C2087" s="83" t="s">
        <v>173</v>
      </c>
      <c r="D2087" s="83" t="s">
        <v>173</v>
      </c>
      <c r="E2087" s="83" t="s">
        <v>714</v>
      </c>
      <c r="F2087" s="83" t="s">
        <v>179</v>
      </c>
      <c r="G2087" s="86"/>
      <c r="H2087" s="84"/>
      <c r="I2087" s="172"/>
      <c r="J2087" s="198"/>
      <c r="K2087" s="198"/>
      <c r="L2087" s="190"/>
      <c r="M2087" s="190"/>
      <c r="N2087" s="190"/>
      <c r="O2087" s="190"/>
      <c r="P2087" s="190"/>
      <c r="Q2087" s="190"/>
    </row>
    <row r="2088" spans="1:17" s="22" customFormat="1" ht="22.5" hidden="1" customHeight="1">
      <c r="A2088" s="150" t="s">
        <v>2</v>
      </c>
      <c r="B2088" s="257">
        <v>795</v>
      </c>
      <c r="C2088" s="152" t="s">
        <v>161</v>
      </c>
      <c r="D2088" s="152"/>
      <c r="E2088" s="152"/>
      <c r="F2088" s="152"/>
      <c r="G2088" s="153">
        <f t="shared" ref="G2088:H2089" si="499">G2089</f>
        <v>0</v>
      </c>
      <c r="H2088" s="153">
        <f t="shared" si="499"/>
        <v>0</v>
      </c>
      <c r="I2088" s="187"/>
      <c r="J2088" s="198"/>
      <c r="K2088" s="198"/>
      <c r="L2088" s="198"/>
      <c r="M2088" s="198"/>
      <c r="N2088" s="198"/>
      <c r="O2088" s="198"/>
      <c r="P2088" s="198"/>
      <c r="Q2088" s="198"/>
    </row>
    <row r="2089" spans="1:17" s="3" customFormat="1" ht="24.75" hidden="1" customHeight="1">
      <c r="A2089" s="81" t="s">
        <v>352</v>
      </c>
      <c r="B2089" s="82">
        <v>795</v>
      </c>
      <c r="C2089" s="83" t="s">
        <v>161</v>
      </c>
      <c r="D2089" s="83" t="s">
        <v>173</v>
      </c>
      <c r="E2089" s="83"/>
      <c r="F2089" s="83"/>
      <c r="G2089" s="86">
        <f t="shared" si="499"/>
        <v>0</v>
      </c>
      <c r="H2089" s="86">
        <f t="shared" si="499"/>
        <v>0</v>
      </c>
      <c r="I2089" s="171"/>
      <c r="J2089" s="198"/>
      <c r="K2089" s="198"/>
      <c r="L2089" s="190"/>
      <c r="M2089" s="190"/>
      <c r="N2089" s="190"/>
      <c r="O2089" s="190"/>
      <c r="P2089" s="190"/>
      <c r="Q2089" s="190"/>
    </row>
    <row r="2090" spans="1:17" s="3" customFormat="1" ht="38.25" hidden="1" customHeight="1">
      <c r="A2090" s="81" t="s">
        <v>474</v>
      </c>
      <c r="B2090" s="82">
        <v>795</v>
      </c>
      <c r="C2090" s="83" t="s">
        <v>161</v>
      </c>
      <c r="D2090" s="83" t="s">
        <v>173</v>
      </c>
      <c r="E2090" s="83" t="s">
        <v>261</v>
      </c>
      <c r="F2090" s="83"/>
      <c r="G2090" s="86">
        <f>G2097+G2100+G2103+G2106+G2117+G2091+G2129+G2120+G2123+G2109+G2114+G2128+G2132+G2094+G2135</f>
        <v>0</v>
      </c>
      <c r="H2090" s="86">
        <f t="shared" ref="H2090" si="500">H2097+H2100+H2103+H2106+H2117+H2091+H2129+H2120+H2123+H2109+H2114+H2128+H2132+H2094+H2135</f>
        <v>0</v>
      </c>
      <c r="I2090" s="171"/>
      <c r="J2090" s="198"/>
      <c r="K2090" s="198"/>
      <c r="L2090" s="190"/>
      <c r="M2090" s="190"/>
      <c r="N2090" s="190"/>
      <c r="O2090" s="190"/>
      <c r="P2090" s="190"/>
      <c r="Q2090" s="190"/>
    </row>
    <row r="2091" spans="1:17" s="3" customFormat="1" ht="38.25" hidden="1" customHeight="1">
      <c r="A2091" s="81" t="s">
        <v>527</v>
      </c>
      <c r="B2091" s="82">
        <v>795</v>
      </c>
      <c r="C2091" s="83" t="s">
        <v>161</v>
      </c>
      <c r="D2091" s="83" t="s">
        <v>173</v>
      </c>
      <c r="E2091" s="83" t="s">
        <v>528</v>
      </c>
      <c r="F2091" s="83"/>
      <c r="G2091" s="86">
        <f>G2092</f>
        <v>0</v>
      </c>
      <c r="H2091" s="84">
        <v>0</v>
      </c>
      <c r="I2091" s="172"/>
      <c r="J2091" s="198"/>
      <c r="K2091" s="198"/>
      <c r="L2091" s="190"/>
      <c r="M2091" s="190"/>
      <c r="N2091" s="190"/>
      <c r="O2091" s="190"/>
      <c r="P2091" s="190"/>
      <c r="Q2091" s="190"/>
    </row>
    <row r="2092" spans="1:17" s="3" customFormat="1" ht="38.25" hidden="1" customHeight="1">
      <c r="A2092" s="81" t="s">
        <v>36</v>
      </c>
      <c r="B2092" s="82">
        <v>795</v>
      </c>
      <c r="C2092" s="83" t="s">
        <v>161</v>
      </c>
      <c r="D2092" s="83" t="s">
        <v>173</v>
      </c>
      <c r="E2092" s="83" t="s">
        <v>528</v>
      </c>
      <c r="F2092" s="83" t="s">
        <v>37</v>
      </c>
      <c r="G2092" s="86">
        <f>G2093</f>
        <v>0</v>
      </c>
      <c r="H2092" s="84">
        <v>0</v>
      </c>
      <c r="I2092" s="172"/>
      <c r="J2092" s="198"/>
      <c r="K2092" s="198"/>
      <c r="L2092" s="190"/>
      <c r="M2092" s="190"/>
      <c r="N2092" s="190"/>
      <c r="O2092" s="190"/>
      <c r="P2092" s="190"/>
      <c r="Q2092" s="190"/>
    </row>
    <row r="2093" spans="1:17" s="3" customFormat="1" ht="38.25" hidden="1" customHeight="1">
      <c r="A2093" s="81" t="s">
        <v>38</v>
      </c>
      <c r="B2093" s="82">
        <v>795</v>
      </c>
      <c r="C2093" s="83" t="s">
        <v>161</v>
      </c>
      <c r="D2093" s="83" t="s">
        <v>173</v>
      </c>
      <c r="E2093" s="83" t="s">
        <v>528</v>
      </c>
      <c r="F2093" s="83" t="s">
        <v>39</v>
      </c>
      <c r="G2093" s="86"/>
      <c r="H2093" s="84">
        <v>0</v>
      </c>
      <c r="I2093" s="172"/>
      <c r="J2093" s="198"/>
      <c r="K2093" s="198"/>
      <c r="L2093" s="190"/>
      <c r="M2093" s="190"/>
      <c r="N2093" s="190"/>
      <c r="O2093" s="190"/>
      <c r="P2093" s="190"/>
      <c r="Q2093" s="190"/>
    </row>
    <row r="2094" spans="1:17" s="3" customFormat="1" ht="38.25" hidden="1" customHeight="1">
      <c r="A2094" s="81" t="s">
        <v>753</v>
      </c>
      <c r="B2094" s="82">
        <v>795</v>
      </c>
      <c r="C2094" s="83" t="s">
        <v>161</v>
      </c>
      <c r="D2094" s="83" t="s">
        <v>173</v>
      </c>
      <c r="E2094" s="83" t="s">
        <v>752</v>
      </c>
      <c r="F2094" s="83"/>
      <c r="G2094" s="86">
        <f t="shared" ref="G2094:H2095" si="501">G2095</f>
        <v>0</v>
      </c>
      <c r="H2094" s="86">
        <f t="shared" si="501"/>
        <v>0</v>
      </c>
      <c r="I2094" s="171"/>
      <c r="J2094" s="198"/>
      <c r="K2094" s="198"/>
      <c r="L2094" s="190"/>
      <c r="M2094" s="190"/>
      <c r="N2094" s="190"/>
      <c r="O2094" s="190"/>
      <c r="P2094" s="190"/>
      <c r="Q2094" s="190"/>
    </row>
    <row r="2095" spans="1:17" s="3" customFormat="1" ht="38.25" hidden="1" customHeight="1">
      <c r="A2095" s="81" t="s">
        <v>36</v>
      </c>
      <c r="B2095" s="82">
        <v>795</v>
      </c>
      <c r="C2095" s="83" t="s">
        <v>161</v>
      </c>
      <c r="D2095" s="83" t="s">
        <v>173</v>
      </c>
      <c r="E2095" s="83" t="s">
        <v>752</v>
      </c>
      <c r="F2095" s="83" t="s">
        <v>37</v>
      </c>
      <c r="G2095" s="86">
        <f t="shared" si="501"/>
        <v>0</v>
      </c>
      <c r="H2095" s="86">
        <f t="shared" si="501"/>
        <v>0</v>
      </c>
      <c r="I2095" s="171"/>
      <c r="J2095" s="198"/>
      <c r="K2095" s="198"/>
      <c r="L2095" s="190"/>
      <c r="M2095" s="190"/>
      <c r="N2095" s="190"/>
      <c r="O2095" s="190"/>
      <c r="P2095" s="190"/>
      <c r="Q2095" s="190"/>
    </row>
    <row r="2096" spans="1:17" s="3" customFormat="1" ht="38.25" hidden="1" customHeight="1">
      <c r="A2096" s="81" t="s">
        <v>38</v>
      </c>
      <c r="B2096" s="82">
        <v>795</v>
      </c>
      <c r="C2096" s="83" t="s">
        <v>161</v>
      </c>
      <c r="D2096" s="83" t="s">
        <v>173</v>
      </c>
      <c r="E2096" s="83" t="s">
        <v>752</v>
      </c>
      <c r="F2096" s="83" t="s">
        <v>39</v>
      </c>
      <c r="G2096" s="86"/>
      <c r="H2096" s="86"/>
      <c r="I2096" s="171"/>
      <c r="J2096" s="198"/>
      <c r="K2096" s="198"/>
      <c r="L2096" s="190"/>
      <c r="M2096" s="190"/>
      <c r="N2096" s="190"/>
      <c r="O2096" s="190"/>
      <c r="P2096" s="190"/>
      <c r="Q2096" s="190"/>
    </row>
    <row r="2097" spans="1:17" s="3" customFormat="1" ht="38.25" hidden="1" customHeight="1">
      <c r="A2097" s="81" t="s">
        <v>483</v>
      </c>
      <c r="B2097" s="82">
        <v>795</v>
      </c>
      <c r="C2097" s="83" t="s">
        <v>161</v>
      </c>
      <c r="D2097" s="83" t="s">
        <v>173</v>
      </c>
      <c r="E2097" s="83" t="s">
        <v>375</v>
      </c>
      <c r="F2097" s="83"/>
      <c r="G2097" s="86">
        <f t="shared" ref="G2097:H2098" si="502">G2098</f>
        <v>0</v>
      </c>
      <c r="H2097" s="86">
        <f t="shared" si="502"/>
        <v>0</v>
      </c>
      <c r="I2097" s="171"/>
      <c r="J2097" s="198"/>
      <c r="K2097" s="198"/>
      <c r="L2097" s="190"/>
      <c r="M2097" s="190"/>
      <c r="N2097" s="190"/>
      <c r="O2097" s="190"/>
      <c r="P2097" s="190"/>
      <c r="Q2097" s="190"/>
    </row>
    <row r="2098" spans="1:17" s="3" customFormat="1" ht="38.25" hidden="1" customHeight="1">
      <c r="A2098" s="81" t="s">
        <v>36</v>
      </c>
      <c r="B2098" s="82">
        <v>795</v>
      </c>
      <c r="C2098" s="83" t="s">
        <v>161</v>
      </c>
      <c r="D2098" s="83" t="s">
        <v>173</v>
      </c>
      <c r="E2098" s="83" t="s">
        <v>375</v>
      </c>
      <c r="F2098" s="83" t="s">
        <v>37</v>
      </c>
      <c r="G2098" s="86">
        <f t="shared" si="502"/>
        <v>0</v>
      </c>
      <c r="H2098" s="86">
        <f t="shared" si="502"/>
        <v>0</v>
      </c>
      <c r="I2098" s="171"/>
      <c r="J2098" s="198"/>
      <c r="K2098" s="198"/>
      <c r="L2098" s="190"/>
      <c r="M2098" s="190"/>
      <c r="N2098" s="190"/>
      <c r="O2098" s="190"/>
      <c r="P2098" s="190"/>
      <c r="Q2098" s="190"/>
    </row>
    <row r="2099" spans="1:17" s="3" customFormat="1" ht="38.25" hidden="1" customHeight="1">
      <c r="A2099" s="81" t="s">
        <v>38</v>
      </c>
      <c r="B2099" s="82">
        <v>795</v>
      </c>
      <c r="C2099" s="83" t="s">
        <v>161</v>
      </c>
      <c r="D2099" s="83" t="s">
        <v>173</v>
      </c>
      <c r="E2099" s="83" t="s">
        <v>375</v>
      </c>
      <c r="F2099" s="83" t="s">
        <v>39</v>
      </c>
      <c r="G2099" s="86"/>
      <c r="H2099" s="86"/>
      <c r="I2099" s="171"/>
      <c r="J2099" s="198"/>
      <c r="K2099" s="198"/>
      <c r="L2099" s="190"/>
      <c r="M2099" s="190"/>
      <c r="N2099" s="190"/>
      <c r="O2099" s="190"/>
      <c r="P2099" s="190"/>
      <c r="Q2099" s="190"/>
    </row>
    <row r="2100" spans="1:17" s="3" customFormat="1" ht="38.25" hidden="1" customHeight="1">
      <c r="A2100" s="81" t="s">
        <v>378</v>
      </c>
      <c r="B2100" s="82">
        <v>795</v>
      </c>
      <c r="C2100" s="83" t="s">
        <v>161</v>
      </c>
      <c r="D2100" s="83" t="s">
        <v>173</v>
      </c>
      <c r="E2100" s="83" t="s">
        <v>376</v>
      </c>
      <c r="F2100" s="83"/>
      <c r="G2100" s="86">
        <f t="shared" ref="G2100:H2101" si="503">G2101</f>
        <v>0</v>
      </c>
      <c r="H2100" s="86">
        <f t="shared" si="503"/>
        <v>0</v>
      </c>
      <c r="I2100" s="171"/>
      <c r="J2100" s="198"/>
      <c r="K2100" s="198"/>
      <c r="L2100" s="190"/>
      <c r="M2100" s="190"/>
      <c r="N2100" s="190"/>
      <c r="O2100" s="190"/>
      <c r="P2100" s="190"/>
      <c r="Q2100" s="190"/>
    </row>
    <row r="2101" spans="1:17" s="3" customFormat="1" ht="38.25" hidden="1" customHeight="1">
      <c r="A2101" s="81" t="s">
        <v>36</v>
      </c>
      <c r="B2101" s="82">
        <v>795</v>
      </c>
      <c r="C2101" s="83" t="s">
        <v>161</v>
      </c>
      <c r="D2101" s="83" t="s">
        <v>173</v>
      </c>
      <c r="E2101" s="83" t="s">
        <v>376</v>
      </c>
      <c r="F2101" s="83" t="s">
        <v>37</v>
      </c>
      <c r="G2101" s="86">
        <f t="shared" si="503"/>
        <v>0</v>
      </c>
      <c r="H2101" s="86">
        <f t="shared" si="503"/>
        <v>0</v>
      </c>
      <c r="I2101" s="171"/>
      <c r="J2101" s="198"/>
      <c r="K2101" s="198"/>
      <c r="L2101" s="190"/>
      <c r="M2101" s="190"/>
      <c r="N2101" s="190"/>
      <c r="O2101" s="190"/>
      <c r="P2101" s="190"/>
      <c r="Q2101" s="190"/>
    </row>
    <row r="2102" spans="1:17" s="3" customFormat="1" ht="39.75" hidden="1" customHeight="1">
      <c r="A2102" s="81" t="s">
        <v>38</v>
      </c>
      <c r="B2102" s="82">
        <v>795</v>
      </c>
      <c r="C2102" s="83" t="s">
        <v>161</v>
      </c>
      <c r="D2102" s="83" t="s">
        <v>173</v>
      </c>
      <c r="E2102" s="83" t="s">
        <v>376</v>
      </c>
      <c r="F2102" s="83" t="s">
        <v>39</v>
      </c>
      <c r="G2102" s="86"/>
      <c r="H2102" s="86"/>
      <c r="I2102" s="171"/>
      <c r="J2102" s="198"/>
      <c r="K2102" s="198"/>
      <c r="L2102" s="190"/>
      <c r="M2102" s="190"/>
      <c r="N2102" s="190"/>
      <c r="O2102" s="190"/>
      <c r="P2102" s="190"/>
      <c r="Q2102" s="190"/>
    </row>
    <row r="2103" spans="1:17" s="3" customFormat="1" ht="35.25" hidden="1" customHeight="1">
      <c r="A2103" s="81" t="s">
        <v>128</v>
      </c>
      <c r="B2103" s="82">
        <v>795</v>
      </c>
      <c r="C2103" s="83" t="s">
        <v>161</v>
      </c>
      <c r="D2103" s="83" t="s">
        <v>173</v>
      </c>
      <c r="E2103" s="83" t="s">
        <v>285</v>
      </c>
      <c r="F2103" s="83"/>
      <c r="G2103" s="86">
        <f>G2105</f>
        <v>0</v>
      </c>
      <c r="H2103" s="86">
        <f>H2105</f>
        <v>0</v>
      </c>
      <c r="I2103" s="171"/>
      <c r="J2103" s="198"/>
      <c r="K2103" s="198"/>
      <c r="L2103" s="190"/>
      <c r="M2103" s="190"/>
      <c r="N2103" s="190"/>
      <c r="O2103" s="190"/>
      <c r="P2103" s="190"/>
      <c r="Q2103" s="190"/>
    </row>
    <row r="2104" spans="1:17" s="3" customFormat="1" ht="38.25" hidden="1" customHeight="1">
      <c r="A2104" s="81" t="s">
        <v>36</v>
      </c>
      <c r="B2104" s="82">
        <v>795</v>
      </c>
      <c r="C2104" s="83" t="s">
        <v>161</v>
      </c>
      <c r="D2104" s="83" t="s">
        <v>173</v>
      </c>
      <c r="E2104" s="83" t="s">
        <v>285</v>
      </c>
      <c r="F2104" s="83" t="s">
        <v>37</v>
      </c>
      <c r="G2104" s="86">
        <f>G2105</f>
        <v>0</v>
      </c>
      <c r="H2104" s="86">
        <f>H2105</f>
        <v>0</v>
      </c>
      <c r="I2104" s="171"/>
      <c r="J2104" s="198"/>
      <c r="K2104" s="198"/>
      <c r="L2104" s="190"/>
      <c r="M2104" s="190"/>
      <c r="N2104" s="190"/>
      <c r="O2104" s="190"/>
      <c r="P2104" s="190"/>
      <c r="Q2104" s="190"/>
    </row>
    <row r="2105" spans="1:17" s="3" customFormat="1" ht="38.25" hidden="1" customHeight="1">
      <c r="A2105" s="81" t="s">
        <v>38</v>
      </c>
      <c r="B2105" s="82">
        <v>795</v>
      </c>
      <c r="C2105" s="83" t="s">
        <v>161</v>
      </c>
      <c r="D2105" s="83" t="s">
        <v>173</v>
      </c>
      <c r="E2105" s="83" t="s">
        <v>285</v>
      </c>
      <c r="F2105" s="83" t="s">
        <v>39</v>
      </c>
      <c r="G2105" s="86"/>
      <c r="H2105" s="86"/>
      <c r="I2105" s="171"/>
      <c r="J2105" s="198"/>
      <c r="K2105" s="198"/>
      <c r="L2105" s="190"/>
      <c r="M2105" s="190"/>
      <c r="N2105" s="190"/>
      <c r="O2105" s="190"/>
      <c r="P2105" s="190"/>
      <c r="Q2105" s="190"/>
    </row>
    <row r="2106" spans="1:17" s="3" customFormat="1" ht="31.5" hidden="1" customHeight="1">
      <c r="A2106" s="81" t="s">
        <v>527</v>
      </c>
      <c r="B2106" s="82">
        <v>795</v>
      </c>
      <c r="C2106" s="83" t="s">
        <v>161</v>
      </c>
      <c r="D2106" s="83" t="s">
        <v>173</v>
      </c>
      <c r="E2106" s="83" t="s">
        <v>528</v>
      </c>
      <c r="F2106" s="83"/>
      <c r="G2106" s="86">
        <f>G2107</f>
        <v>0</v>
      </c>
      <c r="H2106" s="86">
        <f t="shared" ref="H2106" si="504">H2107</f>
        <v>0</v>
      </c>
      <c r="I2106" s="171"/>
      <c r="J2106" s="198"/>
      <c r="K2106" s="198"/>
      <c r="L2106" s="190"/>
      <c r="M2106" s="190"/>
      <c r="N2106" s="190"/>
      <c r="O2106" s="190"/>
      <c r="P2106" s="190"/>
      <c r="Q2106" s="190"/>
    </row>
    <row r="2107" spans="1:17" s="3" customFormat="1" ht="38.25" hidden="1" customHeight="1">
      <c r="A2107" s="81" t="s">
        <v>36</v>
      </c>
      <c r="B2107" s="82">
        <v>795</v>
      </c>
      <c r="C2107" s="83" t="s">
        <v>161</v>
      </c>
      <c r="D2107" s="83" t="s">
        <v>173</v>
      </c>
      <c r="E2107" s="83" t="s">
        <v>528</v>
      </c>
      <c r="F2107" s="83" t="s">
        <v>37</v>
      </c>
      <c r="G2107" s="86">
        <f>G2108</f>
        <v>0</v>
      </c>
      <c r="H2107" s="86">
        <f t="shared" ref="H2107" si="505">H2108</f>
        <v>0</v>
      </c>
      <c r="I2107" s="171"/>
      <c r="J2107" s="198"/>
      <c r="K2107" s="198"/>
      <c r="L2107" s="190"/>
      <c r="M2107" s="190"/>
      <c r="N2107" s="190"/>
      <c r="O2107" s="190"/>
      <c r="P2107" s="190"/>
      <c r="Q2107" s="190"/>
    </row>
    <row r="2108" spans="1:17" s="3" customFormat="1" ht="38.25" hidden="1" customHeight="1">
      <c r="A2108" s="81" t="s">
        <v>38</v>
      </c>
      <c r="B2108" s="82">
        <v>795</v>
      </c>
      <c r="C2108" s="83" t="s">
        <v>161</v>
      </c>
      <c r="D2108" s="83" t="s">
        <v>173</v>
      </c>
      <c r="E2108" s="83" t="s">
        <v>528</v>
      </c>
      <c r="F2108" s="83" t="s">
        <v>39</v>
      </c>
      <c r="G2108" s="86"/>
      <c r="H2108" s="86"/>
      <c r="I2108" s="171"/>
      <c r="J2108" s="198"/>
      <c r="K2108" s="198"/>
      <c r="L2108" s="190"/>
      <c r="M2108" s="190"/>
      <c r="N2108" s="190"/>
      <c r="O2108" s="190"/>
      <c r="P2108" s="190"/>
      <c r="Q2108" s="190"/>
    </row>
    <row r="2109" spans="1:17" s="3" customFormat="1" ht="38.25" hidden="1" customHeight="1">
      <c r="A2109" s="81" t="s">
        <v>527</v>
      </c>
      <c r="B2109" s="82">
        <v>795</v>
      </c>
      <c r="C2109" s="83" t="s">
        <v>161</v>
      </c>
      <c r="D2109" s="83" t="s">
        <v>173</v>
      </c>
      <c r="E2109" s="83" t="s">
        <v>556</v>
      </c>
      <c r="F2109" s="83"/>
      <c r="G2109" s="86">
        <f>G2110+G2112</f>
        <v>0</v>
      </c>
      <c r="H2109" s="86">
        <f t="shared" ref="H2109:H2115" si="506">H2110</f>
        <v>0</v>
      </c>
      <c r="I2109" s="171"/>
      <c r="J2109" s="198"/>
      <c r="K2109" s="198"/>
      <c r="L2109" s="190"/>
      <c r="M2109" s="190"/>
      <c r="N2109" s="190"/>
      <c r="O2109" s="190"/>
      <c r="P2109" s="190"/>
      <c r="Q2109" s="190"/>
    </row>
    <row r="2110" spans="1:17" s="3" customFormat="1" ht="38.25" hidden="1" customHeight="1">
      <c r="A2110" s="81" t="s">
        <v>36</v>
      </c>
      <c r="B2110" s="82">
        <v>795</v>
      </c>
      <c r="C2110" s="83" t="s">
        <v>161</v>
      </c>
      <c r="D2110" s="83" t="s">
        <v>173</v>
      </c>
      <c r="E2110" s="83" t="s">
        <v>556</v>
      </c>
      <c r="F2110" s="83" t="s">
        <v>37</v>
      </c>
      <c r="G2110" s="86">
        <f>G2111</f>
        <v>0</v>
      </c>
      <c r="H2110" s="86">
        <f t="shared" si="506"/>
        <v>0</v>
      </c>
      <c r="I2110" s="171"/>
      <c r="J2110" s="198"/>
      <c r="K2110" s="198"/>
      <c r="L2110" s="190"/>
      <c r="M2110" s="190"/>
      <c r="N2110" s="190"/>
      <c r="O2110" s="190"/>
      <c r="P2110" s="190"/>
      <c r="Q2110" s="190"/>
    </row>
    <row r="2111" spans="1:17" s="3" customFormat="1" ht="38.25" hidden="1" customHeight="1">
      <c r="A2111" s="81" t="s">
        <v>38</v>
      </c>
      <c r="B2111" s="82">
        <v>795</v>
      </c>
      <c r="C2111" s="83" t="s">
        <v>161</v>
      </c>
      <c r="D2111" s="83" t="s">
        <v>173</v>
      </c>
      <c r="E2111" s="83" t="s">
        <v>556</v>
      </c>
      <c r="F2111" s="83" t="s">
        <v>39</v>
      </c>
      <c r="G2111" s="86"/>
      <c r="H2111" s="86">
        <v>0</v>
      </c>
      <c r="I2111" s="171"/>
      <c r="J2111" s="198"/>
      <c r="K2111" s="198"/>
      <c r="L2111" s="190"/>
      <c r="M2111" s="190"/>
      <c r="N2111" s="190"/>
      <c r="O2111" s="190"/>
      <c r="P2111" s="190"/>
      <c r="Q2111" s="190"/>
    </row>
    <row r="2112" spans="1:17" s="3" customFormat="1" ht="24.75" hidden="1" customHeight="1">
      <c r="A2112" s="81" t="s">
        <v>156</v>
      </c>
      <c r="B2112" s="82">
        <v>795</v>
      </c>
      <c r="C2112" s="83" t="s">
        <v>161</v>
      </c>
      <c r="D2112" s="83" t="s">
        <v>173</v>
      </c>
      <c r="E2112" s="83" t="s">
        <v>556</v>
      </c>
      <c r="F2112" s="83" t="s">
        <v>157</v>
      </c>
      <c r="G2112" s="86">
        <f>G2113</f>
        <v>0</v>
      </c>
      <c r="H2112" s="86">
        <v>0</v>
      </c>
      <c r="I2112" s="171"/>
      <c r="J2112" s="198"/>
      <c r="K2112" s="198"/>
      <c r="L2112" s="190"/>
      <c r="M2112" s="190"/>
      <c r="N2112" s="190"/>
      <c r="O2112" s="190"/>
      <c r="P2112" s="190"/>
      <c r="Q2112" s="190"/>
    </row>
    <row r="2113" spans="1:17" s="3" customFormat="1" ht="32.25" hidden="1" customHeight="1">
      <c r="A2113" s="81" t="s">
        <v>170</v>
      </c>
      <c r="B2113" s="82">
        <v>795</v>
      </c>
      <c r="C2113" s="83" t="s">
        <v>161</v>
      </c>
      <c r="D2113" s="83" t="s">
        <v>173</v>
      </c>
      <c r="E2113" s="83" t="s">
        <v>556</v>
      </c>
      <c r="F2113" s="83" t="s">
        <v>171</v>
      </c>
      <c r="G2113" s="86"/>
      <c r="H2113" s="86">
        <v>0</v>
      </c>
      <c r="I2113" s="171"/>
      <c r="J2113" s="198"/>
      <c r="K2113" s="198"/>
      <c r="L2113" s="190"/>
      <c r="M2113" s="190"/>
      <c r="N2113" s="190"/>
      <c r="O2113" s="190"/>
      <c r="P2113" s="190"/>
      <c r="Q2113" s="190"/>
    </row>
    <row r="2114" spans="1:17" s="3" customFormat="1" ht="38.25" hidden="1" customHeight="1">
      <c r="A2114" s="81" t="s">
        <v>558</v>
      </c>
      <c r="B2114" s="82">
        <v>795</v>
      </c>
      <c r="C2114" s="83" t="s">
        <v>161</v>
      </c>
      <c r="D2114" s="83" t="s">
        <v>173</v>
      </c>
      <c r="E2114" s="83" t="s">
        <v>557</v>
      </c>
      <c r="F2114" s="83"/>
      <c r="G2114" s="86">
        <f>G2115</f>
        <v>0</v>
      </c>
      <c r="H2114" s="86">
        <f t="shared" si="506"/>
        <v>0</v>
      </c>
      <c r="I2114" s="171"/>
      <c r="J2114" s="198"/>
      <c r="K2114" s="198"/>
      <c r="L2114" s="190"/>
      <c r="M2114" s="190"/>
      <c r="N2114" s="190"/>
      <c r="O2114" s="190"/>
      <c r="P2114" s="190"/>
      <c r="Q2114" s="190"/>
    </row>
    <row r="2115" spans="1:17" s="3" customFormat="1" ht="38.25" hidden="1" customHeight="1">
      <c r="A2115" s="81" t="s">
        <v>36</v>
      </c>
      <c r="B2115" s="82">
        <v>795</v>
      </c>
      <c r="C2115" s="83" t="s">
        <v>161</v>
      </c>
      <c r="D2115" s="83" t="s">
        <v>173</v>
      </c>
      <c r="E2115" s="83" t="s">
        <v>557</v>
      </c>
      <c r="F2115" s="83" t="s">
        <v>37</v>
      </c>
      <c r="G2115" s="86">
        <f>G2116</f>
        <v>0</v>
      </c>
      <c r="H2115" s="86">
        <f t="shared" si="506"/>
        <v>0</v>
      </c>
      <c r="I2115" s="171"/>
      <c r="J2115" s="198"/>
      <c r="K2115" s="198"/>
      <c r="L2115" s="190"/>
      <c r="M2115" s="190"/>
      <c r="N2115" s="190"/>
      <c r="O2115" s="190"/>
      <c r="P2115" s="190"/>
      <c r="Q2115" s="190"/>
    </row>
    <row r="2116" spans="1:17" s="3" customFormat="1" ht="38.25" hidden="1" customHeight="1">
      <c r="A2116" s="81" t="s">
        <v>38</v>
      </c>
      <c r="B2116" s="82">
        <v>795</v>
      </c>
      <c r="C2116" s="83" t="s">
        <v>161</v>
      </c>
      <c r="D2116" s="83" t="s">
        <v>173</v>
      </c>
      <c r="E2116" s="83" t="s">
        <v>557</v>
      </c>
      <c r="F2116" s="83" t="s">
        <v>39</v>
      </c>
      <c r="G2116" s="86"/>
      <c r="H2116" s="86">
        <v>0</v>
      </c>
      <c r="I2116" s="171"/>
      <c r="J2116" s="198"/>
      <c r="K2116" s="198"/>
      <c r="L2116" s="190"/>
      <c r="M2116" s="190"/>
      <c r="N2116" s="190"/>
      <c r="O2116" s="190"/>
      <c r="P2116" s="190"/>
      <c r="Q2116" s="190"/>
    </row>
    <row r="2117" spans="1:17" s="3" customFormat="1" ht="38.25" hidden="1" customHeight="1">
      <c r="A2117" s="81" t="s">
        <v>456</v>
      </c>
      <c r="B2117" s="82">
        <v>795</v>
      </c>
      <c r="C2117" s="83" t="s">
        <v>161</v>
      </c>
      <c r="D2117" s="83" t="s">
        <v>173</v>
      </c>
      <c r="E2117" s="83" t="s">
        <v>457</v>
      </c>
      <c r="F2117" s="83"/>
      <c r="G2117" s="86">
        <f>G2118</f>
        <v>0</v>
      </c>
      <c r="H2117" s="86">
        <f>H2118</f>
        <v>0</v>
      </c>
      <c r="I2117" s="171"/>
      <c r="J2117" s="198"/>
      <c r="K2117" s="198"/>
      <c r="L2117" s="190"/>
      <c r="M2117" s="190"/>
      <c r="N2117" s="190"/>
      <c r="O2117" s="190"/>
      <c r="P2117" s="190"/>
      <c r="Q2117" s="190"/>
    </row>
    <row r="2118" spans="1:17" s="3" customFormat="1" ht="31.5" hidden="1" customHeight="1">
      <c r="A2118" s="81" t="s">
        <v>36</v>
      </c>
      <c r="B2118" s="82">
        <v>795</v>
      </c>
      <c r="C2118" s="83" t="s">
        <v>161</v>
      </c>
      <c r="D2118" s="83" t="s">
        <v>173</v>
      </c>
      <c r="E2118" s="83" t="s">
        <v>457</v>
      </c>
      <c r="F2118" s="83" t="s">
        <v>37</v>
      </c>
      <c r="G2118" s="86">
        <f>G2119</f>
        <v>0</v>
      </c>
      <c r="H2118" s="86">
        <v>0</v>
      </c>
      <c r="I2118" s="171"/>
      <c r="J2118" s="198"/>
      <c r="K2118" s="198"/>
      <c r="L2118" s="190"/>
      <c r="M2118" s="190"/>
      <c r="N2118" s="190"/>
      <c r="O2118" s="190"/>
      <c r="P2118" s="190"/>
      <c r="Q2118" s="190"/>
    </row>
    <row r="2119" spans="1:17" s="3" customFormat="1" ht="33.75" hidden="1" customHeight="1">
      <c r="A2119" s="81" t="s">
        <v>38</v>
      </c>
      <c r="B2119" s="82">
        <v>795</v>
      </c>
      <c r="C2119" s="83" t="s">
        <v>161</v>
      </c>
      <c r="D2119" s="83" t="s">
        <v>173</v>
      </c>
      <c r="E2119" s="83" t="s">
        <v>457</v>
      </c>
      <c r="F2119" s="83" t="s">
        <v>39</v>
      </c>
      <c r="G2119" s="86"/>
      <c r="H2119" s="86">
        <v>0</v>
      </c>
      <c r="I2119" s="171"/>
      <c r="J2119" s="198"/>
      <c r="K2119" s="198"/>
      <c r="L2119" s="190"/>
      <c r="M2119" s="190"/>
      <c r="N2119" s="190"/>
      <c r="O2119" s="190"/>
      <c r="P2119" s="190"/>
      <c r="Q2119" s="190"/>
    </row>
    <row r="2120" spans="1:17" s="3" customFormat="1" ht="38.25" hidden="1" customHeight="1">
      <c r="A2120" s="81" t="s">
        <v>555</v>
      </c>
      <c r="B2120" s="82">
        <v>795</v>
      </c>
      <c r="C2120" s="83" t="s">
        <v>161</v>
      </c>
      <c r="D2120" s="83" t="s">
        <v>173</v>
      </c>
      <c r="E2120" s="83" t="s">
        <v>554</v>
      </c>
      <c r="F2120" s="83"/>
      <c r="G2120" s="86">
        <f>G2121</f>
        <v>0</v>
      </c>
      <c r="H2120" s="86">
        <f t="shared" ref="H2120:H2124" si="507">H2121</f>
        <v>0</v>
      </c>
      <c r="I2120" s="171"/>
      <c r="J2120" s="198"/>
      <c r="K2120" s="198"/>
      <c r="L2120" s="190"/>
      <c r="M2120" s="190"/>
      <c r="N2120" s="190"/>
      <c r="O2120" s="190"/>
      <c r="P2120" s="190"/>
      <c r="Q2120" s="190"/>
    </row>
    <row r="2121" spans="1:17" s="3" customFormat="1" ht="38.25" hidden="1" customHeight="1">
      <c r="A2121" s="81" t="s">
        <v>36</v>
      </c>
      <c r="B2121" s="82">
        <v>795</v>
      </c>
      <c r="C2121" s="83" t="s">
        <v>161</v>
      </c>
      <c r="D2121" s="83" t="s">
        <v>173</v>
      </c>
      <c r="E2121" s="83" t="s">
        <v>554</v>
      </c>
      <c r="F2121" s="83" t="s">
        <v>37</v>
      </c>
      <c r="G2121" s="86">
        <f>G2122</f>
        <v>0</v>
      </c>
      <c r="H2121" s="86">
        <f t="shared" si="507"/>
        <v>0</v>
      </c>
      <c r="I2121" s="171"/>
      <c r="J2121" s="198"/>
      <c r="K2121" s="198"/>
      <c r="L2121" s="190"/>
      <c r="M2121" s="190"/>
      <c r="N2121" s="190"/>
      <c r="O2121" s="190"/>
      <c r="P2121" s="190"/>
      <c r="Q2121" s="190"/>
    </row>
    <row r="2122" spans="1:17" s="3" customFormat="1" ht="38.25" hidden="1" customHeight="1">
      <c r="A2122" s="81" t="s">
        <v>38</v>
      </c>
      <c r="B2122" s="82">
        <v>795</v>
      </c>
      <c r="C2122" s="83" t="s">
        <v>161</v>
      </c>
      <c r="D2122" s="83" t="s">
        <v>173</v>
      </c>
      <c r="E2122" s="83" t="s">
        <v>554</v>
      </c>
      <c r="F2122" s="83" t="s">
        <v>39</v>
      </c>
      <c r="G2122" s="86"/>
      <c r="H2122" s="86">
        <v>0</v>
      </c>
      <c r="I2122" s="171"/>
      <c r="J2122" s="198"/>
      <c r="K2122" s="198"/>
      <c r="L2122" s="190"/>
      <c r="M2122" s="190"/>
      <c r="N2122" s="190"/>
      <c r="O2122" s="190"/>
      <c r="P2122" s="190"/>
      <c r="Q2122" s="190"/>
    </row>
    <row r="2123" spans="1:17" s="3" customFormat="1" ht="38.25" hidden="1" customHeight="1">
      <c r="A2123" s="81" t="s">
        <v>553</v>
      </c>
      <c r="B2123" s="82">
        <v>795</v>
      </c>
      <c r="C2123" s="83" t="s">
        <v>161</v>
      </c>
      <c r="D2123" s="83" t="s">
        <v>173</v>
      </c>
      <c r="E2123" s="83" t="s">
        <v>552</v>
      </c>
      <c r="F2123" s="83"/>
      <c r="G2123" s="86">
        <f>G2124</f>
        <v>0</v>
      </c>
      <c r="H2123" s="86">
        <f t="shared" si="507"/>
        <v>0</v>
      </c>
      <c r="I2123" s="171"/>
      <c r="J2123" s="198"/>
      <c r="K2123" s="198"/>
      <c r="L2123" s="190"/>
      <c r="M2123" s="190"/>
      <c r="N2123" s="190"/>
      <c r="O2123" s="190"/>
      <c r="P2123" s="190"/>
      <c r="Q2123" s="190"/>
    </row>
    <row r="2124" spans="1:17" s="3" customFormat="1" ht="38.25" hidden="1" customHeight="1">
      <c r="A2124" s="81" t="s">
        <v>36</v>
      </c>
      <c r="B2124" s="82">
        <v>795</v>
      </c>
      <c r="C2124" s="83" t="s">
        <v>161</v>
      </c>
      <c r="D2124" s="83" t="s">
        <v>173</v>
      </c>
      <c r="E2124" s="83" t="s">
        <v>552</v>
      </c>
      <c r="F2124" s="83" t="s">
        <v>37</v>
      </c>
      <c r="G2124" s="86">
        <f>G2125</f>
        <v>0</v>
      </c>
      <c r="H2124" s="86">
        <f t="shared" si="507"/>
        <v>0</v>
      </c>
      <c r="I2124" s="171"/>
      <c r="J2124" s="198"/>
      <c r="K2124" s="198"/>
      <c r="L2124" s="190"/>
      <c r="M2124" s="190"/>
      <c r="N2124" s="190"/>
      <c r="O2124" s="190"/>
      <c r="P2124" s="190"/>
      <c r="Q2124" s="190"/>
    </row>
    <row r="2125" spans="1:17" s="3" customFormat="1" ht="38.25" hidden="1" customHeight="1">
      <c r="A2125" s="81" t="s">
        <v>38</v>
      </c>
      <c r="B2125" s="82">
        <v>795</v>
      </c>
      <c r="C2125" s="83" t="s">
        <v>161</v>
      </c>
      <c r="D2125" s="83" t="s">
        <v>173</v>
      </c>
      <c r="E2125" s="83" t="s">
        <v>552</v>
      </c>
      <c r="F2125" s="83" t="s">
        <v>39</v>
      </c>
      <c r="G2125" s="86"/>
      <c r="H2125" s="86">
        <v>0</v>
      </c>
      <c r="I2125" s="171"/>
      <c r="J2125" s="198"/>
      <c r="K2125" s="198"/>
      <c r="L2125" s="190"/>
      <c r="M2125" s="190"/>
      <c r="N2125" s="190"/>
      <c r="O2125" s="190"/>
      <c r="P2125" s="190"/>
      <c r="Q2125" s="190"/>
    </row>
    <row r="2126" spans="1:17" s="3" customFormat="1" ht="38.25" hidden="1" customHeight="1">
      <c r="A2126" s="81" t="s">
        <v>551</v>
      </c>
      <c r="B2126" s="82">
        <v>795</v>
      </c>
      <c r="C2126" s="83" t="s">
        <v>161</v>
      </c>
      <c r="D2126" s="83" t="s">
        <v>173</v>
      </c>
      <c r="E2126" s="83" t="s">
        <v>550</v>
      </c>
      <c r="F2126" s="83"/>
      <c r="G2126" s="86">
        <f>G2127</f>
        <v>0</v>
      </c>
      <c r="H2126" s="86">
        <f t="shared" ref="H2126" si="508">H2127</f>
        <v>0</v>
      </c>
      <c r="I2126" s="171"/>
      <c r="J2126" s="198"/>
      <c r="K2126" s="198"/>
      <c r="L2126" s="190"/>
      <c r="M2126" s="190"/>
      <c r="N2126" s="190"/>
      <c r="O2126" s="190"/>
      <c r="P2126" s="190"/>
      <c r="Q2126" s="190"/>
    </row>
    <row r="2127" spans="1:17" s="3" customFormat="1" ht="38.25" hidden="1" customHeight="1">
      <c r="A2127" s="81" t="s">
        <v>156</v>
      </c>
      <c r="B2127" s="82">
        <v>795</v>
      </c>
      <c r="C2127" s="83" t="s">
        <v>161</v>
      </c>
      <c r="D2127" s="83" t="s">
        <v>173</v>
      </c>
      <c r="E2127" s="83" t="s">
        <v>550</v>
      </c>
      <c r="F2127" s="83" t="s">
        <v>157</v>
      </c>
      <c r="G2127" s="86">
        <f>G2128</f>
        <v>0</v>
      </c>
      <c r="H2127" s="86">
        <f t="shared" ref="H2127:H2130" si="509">H2128</f>
        <v>0</v>
      </c>
      <c r="I2127" s="171"/>
      <c r="J2127" s="198"/>
      <c r="K2127" s="198"/>
      <c r="L2127" s="190"/>
      <c r="M2127" s="190"/>
      <c r="N2127" s="190"/>
      <c r="O2127" s="190"/>
      <c r="P2127" s="190"/>
      <c r="Q2127" s="190"/>
    </row>
    <row r="2128" spans="1:17" s="3" customFormat="1" ht="38.25" hidden="1" customHeight="1">
      <c r="A2128" s="81" t="s">
        <v>170</v>
      </c>
      <c r="B2128" s="82">
        <v>795</v>
      </c>
      <c r="C2128" s="83" t="s">
        <v>161</v>
      </c>
      <c r="D2128" s="83" t="s">
        <v>173</v>
      </c>
      <c r="E2128" s="83" t="s">
        <v>550</v>
      </c>
      <c r="F2128" s="83" t="s">
        <v>171</v>
      </c>
      <c r="G2128" s="86"/>
      <c r="H2128" s="86">
        <v>0</v>
      </c>
      <c r="I2128" s="171"/>
      <c r="J2128" s="198"/>
      <c r="K2128" s="198"/>
      <c r="L2128" s="190"/>
      <c r="M2128" s="190"/>
      <c r="N2128" s="190"/>
      <c r="O2128" s="190"/>
      <c r="P2128" s="190"/>
      <c r="Q2128" s="190"/>
    </row>
    <row r="2129" spans="1:17" s="3" customFormat="1" ht="38.25" hidden="1" customHeight="1">
      <c r="A2129" s="81" t="s">
        <v>549</v>
      </c>
      <c r="B2129" s="82">
        <v>795</v>
      </c>
      <c r="C2129" s="83" t="s">
        <v>161</v>
      </c>
      <c r="D2129" s="83" t="s">
        <v>173</v>
      </c>
      <c r="E2129" s="83" t="s">
        <v>548</v>
      </c>
      <c r="F2129" s="83"/>
      <c r="G2129" s="86">
        <f>G2130</f>
        <v>0</v>
      </c>
      <c r="H2129" s="86">
        <f t="shared" ref="H2129" si="510">H2130</f>
        <v>0</v>
      </c>
      <c r="I2129" s="171"/>
      <c r="J2129" s="198"/>
      <c r="K2129" s="198"/>
      <c r="L2129" s="190"/>
      <c r="M2129" s="190"/>
      <c r="N2129" s="190"/>
      <c r="O2129" s="190"/>
      <c r="P2129" s="190"/>
      <c r="Q2129" s="190"/>
    </row>
    <row r="2130" spans="1:17" s="3" customFormat="1" ht="38.25" hidden="1" customHeight="1">
      <c r="A2130" s="81" t="s">
        <v>156</v>
      </c>
      <c r="B2130" s="82">
        <v>795</v>
      </c>
      <c r="C2130" s="83" t="s">
        <v>161</v>
      </c>
      <c r="D2130" s="83" t="s">
        <v>173</v>
      </c>
      <c r="E2130" s="83" t="s">
        <v>548</v>
      </c>
      <c r="F2130" s="83" t="s">
        <v>157</v>
      </c>
      <c r="G2130" s="86">
        <f>G2131</f>
        <v>0</v>
      </c>
      <c r="H2130" s="86">
        <f t="shared" si="509"/>
        <v>0</v>
      </c>
      <c r="I2130" s="171"/>
      <c r="J2130" s="198"/>
      <c r="K2130" s="198"/>
      <c r="L2130" s="190"/>
      <c r="M2130" s="190"/>
      <c r="N2130" s="190"/>
      <c r="O2130" s="190"/>
      <c r="P2130" s="190"/>
      <c r="Q2130" s="190"/>
    </row>
    <row r="2131" spans="1:17" s="3" customFormat="1" ht="38.25" hidden="1" customHeight="1">
      <c r="A2131" s="81" t="s">
        <v>170</v>
      </c>
      <c r="B2131" s="82">
        <v>795</v>
      </c>
      <c r="C2131" s="83" t="s">
        <v>161</v>
      </c>
      <c r="D2131" s="83" t="s">
        <v>173</v>
      </c>
      <c r="E2131" s="83" t="s">
        <v>548</v>
      </c>
      <c r="F2131" s="83" t="s">
        <v>171</v>
      </c>
      <c r="G2131" s="86"/>
      <c r="H2131" s="86">
        <v>0</v>
      </c>
      <c r="I2131" s="171"/>
      <c r="J2131" s="198"/>
      <c r="K2131" s="198"/>
      <c r="L2131" s="190"/>
      <c r="M2131" s="190"/>
      <c r="N2131" s="190"/>
      <c r="O2131" s="190"/>
      <c r="P2131" s="190"/>
      <c r="Q2131" s="190"/>
    </row>
    <row r="2132" spans="1:17" s="3" customFormat="1" ht="38.25" hidden="1" customHeight="1">
      <c r="A2132" s="81" t="s">
        <v>700</v>
      </c>
      <c r="B2132" s="82">
        <v>795</v>
      </c>
      <c r="C2132" s="83" t="s">
        <v>161</v>
      </c>
      <c r="D2132" s="83" t="s">
        <v>173</v>
      </c>
      <c r="E2132" s="83" t="s">
        <v>699</v>
      </c>
      <c r="F2132" s="83"/>
      <c r="G2132" s="86">
        <f>G2133</f>
        <v>0</v>
      </c>
      <c r="H2132" s="86">
        <f t="shared" ref="H2132:H2136" si="511">H2133</f>
        <v>0</v>
      </c>
      <c r="I2132" s="171"/>
      <c r="J2132" s="198"/>
      <c r="K2132" s="198"/>
      <c r="L2132" s="190"/>
      <c r="M2132" s="190"/>
      <c r="N2132" s="190"/>
      <c r="O2132" s="190"/>
      <c r="P2132" s="190"/>
      <c r="Q2132" s="190"/>
    </row>
    <row r="2133" spans="1:17" s="3" customFormat="1" ht="38.25" hidden="1" customHeight="1">
      <c r="A2133" s="81" t="s">
        <v>36</v>
      </c>
      <c r="B2133" s="82">
        <v>795</v>
      </c>
      <c r="C2133" s="83" t="s">
        <v>161</v>
      </c>
      <c r="D2133" s="83" t="s">
        <v>173</v>
      </c>
      <c r="E2133" s="83" t="s">
        <v>699</v>
      </c>
      <c r="F2133" s="83" t="s">
        <v>37</v>
      </c>
      <c r="G2133" s="86">
        <f>G2134</f>
        <v>0</v>
      </c>
      <c r="H2133" s="86">
        <f t="shared" si="511"/>
        <v>0</v>
      </c>
      <c r="I2133" s="171"/>
      <c r="J2133" s="198"/>
      <c r="K2133" s="198"/>
      <c r="L2133" s="190"/>
      <c r="M2133" s="190"/>
      <c r="N2133" s="190"/>
      <c r="O2133" s="190"/>
      <c r="P2133" s="190"/>
      <c r="Q2133" s="190"/>
    </row>
    <row r="2134" spans="1:17" s="3" customFormat="1" ht="38.25" hidden="1" customHeight="1">
      <c r="A2134" s="81" t="s">
        <v>38</v>
      </c>
      <c r="B2134" s="82">
        <v>795</v>
      </c>
      <c r="C2134" s="83" t="s">
        <v>161</v>
      </c>
      <c r="D2134" s="83" t="s">
        <v>173</v>
      </c>
      <c r="E2134" s="83" t="s">
        <v>699</v>
      </c>
      <c r="F2134" s="83" t="s">
        <v>39</v>
      </c>
      <c r="G2134" s="86"/>
      <c r="H2134" s="86"/>
      <c r="I2134" s="171"/>
      <c r="J2134" s="198"/>
      <c r="K2134" s="198"/>
      <c r="L2134" s="190"/>
      <c r="M2134" s="190"/>
      <c r="N2134" s="190"/>
      <c r="O2134" s="190"/>
      <c r="P2134" s="190"/>
      <c r="Q2134" s="190"/>
    </row>
    <row r="2135" spans="1:17" s="3" customFormat="1" ht="63" hidden="1" customHeight="1">
      <c r="A2135" s="81" t="s">
        <v>774</v>
      </c>
      <c r="B2135" s="82">
        <v>795</v>
      </c>
      <c r="C2135" s="83" t="s">
        <v>161</v>
      </c>
      <c r="D2135" s="83" t="s">
        <v>173</v>
      </c>
      <c r="E2135" s="83" t="s">
        <v>773</v>
      </c>
      <c r="F2135" s="83"/>
      <c r="G2135" s="86">
        <f>G2136</f>
        <v>0</v>
      </c>
      <c r="H2135" s="86">
        <f t="shared" si="511"/>
        <v>0</v>
      </c>
      <c r="I2135" s="171"/>
      <c r="J2135" s="198"/>
      <c r="K2135" s="198"/>
      <c r="L2135" s="190"/>
      <c r="M2135" s="190"/>
      <c r="N2135" s="190"/>
      <c r="O2135" s="190"/>
      <c r="P2135" s="190"/>
      <c r="Q2135" s="190"/>
    </row>
    <row r="2136" spans="1:17" s="3" customFormat="1" ht="38.25" hidden="1" customHeight="1">
      <c r="A2136" s="81" t="s">
        <v>36</v>
      </c>
      <c r="B2136" s="82">
        <v>795</v>
      </c>
      <c r="C2136" s="83" t="s">
        <v>161</v>
      </c>
      <c r="D2136" s="83" t="s">
        <v>173</v>
      </c>
      <c r="E2136" s="83" t="s">
        <v>773</v>
      </c>
      <c r="F2136" s="83" t="s">
        <v>37</v>
      </c>
      <c r="G2136" s="86">
        <f>G2137</f>
        <v>0</v>
      </c>
      <c r="H2136" s="86">
        <f t="shared" si="511"/>
        <v>0</v>
      </c>
      <c r="I2136" s="171"/>
      <c r="J2136" s="198"/>
      <c r="K2136" s="198"/>
      <c r="L2136" s="190"/>
      <c r="M2136" s="190"/>
      <c r="N2136" s="190"/>
      <c r="O2136" s="190"/>
      <c r="P2136" s="190"/>
      <c r="Q2136" s="190"/>
    </row>
    <row r="2137" spans="1:17" s="3" customFormat="1" ht="38.25" hidden="1" customHeight="1">
      <c r="A2137" s="81" t="s">
        <v>38</v>
      </c>
      <c r="B2137" s="82">
        <v>795</v>
      </c>
      <c r="C2137" s="83" t="s">
        <v>161</v>
      </c>
      <c r="D2137" s="83" t="s">
        <v>173</v>
      </c>
      <c r="E2137" s="83" t="s">
        <v>773</v>
      </c>
      <c r="F2137" s="83" t="s">
        <v>39</v>
      </c>
      <c r="G2137" s="86"/>
      <c r="H2137" s="86"/>
      <c r="I2137" s="171"/>
      <c r="J2137" s="198"/>
      <c r="K2137" s="198"/>
      <c r="L2137" s="190"/>
      <c r="M2137" s="190"/>
      <c r="N2137" s="190"/>
      <c r="O2137" s="190"/>
      <c r="P2137" s="190"/>
      <c r="Q2137" s="190"/>
    </row>
    <row r="2138" spans="1:17" s="120" customFormat="1" ht="20.25" hidden="1" customHeight="1">
      <c r="A2138" s="266" t="s">
        <v>74</v>
      </c>
      <c r="B2138" s="257"/>
      <c r="C2138" s="152"/>
      <c r="D2138" s="152"/>
      <c r="E2138" s="152"/>
      <c r="F2138" s="152"/>
      <c r="G2138" s="153">
        <f>G1835+G1930+G2088+G1829</f>
        <v>0</v>
      </c>
      <c r="H2138" s="153">
        <f t="shared" ref="H2138" si="512">H1835+H1930+H2088+H1829</f>
        <v>0</v>
      </c>
      <c r="I2138" s="187"/>
      <c r="J2138" s="198"/>
      <c r="K2138" s="198"/>
      <c r="L2138" s="198"/>
      <c r="M2138" s="198"/>
      <c r="N2138" s="198"/>
      <c r="O2138" s="198"/>
      <c r="P2138" s="198"/>
      <c r="Q2138" s="198"/>
    </row>
    <row r="2139" spans="1:17" s="89" customFormat="1" ht="38.25">
      <c r="A2139" s="302" t="s">
        <v>977</v>
      </c>
      <c r="B2139" s="299">
        <v>795</v>
      </c>
      <c r="C2139" s="306"/>
      <c r="D2139" s="306"/>
      <c r="E2139" s="306"/>
      <c r="F2139" s="306"/>
      <c r="G2139" s="305"/>
      <c r="H2139" s="305"/>
      <c r="I2139" s="188"/>
      <c r="J2139" s="200"/>
      <c r="K2139" s="177"/>
      <c r="L2139" s="177"/>
      <c r="M2139" s="177"/>
      <c r="N2139" s="177"/>
      <c r="O2139" s="177"/>
      <c r="P2139" s="177"/>
      <c r="Q2139" s="177"/>
    </row>
    <row r="2140" spans="1:17" s="120" customFormat="1" ht="16.5">
      <c r="A2140" s="250" t="s">
        <v>18</v>
      </c>
      <c r="B2140" s="285">
        <v>795</v>
      </c>
      <c r="C2140" s="286" t="s">
        <v>19</v>
      </c>
      <c r="D2140" s="287"/>
      <c r="E2140" s="287"/>
      <c r="F2140" s="287"/>
      <c r="G2140" s="289">
        <f>G2141</f>
        <v>18874.66</v>
      </c>
      <c r="H2140" s="289">
        <f>H2141</f>
        <v>18874.66</v>
      </c>
      <c r="I2140" s="288"/>
      <c r="J2140" s="199"/>
      <c r="K2140" s="198"/>
      <c r="L2140" s="198"/>
      <c r="M2140" s="198"/>
      <c r="N2140" s="198"/>
      <c r="O2140" s="198"/>
      <c r="P2140" s="198"/>
      <c r="Q2140" s="198"/>
    </row>
    <row r="2141" spans="1:17" s="146" customFormat="1" ht="16.5">
      <c r="A2141" s="282" t="s">
        <v>22</v>
      </c>
      <c r="B2141" s="281">
        <v>795</v>
      </c>
      <c r="C2141" s="280" t="s">
        <v>19</v>
      </c>
      <c r="D2141" s="280" t="s">
        <v>23</v>
      </c>
      <c r="E2141" s="279"/>
      <c r="F2141" s="279"/>
      <c r="G2141" s="290">
        <f>G2142</f>
        <v>18874.66</v>
      </c>
      <c r="H2141" s="290">
        <f>H2142</f>
        <v>18874.66</v>
      </c>
      <c r="I2141" s="284"/>
      <c r="J2141" s="205"/>
      <c r="K2141" s="213"/>
      <c r="L2141" s="213"/>
      <c r="M2141" s="213"/>
      <c r="N2141" s="213"/>
      <c r="O2141" s="213"/>
      <c r="P2141" s="213"/>
      <c r="Q2141" s="213"/>
    </row>
    <row r="2142" spans="1:17" s="146" customFormat="1" ht="25.5">
      <c r="A2142" s="282" t="s">
        <v>164</v>
      </c>
      <c r="B2142" s="281">
        <v>795</v>
      </c>
      <c r="C2142" s="280" t="s">
        <v>19</v>
      </c>
      <c r="D2142" s="280" t="s">
        <v>23</v>
      </c>
      <c r="E2142" s="281" t="s">
        <v>210</v>
      </c>
      <c r="F2142" s="279"/>
      <c r="G2142" s="290">
        <f>G2143+G2146</f>
        <v>18874.66</v>
      </c>
      <c r="H2142" s="290">
        <f>H2143+H2146</f>
        <v>18874.66</v>
      </c>
      <c r="I2142" s="284"/>
      <c r="J2142" s="205"/>
      <c r="K2142" s="213"/>
      <c r="L2142" s="213"/>
      <c r="M2142" s="213"/>
      <c r="N2142" s="213"/>
      <c r="O2142" s="213"/>
      <c r="P2142" s="213"/>
      <c r="Q2142" s="213"/>
    </row>
    <row r="2143" spans="1:17" s="146" customFormat="1" ht="25.5">
      <c r="A2143" s="81" t="s">
        <v>404</v>
      </c>
      <c r="B2143" s="281">
        <v>795</v>
      </c>
      <c r="C2143" s="280" t="s">
        <v>19</v>
      </c>
      <c r="D2143" s="280" t="s">
        <v>23</v>
      </c>
      <c r="E2143" s="281" t="s">
        <v>403</v>
      </c>
      <c r="F2143" s="279"/>
      <c r="G2143" s="290">
        <f>G2144</f>
        <v>11349</v>
      </c>
      <c r="H2143" s="290">
        <f>H2144</f>
        <v>11349</v>
      </c>
      <c r="I2143" s="284"/>
      <c r="J2143" s="205"/>
      <c r="K2143" s="213"/>
      <c r="L2143" s="213"/>
      <c r="M2143" s="213"/>
      <c r="N2143" s="213"/>
      <c r="O2143" s="213"/>
      <c r="P2143" s="213"/>
      <c r="Q2143" s="213"/>
    </row>
    <row r="2144" spans="1:17" s="146" customFormat="1">
      <c r="A2144" s="81" t="s">
        <v>63</v>
      </c>
      <c r="B2144" s="281">
        <v>795</v>
      </c>
      <c r="C2144" s="280" t="s">
        <v>19</v>
      </c>
      <c r="D2144" s="280" t="s">
        <v>23</v>
      </c>
      <c r="E2144" s="281" t="s">
        <v>403</v>
      </c>
      <c r="F2144" s="281">
        <v>800</v>
      </c>
      <c r="G2144" s="290">
        <f>G2145</f>
        <v>11349</v>
      </c>
      <c r="H2144" s="290">
        <f>H2145</f>
        <v>11349</v>
      </c>
      <c r="I2144" s="284"/>
      <c r="J2144" s="205"/>
      <c r="K2144" s="213"/>
      <c r="L2144" s="213"/>
      <c r="M2144" s="213"/>
      <c r="N2144" s="213"/>
      <c r="O2144" s="213"/>
      <c r="P2144" s="213"/>
      <c r="Q2144" s="213"/>
    </row>
    <row r="2145" spans="1:17" s="146" customFormat="1">
      <c r="A2145" s="81" t="s">
        <v>328</v>
      </c>
      <c r="B2145" s="281">
        <v>795</v>
      </c>
      <c r="C2145" s="280" t="s">
        <v>19</v>
      </c>
      <c r="D2145" s="280" t="s">
        <v>23</v>
      </c>
      <c r="E2145" s="281" t="s">
        <v>403</v>
      </c>
      <c r="F2145" s="281">
        <v>830</v>
      </c>
      <c r="G2145" s="290">
        <v>11349</v>
      </c>
      <c r="H2145" s="283">
        <v>11349</v>
      </c>
      <c r="I2145" s="284"/>
      <c r="J2145" s="205"/>
      <c r="K2145" s="213"/>
      <c r="L2145" s="213"/>
      <c r="M2145" s="213"/>
      <c r="N2145" s="213"/>
      <c r="O2145" s="213"/>
      <c r="P2145" s="213"/>
      <c r="Q2145" s="213"/>
    </row>
    <row r="2146" spans="1:17" s="146" customFormat="1" ht="25.5">
      <c r="A2146" s="81" t="s">
        <v>830</v>
      </c>
      <c r="B2146" s="281">
        <v>795</v>
      </c>
      <c r="C2146" s="280" t="s">
        <v>19</v>
      </c>
      <c r="D2146" s="280" t="s">
        <v>23</v>
      </c>
      <c r="E2146" s="281" t="s">
        <v>829</v>
      </c>
      <c r="F2146" s="279"/>
      <c r="G2146" s="290">
        <f>G2147</f>
        <v>7525.66</v>
      </c>
      <c r="H2146" s="290">
        <f>H2147</f>
        <v>7525.66</v>
      </c>
      <c r="I2146" s="284"/>
      <c r="J2146" s="205"/>
      <c r="K2146" s="213"/>
      <c r="L2146" s="213"/>
      <c r="M2146" s="213"/>
      <c r="N2146" s="213"/>
      <c r="O2146" s="213"/>
      <c r="P2146" s="213"/>
      <c r="Q2146" s="213"/>
    </row>
    <row r="2147" spans="1:17" s="146" customFormat="1">
      <c r="A2147" s="81" t="s">
        <v>63</v>
      </c>
      <c r="B2147" s="281">
        <v>795</v>
      </c>
      <c r="C2147" s="280" t="s">
        <v>19</v>
      </c>
      <c r="D2147" s="280" t="s">
        <v>23</v>
      </c>
      <c r="E2147" s="281" t="s">
        <v>829</v>
      </c>
      <c r="F2147" s="281">
        <v>800</v>
      </c>
      <c r="G2147" s="290">
        <f>G2148</f>
        <v>7525.66</v>
      </c>
      <c r="H2147" s="290">
        <f>H2148</f>
        <v>7525.66</v>
      </c>
      <c r="I2147" s="284"/>
      <c r="J2147" s="205"/>
      <c r="K2147" s="213"/>
      <c r="L2147" s="213"/>
      <c r="M2147" s="213"/>
      <c r="N2147" s="213"/>
      <c r="O2147" s="213"/>
      <c r="P2147" s="213"/>
      <c r="Q2147" s="213"/>
    </row>
    <row r="2148" spans="1:17" s="146" customFormat="1">
      <c r="A2148" s="81" t="s">
        <v>328</v>
      </c>
      <c r="B2148" s="281">
        <v>795</v>
      </c>
      <c r="C2148" s="280" t="s">
        <v>19</v>
      </c>
      <c r="D2148" s="280" t="s">
        <v>23</v>
      </c>
      <c r="E2148" s="281" t="s">
        <v>829</v>
      </c>
      <c r="F2148" s="281">
        <v>830</v>
      </c>
      <c r="G2148" s="290">
        <v>7525.66</v>
      </c>
      <c r="H2148" s="283">
        <v>7525.66</v>
      </c>
      <c r="I2148" s="284"/>
      <c r="J2148" s="205"/>
      <c r="K2148" s="213"/>
      <c r="L2148" s="213"/>
      <c r="M2148" s="213"/>
      <c r="N2148" s="213"/>
      <c r="O2148" s="213"/>
      <c r="P2148" s="213"/>
      <c r="Q2148" s="213"/>
    </row>
    <row r="2149" spans="1:17">
      <c r="A2149" s="252" t="s">
        <v>86</v>
      </c>
      <c r="B2149" s="253">
        <v>795</v>
      </c>
      <c r="C2149" s="254" t="s">
        <v>54</v>
      </c>
      <c r="D2149" s="254"/>
      <c r="E2149" s="254"/>
      <c r="F2149" s="254"/>
      <c r="G2149" s="251">
        <f>G2177+G2150</f>
        <v>1710264.4699999997</v>
      </c>
      <c r="H2149" s="251">
        <f>H2177+H2150</f>
        <v>1654389.4300000002</v>
      </c>
      <c r="I2149" s="182"/>
      <c r="J2149" s="182"/>
      <c r="K2149" s="182"/>
      <c r="L2149" s="182"/>
      <c r="M2149" s="182"/>
      <c r="N2149" s="182"/>
      <c r="O2149" s="200"/>
      <c r="P2149" s="200"/>
    </row>
    <row r="2150" spans="1:17" ht="19.5" customHeight="1">
      <c r="A2150" s="81" t="s">
        <v>172</v>
      </c>
      <c r="B2150" s="145">
        <v>795</v>
      </c>
      <c r="C2150" s="83" t="s">
        <v>54</v>
      </c>
      <c r="D2150" s="83" t="s">
        <v>123</v>
      </c>
      <c r="E2150" s="83"/>
      <c r="F2150" s="83"/>
      <c r="G2150" s="86">
        <f>G2151</f>
        <v>1580354.5499999998</v>
      </c>
      <c r="H2150" s="86">
        <f>H2151</f>
        <v>1525335.4300000002</v>
      </c>
      <c r="I2150" s="171"/>
      <c r="J2150" s="68"/>
      <c r="K2150" s="68"/>
      <c r="L2150" s="68"/>
      <c r="M2150" s="68"/>
      <c r="N2150" s="68"/>
      <c r="O2150" s="68"/>
      <c r="P2150" s="68"/>
      <c r="Q2150" s="68"/>
    </row>
    <row r="2151" spans="1:17" s="18" customFormat="1" ht="27" customHeight="1">
      <c r="A2151" s="81" t="s">
        <v>484</v>
      </c>
      <c r="B2151" s="145">
        <v>795</v>
      </c>
      <c r="C2151" s="83" t="s">
        <v>54</v>
      </c>
      <c r="D2151" s="83" t="s">
        <v>123</v>
      </c>
      <c r="E2151" s="83" t="s">
        <v>234</v>
      </c>
      <c r="F2151" s="83"/>
      <c r="G2151" s="86">
        <f>G2152+G2158+G2164</f>
        <v>1580354.5499999998</v>
      </c>
      <c r="H2151" s="86">
        <f>H2152+H2158+H2164</f>
        <v>1525335.4300000002</v>
      </c>
      <c r="I2151" s="171"/>
      <c r="J2151" s="170"/>
      <c r="K2151" s="170"/>
      <c r="L2151" s="170"/>
      <c r="M2151" s="170"/>
      <c r="N2151" s="170"/>
      <c r="O2151" s="176"/>
      <c r="P2151" s="239"/>
      <c r="Q2151" s="176"/>
    </row>
    <row r="2152" spans="1:17" s="18" customFormat="1" ht="86.25" customHeight="1">
      <c r="A2152" s="81" t="s">
        <v>982</v>
      </c>
      <c r="B2152" s="145">
        <v>795</v>
      </c>
      <c r="C2152" s="83" t="s">
        <v>54</v>
      </c>
      <c r="D2152" s="83" t="s">
        <v>123</v>
      </c>
      <c r="E2152" s="83" t="s">
        <v>981</v>
      </c>
      <c r="F2152" s="83"/>
      <c r="G2152" s="86">
        <f>G2153</f>
        <v>527146.93999999994</v>
      </c>
      <c r="H2152" s="86">
        <f>H2153</f>
        <v>488990.87</v>
      </c>
      <c r="I2152" s="171"/>
      <c r="J2152" s="176"/>
      <c r="K2152" s="176"/>
      <c r="L2152" s="176"/>
      <c r="M2152" s="176"/>
      <c r="N2152" s="176"/>
      <c r="O2152" s="176"/>
      <c r="P2152" s="176"/>
      <c r="Q2152" s="176"/>
    </row>
    <row r="2153" spans="1:17" s="18" customFormat="1" ht="76.5" customHeight="1">
      <c r="A2153" s="81" t="s">
        <v>982</v>
      </c>
      <c r="B2153" s="145">
        <v>795</v>
      </c>
      <c r="C2153" s="83" t="s">
        <v>54</v>
      </c>
      <c r="D2153" s="83" t="s">
        <v>123</v>
      </c>
      <c r="E2153" s="83" t="s">
        <v>985</v>
      </c>
      <c r="F2153" s="83"/>
      <c r="G2153" s="86">
        <f>G2156+G2154</f>
        <v>527146.93999999994</v>
      </c>
      <c r="H2153" s="86">
        <f>H2156+H2154</f>
        <v>488990.87</v>
      </c>
      <c r="I2153" s="171"/>
      <c r="J2153" s="176"/>
      <c r="K2153" s="176"/>
      <c r="L2153" s="176"/>
      <c r="M2153" s="176"/>
      <c r="N2153" s="176"/>
      <c r="O2153" s="176"/>
      <c r="P2153" s="176"/>
      <c r="Q2153" s="176"/>
    </row>
    <row r="2154" spans="1:17" s="18" customFormat="1" ht="15" customHeight="1">
      <c r="A2154" s="81" t="s">
        <v>323</v>
      </c>
      <c r="B2154" s="145">
        <v>795</v>
      </c>
      <c r="C2154" s="83" t="s">
        <v>54</v>
      </c>
      <c r="D2154" s="83" t="s">
        <v>123</v>
      </c>
      <c r="E2154" s="83" t="s">
        <v>985</v>
      </c>
      <c r="F2154" s="83" t="s">
        <v>37</v>
      </c>
      <c r="G2154" s="86">
        <f>G2155</f>
        <v>448906.07</v>
      </c>
      <c r="H2154" s="86">
        <f>H2155</f>
        <v>410750</v>
      </c>
      <c r="I2154" s="171"/>
      <c r="J2154" s="176"/>
      <c r="K2154" s="176"/>
      <c r="L2154" s="176"/>
      <c r="M2154" s="176"/>
      <c r="N2154" s="176"/>
      <c r="O2154" s="176"/>
      <c r="P2154" s="176"/>
      <c r="Q2154" s="176"/>
    </row>
    <row r="2155" spans="1:17" s="18" customFormat="1" ht="32.25" customHeight="1">
      <c r="A2155" s="81" t="s">
        <v>38</v>
      </c>
      <c r="B2155" s="145">
        <v>795</v>
      </c>
      <c r="C2155" s="83" t="s">
        <v>54</v>
      </c>
      <c r="D2155" s="83" t="s">
        <v>123</v>
      </c>
      <c r="E2155" s="83" t="s">
        <v>985</v>
      </c>
      <c r="F2155" s="83" t="s">
        <v>39</v>
      </c>
      <c r="G2155" s="86">
        <v>448906.07</v>
      </c>
      <c r="H2155" s="86">
        <v>410750</v>
      </c>
      <c r="I2155" s="171"/>
      <c r="J2155" s="176"/>
      <c r="K2155" s="176"/>
      <c r="L2155" s="176"/>
      <c r="M2155" s="176"/>
      <c r="N2155" s="176"/>
      <c r="O2155" s="176"/>
      <c r="P2155" s="176"/>
      <c r="Q2155" s="176"/>
    </row>
    <row r="2156" spans="1:17" s="18" customFormat="1" ht="15" customHeight="1">
      <c r="A2156" s="81" t="s">
        <v>156</v>
      </c>
      <c r="B2156" s="145">
        <v>795</v>
      </c>
      <c r="C2156" s="83" t="s">
        <v>54</v>
      </c>
      <c r="D2156" s="83" t="s">
        <v>123</v>
      </c>
      <c r="E2156" s="83" t="s">
        <v>985</v>
      </c>
      <c r="F2156" s="83" t="s">
        <v>157</v>
      </c>
      <c r="G2156" s="86">
        <f t="shared" ref="G2156:H2156" si="513">G2157</f>
        <v>78240.87</v>
      </c>
      <c r="H2156" s="86">
        <f t="shared" si="513"/>
        <v>78240.87</v>
      </c>
      <c r="I2156" s="171"/>
      <c r="J2156" s="176"/>
      <c r="K2156" s="176"/>
      <c r="L2156" s="176"/>
      <c r="M2156" s="176"/>
      <c r="N2156" s="176"/>
      <c r="O2156" s="176"/>
      <c r="P2156" s="176"/>
      <c r="Q2156" s="176"/>
    </row>
    <row r="2157" spans="1:17" s="18" customFormat="1" ht="32.25" customHeight="1">
      <c r="A2157" s="81" t="s">
        <v>178</v>
      </c>
      <c r="B2157" s="145">
        <v>795</v>
      </c>
      <c r="C2157" s="83" t="s">
        <v>54</v>
      </c>
      <c r="D2157" s="83" t="s">
        <v>123</v>
      </c>
      <c r="E2157" s="83" t="s">
        <v>985</v>
      </c>
      <c r="F2157" s="83" t="s">
        <v>179</v>
      </c>
      <c r="G2157" s="86">
        <v>78240.87</v>
      </c>
      <c r="H2157" s="86">
        <v>78240.87</v>
      </c>
      <c r="I2157" s="171"/>
      <c r="J2157" s="176"/>
      <c r="K2157" s="176"/>
      <c r="L2157" s="176"/>
      <c r="M2157" s="176"/>
      <c r="N2157" s="176"/>
      <c r="O2157" s="176"/>
      <c r="P2157" s="176"/>
      <c r="Q2157" s="176"/>
    </row>
    <row r="2158" spans="1:17" s="18" customFormat="1" ht="86.25" customHeight="1">
      <c r="A2158" s="81" t="s">
        <v>983</v>
      </c>
      <c r="B2158" s="145">
        <v>795</v>
      </c>
      <c r="C2158" s="83" t="s">
        <v>54</v>
      </c>
      <c r="D2158" s="83" t="s">
        <v>123</v>
      </c>
      <c r="E2158" s="83" t="s">
        <v>11</v>
      </c>
      <c r="F2158" s="83"/>
      <c r="G2158" s="86">
        <f>G2159</f>
        <v>1024610.61</v>
      </c>
      <c r="H2158" s="86">
        <f>H2159</f>
        <v>1007747.56</v>
      </c>
      <c r="I2158" s="171"/>
      <c r="J2158" s="176"/>
      <c r="K2158" s="176"/>
      <c r="L2158" s="176"/>
      <c r="M2158" s="176"/>
      <c r="N2158" s="176"/>
      <c r="O2158" s="176"/>
      <c r="P2158" s="176"/>
      <c r="Q2158" s="176"/>
    </row>
    <row r="2159" spans="1:17" s="18" customFormat="1" ht="76.5" customHeight="1">
      <c r="A2159" s="81" t="s">
        <v>983</v>
      </c>
      <c r="B2159" s="145">
        <v>795</v>
      </c>
      <c r="C2159" s="83" t="s">
        <v>54</v>
      </c>
      <c r="D2159" s="83" t="s">
        <v>123</v>
      </c>
      <c r="E2159" s="83" t="s">
        <v>984</v>
      </c>
      <c r="F2159" s="83"/>
      <c r="G2159" s="86">
        <f>G2162+G2161</f>
        <v>1024610.61</v>
      </c>
      <c r="H2159" s="86">
        <f>H2162+H2161</f>
        <v>1007747.56</v>
      </c>
      <c r="I2159" s="171"/>
      <c r="J2159" s="176"/>
      <c r="K2159" s="176"/>
      <c r="L2159" s="176"/>
      <c r="M2159" s="176"/>
      <c r="N2159" s="176"/>
      <c r="O2159" s="176"/>
      <c r="P2159" s="176"/>
      <c r="Q2159" s="176"/>
    </row>
    <row r="2160" spans="1:17" s="18" customFormat="1" ht="15" customHeight="1">
      <c r="A2160" s="81" t="s">
        <v>323</v>
      </c>
      <c r="B2160" s="145">
        <v>795</v>
      </c>
      <c r="C2160" s="83" t="s">
        <v>54</v>
      </c>
      <c r="D2160" s="83" t="s">
        <v>123</v>
      </c>
      <c r="E2160" s="83" t="s">
        <v>984</v>
      </c>
      <c r="F2160" s="83" t="s">
        <v>37</v>
      </c>
      <c r="G2160" s="86">
        <f>G2161</f>
        <v>597245.36</v>
      </c>
      <c r="H2160" s="86">
        <f>H2161</f>
        <v>580382.31000000006</v>
      </c>
      <c r="I2160" s="171"/>
      <c r="J2160" s="176"/>
      <c r="K2160" s="176"/>
      <c r="L2160" s="176"/>
      <c r="M2160" s="176"/>
      <c r="N2160" s="176"/>
      <c r="O2160" s="176"/>
      <c r="P2160" s="176"/>
      <c r="Q2160" s="176"/>
    </row>
    <row r="2161" spans="1:17" s="18" customFormat="1" ht="32.25" customHeight="1">
      <c r="A2161" s="81" t="s">
        <v>38</v>
      </c>
      <c r="B2161" s="145">
        <v>795</v>
      </c>
      <c r="C2161" s="83" t="s">
        <v>54</v>
      </c>
      <c r="D2161" s="83" t="s">
        <v>123</v>
      </c>
      <c r="E2161" s="83" t="s">
        <v>984</v>
      </c>
      <c r="F2161" s="83" t="s">
        <v>39</v>
      </c>
      <c r="G2161" s="86">
        <f>447043.05+150202.31</f>
        <v>597245.36</v>
      </c>
      <c r="H2161" s="86">
        <v>580382.31000000006</v>
      </c>
      <c r="I2161" s="171"/>
      <c r="J2161" s="176"/>
      <c r="K2161" s="176"/>
      <c r="L2161" s="176"/>
      <c r="M2161" s="176"/>
      <c r="N2161" s="176"/>
      <c r="O2161" s="176"/>
      <c r="P2161" s="176"/>
      <c r="Q2161" s="176"/>
    </row>
    <row r="2162" spans="1:17" s="18" customFormat="1" ht="15" customHeight="1">
      <c r="A2162" s="81" t="s">
        <v>156</v>
      </c>
      <c r="B2162" s="145">
        <v>795</v>
      </c>
      <c r="C2162" s="83" t="s">
        <v>54</v>
      </c>
      <c r="D2162" s="83" t="s">
        <v>123</v>
      </c>
      <c r="E2162" s="83" t="s">
        <v>984</v>
      </c>
      <c r="F2162" s="83" t="s">
        <v>157</v>
      </c>
      <c r="G2162" s="86">
        <f t="shared" ref="G2162:H2162" si="514">G2163</f>
        <v>427365.25</v>
      </c>
      <c r="H2162" s="86">
        <f t="shared" si="514"/>
        <v>427365.25</v>
      </c>
      <c r="I2162" s="171"/>
      <c r="J2162" s="176"/>
      <c r="K2162" s="176"/>
      <c r="L2162" s="176"/>
      <c r="M2162" s="176"/>
      <c r="N2162" s="176"/>
      <c r="O2162" s="176"/>
      <c r="P2162" s="176"/>
      <c r="Q2162" s="176"/>
    </row>
    <row r="2163" spans="1:17" s="18" customFormat="1" ht="32.25" customHeight="1">
      <c r="A2163" s="81" t="s">
        <v>178</v>
      </c>
      <c r="B2163" s="145">
        <v>795</v>
      </c>
      <c r="C2163" s="83" t="s">
        <v>54</v>
      </c>
      <c r="D2163" s="83" t="s">
        <v>123</v>
      </c>
      <c r="E2163" s="83" t="s">
        <v>984</v>
      </c>
      <c r="F2163" s="83" t="s">
        <v>179</v>
      </c>
      <c r="G2163" s="86">
        <v>427365.25</v>
      </c>
      <c r="H2163" s="86">
        <v>427365.25</v>
      </c>
      <c r="I2163" s="171"/>
      <c r="J2163" s="176"/>
      <c r="K2163" s="176"/>
      <c r="L2163" s="176"/>
      <c r="M2163" s="176"/>
      <c r="N2163" s="176"/>
      <c r="O2163" s="176"/>
      <c r="P2163" s="176"/>
      <c r="Q2163" s="176"/>
    </row>
    <row r="2164" spans="1:17" s="18" customFormat="1" ht="102" customHeight="1">
      <c r="A2164" s="81" t="s">
        <v>987</v>
      </c>
      <c r="B2164" s="145">
        <v>795</v>
      </c>
      <c r="C2164" s="83" t="s">
        <v>54</v>
      </c>
      <c r="D2164" s="83" t="s">
        <v>123</v>
      </c>
      <c r="E2164" s="83" t="s">
        <v>986</v>
      </c>
      <c r="F2164" s="83"/>
      <c r="G2164" s="86">
        <f>G2165</f>
        <v>28597</v>
      </c>
      <c r="H2164" s="86">
        <f t="shared" ref="H2164" si="515">H2165+H2174</f>
        <v>28597</v>
      </c>
      <c r="I2164" s="171"/>
      <c r="J2164" s="176"/>
      <c r="K2164" s="176"/>
      <c r="L2164" s="176"/>
      <c r="M2164" s="176"/>
      <c r="N2164" s="176"/>
      <c r="O2164" s="176"/>
      <c r="P2164" s="176"/>
      <c r="Q2164" s="176"/>
    </row>
    <row r="2165" spans="1:17" s="18" customFormat="1" ht="108" customHeight="1">
      <c r="A2165" s="81" t="s">
        <v>987</v>
      </c>
      <c r="B2165" s="145">
        <v>795</v>
      </c>
      <c r="C2165" s="83" t="s">
        <v>54</v>
      </c>
      <c r="D2165" s="83" t="s">
        <v>123</v>
      </c>
      <c r="E2165" s="83" t="s">
        <v>988</v>
      </c>
      <c r="F2165" s="83"/>
      <c r="G2165" s="86">
        <f>G2166+G2169</f>
        <v>28597</v>
      </c>
      <c r="H2165" s="86">
        <f t="shared" ref="G2165:H2166" si="516">H2166</f>
        <v>28597</v>
      </c>
      <c r="I2165" s="171"/>
      <c r="J2165" s="176"/>
      <c r="K2165" s="176"/>
      <c r="L2165" s="176"/>
      <c r="M2165" s="176"/>
      <c r="N2165" s="176"/>
      <c r="O2165" s="176"/>
      <c r="P2165" s="176"/>
      <c r="Q2165" s="176"/>
    </row>
    <row r="2166" spans="1:17" s="18" customFormat="1" ht="15" customHeight="1">
      <c r="A2166" s="81" t="s">
        <v>156</v>
      </c>
      <c r="B2166" s="145">
        <v>795</v>
      </c>
      <c r="C2166" s="83" t="s">
        <v>54</v>
      </c>
      <c r="D2166" s="83" t="s">
        <v>123</v>
      </c>
      <c r="E2166" s="83" t="s">
        <v>988</v>
      </c>
      <c r="F2166" s="83" t="s">
        <v>157</v>
      </c>
      <c r="G2166" s="86">
        <f t="shared" si="516"/>
        <v>28597</v>
      </c>
      <c r="H2166" s="86">
        <f t="shared" si="516"/>
        <v>28597</v>
      </c>
      <c r="I2166" s="171"/>
      <c r="J2166" s="176"/>
      <c r="K2166" s="176"/>
      <c r="L2166" s="176"/>
      <c r="M2166" s="176"/>
      <c r="N2166" s="176"/>
      <c r="O2166" s="176"/>
      <c r="P2166" s="176"/>
      <c r="Q2166" s="176"/>
    </row>
    <row r="2167" spans="1:17" s="18" customFormat="1" ht="32.25" customHeight="1">
      <c r="A2167" s="81" t="s">
        <v>178</v>
      </c>
      <c r="B2167" s="145">
        <v>795</v>
      </c>
      <c r="C2167" s="83" t="s">
        <v>54</v>
      </c>
      <c r="D2167" s="83" t="s">
        <v>123</v>
      </c>
      <c r="E2167" s="83" t="s">
        <v>988</v>
      </c>
      <c r="F2167" s="83" t="s">
        <v>179</v>
      </c>
      <c r="G2167" s="86">
        <v>28597</v>
      </c>
      <c r="H2167" s="86">
        <v>28597</v>
      </c>
      <c r="I2167" s="171"/>
      <c r="J2167" s="176"/>
      <c r="K2167" s="176"/>
      <c r="L2167" s="176"/>
      <c r="M2167" s="176"/>
      <c r="N2167" s="176"/>
      <c r="O2167" s="176"/>
      <c r="P2167" s="176"/>
      <c r="Q2167" s="176"/>
    </row>
    <row r="2168" spans="1:17" s="18" customFormat="1" ht="106.5" hidden="1" customHeight="1">
      <c r="A2168" s="81" t="s">
        <v>955</v>
      </c>
      <c r="B2168" s="145">
        <v>795</v>
      </c>
      <c r="C2168" s="83" t="s">
        <v>54</v>
      </c>
      <c r="D2168" s="83" t="s">
        <v>123</v>
      </c>
      <c r="E2168" s="83" t="s">
        <v>523</v>
      </c>
      <c r="F2168" s="83"/>
      <c r="G2168" s="86">
        <f>G2169</f>
        <v>0</v>
      </c>
      <c r="H2168" s="86"/>
      <c r="I2168" s="171"/>
      <c r="J2168" s="176"/>
      <c r="K2168" s="176"/>
      <c r="L2168" s="176"/>
      <c r="M2168" s="176"/>
      <c r="N2168" s="176"/>
      <c r="O2168" s="176"/>
      <c r="P2168" s="176"/>
      <c r="Q2168" s="176"/>
    </row>
    <row r="2169" spans="1:17" s="18" customFormat="1" ht="27.75" hidden="1" customHeight="1">
      <c r="A2169" s="81" t="s">
        <v>96</v>
      </c>
      <c r="B2169" s="145">
        <v>795</v>
      </c>
      <c r="C2169" s="83" t="s">
        <v>54</v>
      </c>
      <c r="D2169" s="83" t="s">
        <v>123</v>
      </c>
      <c r="E2169" s="83" t="s">
        <v>523</v>
      </c>
      <c r="F2169" s="83" t="s">
        <v>348</v>
      </c>
      <c r="G2169" s="86">
        <f>G2170</f>
        <v>0</v>
      </c>
      <c r="H2169" s="86"/>
      <c r="I2169" s="171"/>
      <c r="J2169" s="176"/>
      <c r="K2169" s="176"/>
      <c r="L2169" s="176"/>
      <c r="M2169" s="176"/>
      <c r="N2169" s="176"/>
      <c r="O2169" s="176"/>
      <c r="P2169" s="176"/>
      <c r="Q2169" s="176"/>
    </row>
    <row r="2170" spans="1:17" s="18" customFormat="1" ht="15" hidden="1" customHeight="1">
      <c r="A2170" s="81" t="s">
        <v>349</v>
      </c>
      <c r="B2170" s="145">
        <v>795</v>
      </c>
      <c r="C2170" s="83" t="s">
        <v>54</v>
      </c>
      <c r="D2170" s="83" t="s">
        <v>123</v>
      </c>
      <c r="E2170" s="83" t="s">
        <v>523</v>
      </c>
      <c r="F2170" s="83" t="s">
        <v>350</v>
      </c>
      <c r="G2170" s="86"/>
      <c r="H2170" s="86"/>
      <c r="I2170" s="171"/>
      <c r="J2170" s="176"/>
      <c r="K2170" s="176"/>
      <c r="L2170" s="176"/>
      <c r="M2170" s="176"/>
      <c r="N2170" s="176"/>
      <c r="O2170" s="176"/>
      <c r="P2170" s="176"/>
      <c r="Q2170" s="176"/>
    </row>
    <row r="2171" spans="1:17" s="18" customFormat="1" ht="86.25" hidden="1" customHeight="1">
      <c r="A2171" s="81" t="s">
        <v>900</v>
      </c>
      <c r="B2171" s="145">
        <v>795</v>
      </c>
      <c r="C2171" s="83" t="s">
        <v>54</v>
      </c>
      <c r="D2171" s="83" t="s">
        <v>123</v>
      </c>
      <c r="E2171" s="83" t="s">
        <v>105</v>
      </c>
      <c r="F2171" s="83"/>
      <c r="G2171" s="86">
        <f>G2172</f>
        <v>0</v>
      </c>
      <c r="H2171" s="86">
        <f t="shared" ref="H2171" si="517">H2172</f>
        <v>0</v>
      </c>
      <c r="I2171" s="171"/>
      <c r="J2171" s="176"/>
      <c r="K2171" s="176"/>
      <c r="L2171" s="176"/>
      <c r="M2171" s="176"/>
      <c r="N2171" s="176"/>
      <c r="O2171" s="176"/>
      <c r="P2171" s="176"/>
      <c r="Q2171" s="176"/>
    </row>
    <row r="2172" spans="1:17" s="18" customFormat="1" ht="122.25" hidden="1" customHeight="1">
      <c r="A2172" s="138" t="s">
        <v>898</v>
      </c>
      <c r="B2172" s="145">
        <v>795</v>
      </c>
      <c r="C2172" s="83" t="s">
        <v>54</v>
      </c>
      <c r="D2172" s="83" t="s">
        <v>123</v>
      </c>
      <c r="E2172" s="83" t="s">
        <v>899</v>
      </c>
      <c r="F2172" s="83"/>
      <c r="G2172" s="86">
        <f>G2173+G2175</f>
        <v>0</v>
      </c>
      <c r="H2172" s="86">
        <f t="shared" ref="H2172" si="518">H2173+H2175</f>
        <v>0</v>
      </c>
      <c r="I2172" s="171"/>
      <c r="J2172" s="176"/>
      <c r="K2172" s="176"/>
      <c r="L2172" s="176"/>
      <c r="M2172" s="176"/>
      <c r="N2172" s="176"/>
      <c r="O2172" s="176"/>
      <c r="P2172" s="176"/>
      <c r="Q2172" s="176"/>
    </row>
    <row r="2173" spans="1:17" s="18" customFormat="1" ht="24.75" hidden="1" customHeight="1">
      <c r="A2173" s="81" t="s">
        <v>323</v>
      </c>
      <c r="B2173" s="145">
        <v>795</v>
      </c>
      <c r="C2173" s="83" t="s">
        <v>54</v>
      </c>
      <c r="D2173" s="83" t="s">
        <v>123</v>
      </c>
      <c r="E2173" s="83" t="s">
        <v>899</v>
      </c>
      <c r="F2173" s="83" t="s">
        <v>37</v>
      </c>
      <c r="G2173" s="86">
        <f t="shared" ref="G2173:H2173" si="519">G2174</f>
        <v>0</v>
      </c>
      <c r="H2173" s="86">
        <f t="shared" si="519"/>
        <v>0</v>
      </c>
      <c r="I2173" s="171"/>
      <c r="J2173" s="176"/>
      <c r="K2173" s="176"/>
      <c r="L2173" s="176"/>
      <c r="M2173" s="176"/>
      <c r="N2173" s="176"/>
      <c r="O2173" s="176"/>
      <c r="P2173" s="176"/>
      <c r="Q2173" s="176"/>
    </row>
    <row r="2174" spans="1:17" s="18" customFormat="1" ht="30.75" hidden="1" customHeight="1">
      <c r="A2174" s="81" t="s">
        <v>38</v>
      </c>
      <c r="B2174" s="145">
        <v>795</v>
      </c>
      <c r="C2174" s="83" t="s">
        <v>54</v>
      </c>
      <c r="D2174" s="83" t="s">
        <v>123</v>
      </c>
      <c r="E2174" s="83" t="s">
        <v>899</v>
      </c>
      <c r="F2174" s="83" t="s">
        <v>39</v>
      </c>
      <c r="G2174" s="86"/>
      <c r="H2174" s="86"/>
      <c r="I2174" s="171"/>
      <c r="J2174" s="176"/>
      <c r="K2174" s="176"/>
      <c r="L2174" s="176"/>
      <c r="M2174" s="176"/>
      <c r="N2174" s="176"/>
      <c r="O2174" s="176"/>
      <c r="P2174" s="176"/>
      <c r="Q2174" s="176"/>
    </row>
    <row r="2175" spans="1:17" ht="22.5" hidden="1" customHeight="1">
      <c r="A2175" s="81" t="s">
        <v>156</v>
      </c>
      <c r="B2175" s="145">
        <v>795</v>
      </c>
      <c r="C2175" s="83" t="s">
        <v>54</v>
      </c>
      <c r="D2175" s="83" t="s">
        <v>123</v>
      </c>
      <c r="E2175" s="83" t="s">
        <v>618</v>
      </c>
      <c r="F2175" s="83" t="s">
        <v>157</v>
      </c>
      <c r="G2175" s="86">
        <f>G2176</f>
        <v>0</v>
      </c>
      <c r="H2175" s="86">
        <f t="shared" ref="H2175" si="520">H2176</f>
        <v>0</v>
      </c>
      <c r="I2175" s="171"/>
      <c r="J2175" s="68"/>
      <c r="K2175" s="68"/>
      <c r="L2175" s="68"/>
      <c r="M2175" s="68"/>
      <c r="N2175" s="68"/>
      <c r="O2175" s="68"/>
      <c r="P2175" s="68"/>
      <c r="Q2175" s="68"/>
    </row>
    <row r="2176" spans="1:17" ht="16.5" hidden="1" customHeight="1">
      <c r="A2176" s="81" t="s">
        <v>178</v>
      </c>
      <c r="B2176" s="145">
        <v>795</v>
      </c>
      <c r="C2176" s="83" t="s">
        <v>54</v>
      </c>
      <c r="D2176" s="83" t="s">
        <v>123</v>
      </c>
      <c r="E2176" s="83" t="s">
        <v>618</v>
      </c>
      <c r="F2176" s="83" t="s">
        <v>179</v>
      </c>
      <c r="G2176" s="86"/>
      <c r="H2176" s="123"/>
      <c r="I2176" s="189"/>
      <c r="J2176" s="68"/>
      <c r="K2176" s="68"/>
      <c r="L2176" s="68"/>
      <c r="M2176" s="68"/>
      <c r="N2176" s="68"/>
      <c r="O2176" s="68"/>
      <c r="P2176" s="68"/>
      <c r="Q2176" s="68"/>
    </row>
    <row r="2177" spans="1:17" ht="18.75" customHeight="1">
      <c r="A2177" s="81" t="s">
        <v>87</v>
      </c>
      <c r="B2177" s="145">
        <v>795</v>
      </c>
      <c r="C2177" s="83" t="s">
        <v>54</v>
      </c>
      <c r="D2177" s="83" t="s">
        <v>88</v>
      </c>
      <c r="E2177" s="83"/>
      <c r="F2177" s="145"/>
      <c r="G2177" s="86">
        <f>G2178</f>
        <v>129909.92</v>
      </c>
      <c r="H2177" s="86">
        <f>H2178</f>
        <v>129054.00000000001</v>
      </c>
      <c r="I2177" s="171"/>
      <c r="J2177" s="170"/>
      <c r="K2177" s="170"/>
      <c r="L2177" s="170"/>
      <c r="M2177" s="170"/>
      <c r="N2177" s="170"/>
      <c r="O2177" s="68"/>
      <c r="P2177" s="68"/>
      <c r="Q2177" s="68"/>
    </row>
    <row r="2178" spans="1:17" ht="54" customHeight="1">
      <c r="A2178" s="81" t="s">
        <v>489</v>
      </c>
      <c r="B2178" s="145">
        <v>795</v>
      </c>
      <c r="C2178" s="83" t="s">
        <v>54</v>
      </c>
      <c r="D2178" s="83" t="s">
        <v>88</v>
      </c>
      <c r="E2178" s="83" t="s">
        <v>295</v>
      </c>
      <c r="F2178" s="83"/>
      <c r="G2178" s="86">
        <f>G2179</f>
        <v>129909.92</v>
      </c>
      <c r="H2178" s="86">
        <f t="shared" ref="H2178" si="521">H2179</f>
        <v>129054.00000000001</v>
      </c>
      <c r="I2178" s="171"/>
      <c r="J2178" s="68"/>
      <c r="K2178" s="68"/>
      <c r="L2178" s="68"/>
      <c r="M2178" s="68"/>
      <c r="N2178" s="68"/>
      <c r="O2178" s="68"/>
      <c r="P2178" s="68"/>
      <c r="Q2178" s="68"/>
    </row>
    <row r="2179" spans="1:17" ht="35.25" customHeight="1">
      <c r="A2179" s="135" t="s">
        <v>76</v>
      </c>
      <c r="B2179" s="145">
        <v>795</v>
      </c>
      <c r="C2179" s="83" t="s">
        <v>54</v>
      </c>
      <c r="D2179" s="83" t="s">
        <v>88</v>
      </c>
      <c r="E2179" s="83" t="s">
        <v>282</v>
      </c>
      <c r="F2179" s="83"/>
      <c r="G2179" s="86">
        <f>G2182+G2180+G2184</f>
        <v>129909.92</v>
      </c>
      <c r="H2179" s="86">
        <f>H2182+H2180+H2184</f>
        <v>129054.00000000001</v>
      </c>
      <c r="I2179" s="172"/>
      <c r="J2179" s="68"/>
      <c r="K2179" s="68"/>
      <c r="L2179" s="68"/>
      <c r="M2179" s="68"/>
      <c r="N2179" s="68"/>
      <c r="O2179" s="68"/>
      <c r="P2179" s="68"/>
      <c r="Q2179" s="68"/>
    </row>
    <row r="2180" spans="1:17" s="3" customFormat="1" ht="63.75">
      <c r="A2180" s="142" t="s">
        <v>55</v>
      </c>
      <c r="B2180" s="145">
        <v>795</v>
      </c>
      <c r="C2180" s="83" t="s">
        <v>54</v>
      </c>
      <c r="D2180" s="83" t="s">
        <v>88</v>
      </c>
      <c r="E2180" s="83" t="s">
        <v>282</v>
      </c>
      <c r="F2180" s="83" t="s">
        <v>58</v>
      </c>
      <c r="G2180" s="86">
        <f>G2181</f>
        <v>38392.979999999996</v>
      </c>
      <c r="H2180" s="86">
        <f>H2181</f>
        <v>38392.980000000003</v>
      </c>
      <c r="I2180" s="171"/>
      <c r="J2180" s="190"/>
      <c r="K2180" s="190"/>
      <c r="L2180" s="190"/>
      <c r="M2180" s="190"/>
      <c r="N2180" s="190"/>
      <c r="O2180" s="190"/>
      <c r="P2180" s="213"/>
      <c r="Q2180" s="190"/>
    </row>
    <row r="2181" spans="1:17" s="3" customFormat="1" ht="25.5">
      <c r="A2181" s="142" t="s">
        <v>56</v>
      </c>
      <c r="B2181" s="145">
        <v>795</v>
      </c>
      <c r="C2181" s="83" t="s">
        <v>54</v>
      </c>
      <c r="D2181" s="83" t="s">
        <v>88</v>
      </c>
      <c r="E2181" s="83" t="s">
        <v>282</v>
      </c>
      <c r="F2181" s="83" t="s">
        <v>59</v>
      </c>
      <c r="G2181" s="86">
        <f>43000-123.8-4483.22</f>
        <v>38392.979999999996</v>
      </c>
      <c r="H2181" s="86">
        <v>38392.980000000003</v>
      </c>
      <c r="I2181" s="171"/>
      <c r="J2181" s="190"/>
      <c r="K2181" s="190"/>
      <c r="L2181" s="190"/>
      <c r="M2181" s="190"/>
      <c r="N2181" s="190"/>
      <c r="O2181" s="190"/>
      <c r="P2181" s="213"/>
      <c r="Q2181" s="190"/>
    </row>
    <row r="2182" spans="1:17" ht="30.75" customHeight="1">
      <c r="A2182" s="81" t="s">
        <v>452</v>
      </c>
      <c r="B2182" s="145">
        <v>795</v>
      </c>
      <c r="C2182" s="83" t="s">
        <v>54</v>
      </c>
      <c r="D2182" s="83" t="s">
        <v>88</v>
      </c>
      <c r="E2182" s="83" t="s">
        <v>282</v>
      </c>
      <c r="F2182" s="83" t="s">
        <v>37</v>
      </c>
      <c r="G2182" s="86">
        <f>G2183</f>
        <v>91393.14</v>
      </c>
      <c r="H2182" s="86">
        <f>H2183</f>
        <v>90537.22</v>
      </c>
      <c r="I2182" s="172"/>
      <c r="J2182" s="68"/>
      <c r="K2182" s="68"/>
      <c r="L2182" s="68"/>
      <c r="M2182" s="68"/>
      <c r="N2182" s="68"/>
      <c r="O2182" s="68"/>
      <c r="P2182" s="68"/>
      <c r="Q2182" s="68"/>
    </row>
    <row r="2183" spans="1:17" ht="38.25" customHeight="1">
      <c r="A2183" s="81" t="s">
        <v>38</v>
      </c>
      <c r="B2183" s="145">
        <v>795</v>
      </c>
      <c r="C2183" s="83" t="s">
        <v>54</v>
      </c>
      <c r="D2183" s="83" t="s">
        <v>88</v>
      </c>
      <c r="E2183" s="83" t="s">
        <v>282</v>
      </c>
      <c r="F2183" s="83" t="s">
        <v>39</v>
      </c>
      <c r="G2183" s="86">
        <f>69040.92+17869+4483.22</f>
        <v>91393.14</v>
      </c>
      <c r="H2183" s="84">
        <v>90537.22</v>
      </c>
      <c r="I2183" s="172"/>
      <c r="J2183" s="68"/>
      <c r="K2183" s="68"/>
      <c r="L2183" s="68"/>
      <c r="M2183" s="68"/>
      <c r="N2183" s="68"/>
      <c r="O2183" s="68"/>
      <c r="P2183" s="68"/>
      <c r="Q2183" s="68"/>
    </row>
    <row r="2184" spans="1:17" ht="26.25" customHeight="1">
      <c r="A2184" s="81" t="s">
        <v>63</v>
      </c>
      <c r="B2184" s="145">
        <v>795</v>
      </c>
      <c r="C2184" s="83" t="s">
        <v>54</v>
      </c>
      <c r="D2184" s="83" t="s">
        <v>88</v>
      </c>
      <c r="E2184" s="83" t="s">
        <v>282</v>
      </c>
      <c r="F2184" s="83" t="s">
        <v>64</v>
      </c>
      <c r="G2184" s="86">
        <f>G2185</f>
        <v>123.8</v>
      </c>
      <c r="H2184" s="86">
        <f>H2185</f>
        <v>123.8</v>
      </c>
      <c r="I2184" s="172"/>
      <c r="J2184" s="68"/>
      <c r="K2184" s="68"/>
      <c r="L2184" s="68"/>
      <c r="M2184" s="68"/>
      <c r="N2184" s="68"/>
      <c r="O2184" s="68"/>
      <c r="P2184" s="68"/>
      <c r="Q2184" s="68"/>
    </row>
    <row r="2185" spans="1:17" ht="21" customHeight="1">
      <c r="A2185" s="81" t="s">
        <v>144</v>
      </c>
      <c r="B2185" s="145">
        <v>795</v>
      </c>
      <c r="C2185" s="83" t="s">
        <v>54</v>
      </c>
      <c r="D2185" s="83" t="s">
        <v>88</v>
      </c>
      <c r="E2185" s="83" t="s">
        <v>282</v>
      </c>
      <c r="F2185" s="83" t="s">
        <v>67</v>
      </c>
      <c r="G2185" s="86">
        <v>123.8</v>
      </c>
      <c r="H2185" s="84">
        <v>123.8</v>
      </c>
      <c r="I2185" s="172"/>
      <c r="J2185" s="68"/>
      <c r="K2185" s="68"/>
      <c r="L2185" s="68"/>
      <c r="M2185" s="68"/>
      <c r="N2185" s="68"/>
      <c r="O2185" s="68"/>
      <c r="P2185" s="68"/>
      <c r="Q2185" s="68"/>
    </row>
    <row r="2186" spans="1:17">
      <c r="A2186" s="130" t="s">
        <v>346</v>
      </c>
      <c r="B2186" s="151">
        <v>795</v>
      </c>
      <c r="C2186" s="254" t="s">
        <v>173</v>
      </c>
      <c r="D2186" s="254"/>
      <c r="E2186" s="254"/>
      <c r="F2186" s="254"/>
      <c r="G2186" s="251">
        <f>G2187+G2212+G2230+G2237</f>
        <v>748343.23</v>
      </c>
      <c r="H2186" s="251">
        <f>H2187+H2212+H2230+H2237</f>
        <v>667074.25999999989</v>
      </c>
      <c r="I2186" s="182"/>
      <c r="J2186" s="68"/>
      <c r="K2186" s="68"/>
      <c r="L2186" s="68"/>
      <c r="M2186" s="68"/>
      <c r="N2186" s="68"/>
      <c r="O2186" s="240"/>
      <c r="P2186" s="240"/>
      <c r="Q2186" s="68"/>
    </row>
    <row r="2187" spans="1:17">
      <c r="A2187" s="128" t="s">
        <v>174</v>
      </c>
      <c r="B2187" s="145">
        <v>795</v>
      </c>
      <c r="C2187" s="149" t="s">
        <v>173</v>
      </c>
      <c r="D2187" s="149" t="s">
        <v>19</v>
      </c>
      <c r="E2187" s="254"/>
      <c r="F2187" s="254"/>
      <c r="G2187" s="93">
        <f>G2188+G2202</f>
        <v>158888.71</v>
      </c>
      <c r="H2187" s="93">
        <f>H2188+H2202</f>
        <v>157142.74</v>
      </c>
      <c r="I2187" s="185"/>
      <c r="J2187" s="241"/>
      <c r="K2187" s="241"/>
      <c r="L2187" s="241"/>
      <c r="M2187" s="241"/>
      <c r="N2187" s="241"/>
      <c r="O2187" s="68"/>
      <c r="P2187" s="68"/>
      <c r="Q2187" s="68"/>
    </row>
    <row r="2188" spans="1:17" ht="51">
      <c r="A2188" s="81" t="s">
        <v>489</v>
      </c>
      <c r="B2188" s="145">
        <v>795</v>
      </c>
      <c r="C2188" s="83" t="s">
        <v>173</v>
      </c>
      <c r="D2188" s="83" t="s">
        <v>19</v>
      </c>
      <c r="E2188" s="83" t="s">
        <v>295</v>
      </c>
      <c r="F2188" s="83"/>
      <c r="G2188" s="86">
        <f>G2196+G2199</f>
        <v>48888.71</v>
      </c>
      <c r="H2188" s="86">
        <f>H2196+H2199</f>
        <v>47142.74</v>
      </c>
      <c r="I2188" s="171"/>
      <c r="J2188" s="68"/>
      <c r="K2188" s="68"/>
      <c r="L2188" s="68"/>
      <c r="M2188" s="68"/>
      <c r="N2188" s="68"/>
      <c r="O2188" s="68"/>
      <c r="P2188" s="68"/>
      <c r="Q2188" s="68"/>
    </row>
    <row r="2189" spans="1:17" s="18" customFormat="1" ht="20.25" hidden="1" customHeight="1">
      <c r="A2189" s="81" t="s">
        <v>85</v>
      </c>
      <c r="B2189" s="145">
        <v>795</v>
      </c>
      <c r="C2189" s="83" t="s">
        <v>173</v>
      </c>
      <c r="D2189" s="83" t="s">
        <v>19</v>
      </c>
      <c r="E2189" s="83" t="s">
        <v>84</v>
      </c>
      <c r="F2189" s="83"/>
      <c r="G2189" s="86">
        <f t="shared" ref="G2189:H2190" si="522">G2190</f>
        <v>0</v>
      </c>
      <c r="H2189" s="86">
        <f t="shared" si="522"/>
        <v>0</v>
      </c>
      <c r="I2189" s="171"/>
      <c r="J2189" s="176"/>
      <c r="K2189" s="176"/>
      <c r="L2189" s="176"/>
      <c r="M2189" s="176"/>
      <c r="N2189" s="176"/>
      <c r="O2189" s="176"/>
      <c r="P2189" s="176"/>
      <c r="Q2189" s="176"/>
    </row>
    <row r="2190" spans="1:17" ht="30.75" hidden="1" customHeight="1">
      <c r="A2190" s="81" t="s">
        <v>36</v>
      </c>
      <c r="B2190" s="145">
        <v>795</v>
      </c>
      <c r="C2190" s="83" t="s">
        <v>173</v>
      </c>
      <c r="D2190" s="83" t="s">
        <v>19</v>
      </c>
      <c r="E2190" s="83" t="s">
        <v>84</v>
      </c>
      <c r="F2190" s="83" t="s">
        <v>37</v>
      </c>
      <c r="G2190" s="86">
        <f t="shared" si="522"/>
        <v>0</v>
      </c>
      <c r="H2190" s="86">
        <f t="shared" si="522"/>
        <v>0</v>
      </c>
      <c r="I2190" s="171"/>
      <c r="J2190" s="68"/>
      <c r="K2190" s="68"/>
      <c r="L2190" s="68"/>
      <c r="M2190" s="68"/>
      <c r="N2190" s="68"/>
      <c r="O2190" s="68"/>
      <c r="P2190" s="68"/>
      <c r="Q2190" s="68"/>
    </row>
    <row r="2191" spans="1:17" s="18" customFormat="1" ht="34.5" hidden="1" customHeight="1">
      <c r="A2191" s="81" t="s">
        <v>38</v>
      </c>
      <c r="B2191" s="145">
        <v>795</v>
      </c>
      <c r="C2191" s="83" t="s">
        <v>173</v>
      </c>
      <c r="D2191" s="83" t="s">
        <v>19</v>
      </c>
      <c r="E2191" s="83" t="s">
        <v>84</v>
      </c>
      <c r="F2191" s="83" t="s">
        <v>39</v>
      </c>
      <c r="G2191" s="86"/>
      <c r="H2191" s="86"/>
      <c r="I2191" s="171"/>
      <c r="J2191" s="176"/>
      <c r="K2191" s="176"/>
      <c r="L2191" s="176"/>
      <c r="M2191" s="176"/>
      <c r="N2191" s="176"/>
      <c r="O2191" s="176"/>
      <c r="P2191" s="176"/>
      <c r="Q2191" s="176"/>
    </row>
    <row r="2192" spans="1:17" s="3" customFormat="1" ht="52.5" hidden="1" customHeight="1">
      <c r="A2192" s="81"/>
      <c r="B2192" s="145">
        <v>795</v>
      </c>
      <c r="C2192" s="83"/>
      <c r="D2192" s="83"/>
      <c r="E2192" s="83"/>
      <c r="F2192" s="83"/>
      <c r="G2192" s="86"/>
      <c r="H2192" s="86"/>
      <c r="I2192" s="171"/>
      <c r="J2192" s="62"/>
      <c r="K2192" s="62"/>
      <c r="L2192" s="62"/>
      <c r="M2192" s="62"/>
      <c r="N2192" s="62"/>
      <c r="O2192" s="62"/>
      <c r="P2192" s="62"/>
      <c r="Q2192" s="62"/>
    </row>
    <row r="2193" spans="1:17" s="18" customFormat="1" ht="63" hidden="1" customHeight="1">
      <c r="A2193" s="81" t="s">
        <v>81</v>
      </c>
      <c r="B2193" s="145">
        <v>795</v>
      </c>
      <c r="C2193" s="83" t="s">
        <v>173</v>
      </c>
      <c r="D2193" s="83" t="s">
        <v>19</v>
      </c>
      <c r="E2193" s="83" t="s">
        <v>80</v>
      </c>
      <c r="F2193" s="83"/>
      <c r="G2193" s="86">
        <f t="shared" ref="G2193:H2194" si="523">G2194</f>
        <v>0</v>
      </c>
      <c r="H2193" s="86">
        <f t="shared" si="523"/>
        <v>0</v>
      </c>
      <c r="I2193" s="171"/>
      <c r="J2193" s="176"/>
      <c r="K2193" s="176"/>
      <c r="L2193" s="176"/>
      <c r="M2193" s="176"/>
      <c r="N2193" s="176"/>
      <c r="O2193" s="176"/>
      <c r="P2193" s="176"/>
      <c r="Q2193" s="176"/>
    </row>
    <row r="2194" spans="1:17" ht="30.75" hidden="1" customHeight="1">
      <c r="A2194" s="81" t="s">
        <v>36</v>
      </c>
      <c r="B2194" s="145">
        <v>795</v>
      </c>
      <c r="C2194" s="83" t="s">
        <v>173</v>
      </c>
      <c r="D2194" s="83" t="s">
        <v>19</v>
      </c>
      <c r="E2194" s="83" t="s">
        <v>80</v>
      </c>
      <c r="F2194" s="83" t="s">
        <v>37</v>
      </c>
      <c r="G2194" s="86">
        <f t="shared" si="523"/>
        <v>0</v>
      </c>
      <c r="H2194" s="86">
        <f t="shared" si="523"/>
        <v>0</v>
      </c>
      <c r="I2194" s="171"/>
      <c r="J2194" s="68"/>
      <c r="K2194" s="68"/>
      <c r="L2194" s="68"/>
      <c r="M2194" s="68"/>
      <c r="N2194" s="68"/>
      <c r="O2194" s="68"/>
      <c r="P2194" s="68"/>
      <c r="Q2194" s="68"/>
    </row>
    <row r="2195" spans="1:17" s="18" customFormat="1" ht="34.5" hidden="1" customHeight="1">
      <c r="A2195" s="81" t="s">
        <v>38</v>
      </c>
      <c r="B2195" s="145">
        <v>795</v>
      </c>
      <c r="C2195" s="83" t="s">
        <v>173</v>
      </c>
      <c r="D2195" s="83" t="s">
        <v>19</v>
      </c>
      <c r="E2195" s="83" t="s">
        <v>80</v>
      </c>
      <c r="F2195" s="83" t="s">
        <v>39</v>
      </c>
      <c r="G2195" s="86"/>
      <c r="H2195" s="86"/>
      <c r="I2195" s="171"/>
      <c r="J2195" s="176"/>
      <c r="K2195" s="176"/>
      <c r="L2195" s="176"/>
      <c r="M2195" s="176"/>
      <c r="N2195" s="176"/>
      <c r="O2195" s="176"/>
      <c r="P2195" s="176"/>
      <c r="Q2195" s="176"/>
    </row>
    <row r="2196" spans="1:17" s="18" customFormat="1" ht="35.25" customHeight="1">
      <c r="A2196" s="81" t="s">
        <v>85</v>
      </c>
      <c r="B2196" s="145">
        <v>795</v>
      </c>
      <c r="C2196" s="83" t="s">
        <v>173</v>
      </c>
      <c r="D2196" s="83" t="s">
        <v>19</v>
      </c>
      <c r="E2196" s="83" t="s">
        <v>84</v>
      </c>
      <c r="F2196" s="83"/>
      <c r="G2196" s="86">
        <f t="shared" ref="G2196:H2200" si="524">G2197</f>
        <v>38764.49</v>
      </c>
      <c r="H2196" s="86">
        <f t="shared" si="524"/>
        <v>38022.46</v>
      </c>
      <c r="I2196" s="171"/>
      <c r="J2196" s="176"/>
      <c r="K2196" s="176"/>
      <c r="L2196" s="176"/>
      <c r="M2196" s="176"/>
      <c r="N2196" s="176"/>
      <c r="O2196" s="176"/>
      <c r="P2196" s="176"/>
      <c r="Q2196" s="176"/>
    </row>
    <row r="2197" spans="1:17" ht="35.25" customHeight="1">
      <c r="A2197" s="81" t="s">
        <v>36</v>
      </c>
      <c r="B2197" s="145">
        <v>795</v>
      </c>
      <c r="C2197" s="83" t="s">
        <v>173</v>
      </c>
      <c r="D2197" s="83" t="s">
        <v>19</v>
      </c>
      <c r="E2197" s="83" t="s">
        <v>84</v>
      </c>
      <c r="F2197" s="83" t="s">
        <v>37</v>
      </c>
      <c r="G2197" s="86">
        <f t="shared" si="524"/>
        <v>38764.49</v>
      </c>
      <c r="H2197" s="86">
        <f t="shared" si="524"/>
        <v>38022.46</v>
      </c>
      <c r="I2197" s="171"/>
      <c r="J2197" s="68"/>
      <c r="K2197" s="68"/>
      <c r="L2197" s="68"/>
      <c r="M2197" s="68"/>
      <c r="N2197" s="68"/>
      <c r="O2197" s="68"/>
      <c r="P2197" s="68"/>
      <c r="Q2197" s="68"/>
    </row>
    <row r="2198" spans="1:17" s="18" customFormat="1" ht="35.25" customHeight="1">
      <c r="A2198" s="81" t="s">
        <v>38</v>
      </c>
      <c r="B2198" s="145">
        <v>795</v>
      </c>
      <c r="C2198" s="83" t="s">
        <v>173</v>
      </c>
      <c r="D2198" s="83" t="s">
        <v>19</v>
      </c>
      <c r="E2198" s="83" t="s">
        <v>84</v>
      </c>
      <c r="F2198" s="83" t="s">
        <v>39</v>
      </c>
      <c r="G2198" s="86">
        <v>38764.49</v>
      </c>
      <c r="H2198" s="86">
        <v>38022.46</v>
      </c>
      <c r="I2198" s="171"/>
      <c r="J2198" s="176"/>
      <c r="K2198" s="176"/>
      <c r="L2198" s="176"/>
      <c r="M2198" s="176"/>
      <c r="N2198" s="176"/>
      <c r="O2198" s="176"/>
      <c r="P2198" s="176"/>
      <c r="Q2198" s="176"/>
    </row>
    <row r="2199" spans="1:17" s="18" customFormat="1" ht="60.75" customHeight="1">
      <c r="A2199" s="81" t="s">
        <v>81</v>
      </c>
      <c r="B2199" s="145">
        <v>795</v>
      </c>
      <c r="C2199" s="83" t="s">
        <v>173</v>
      </c>
      <c r="D2199" s="83" t="s">
        <v>19</v>
      </c>
      <c r="E2199" s="83" t="s">
        <v>80</v>
      </c>
      <c r="F2199" s="83"/>
      <c r="G2199" s="86">
        <f t="shared" si="524"/>
        <v>10124.220000000001</v>
      </c>
      <c r="H2199" s="86">
        <f t="shared" si="524"/>
        <v>9120.2800000000007</v>
      </c>
      <c r="I2199" s="171"/>
      <c r="J2199" s="176"/>
      <c r="K2199" s="176"/>
      <c r="L2199" s="176"/>
      <c r="M2199" s="176"/>
      <c r="N2199" s="176"/>
      <c r="O2199" s="176"/>
      <c r="P2199" s="176"/>
      <c r="Q2199" s="176"/>
    </row>
    <row r="2200" spans="1:17" ht="35.25" customHeight="1">
      <c r="A2200" s="81" t="s">
        <v>36</v>
      </c>
      <c r="B2200" s="145">
        <v>795</v>
      </c>
      <c r="C2200" s="83" t="s">
        <v>173</v>
      </c>
      <c r="D2200" s="83" t="s">
        <v>19</v>
      </c>
      <c r="E2200" s="83" t="s">
        <v>80</v>
      </c>
      <c r="F2200" s="83" t="s">
        <v>37</v>
      </c>
      <c r="G2200" s="86">
        <f t="shared" si="524"/>
        <v>10124.220000000001</v>
      </c>
      <c r="H2200" s="86">
        <f t="shared" si="524"/>
        <v>9120.2800000000007</v>
      </c>
      <c r="I2200" s="171"/>
      <c r="J2200" s="68"/>
      <c r="K2200" s="68"/>
      <c r="L2200" s="68"/>
      <c r="M2200" s="68"/>
      <c r="N2200" s="68"/>
      <c r="O2200" s="68"/>
      <c r="P2200" s="68"/>
      <c r="Q2200" s="68"/>
    </row>
    <row r="2201" spans="1:17" s="18" customFormat="1" ht="35.25" customHeight="1">
      <c r="A2201" s="81" t="s">
        <v>38</v>
      </c>
      <c r="B2201" s="145">
        <v>795</v>
      </c>
      <c r="C2201" s="83" t="s">
        <v>173</v>
      </c>
      <c r="D2201" s="83" t="s">
        <v>19</v>
      </c>
      <c r="E2201" s="83" t="s">
        <v>80</v>
      </c>
      <c r="F2201" s="83" t="s">
        <v>39</v>
      </c>
      <c r="G2201" s="86">
        <f>203124.22-193000</f>
        <v>10124.220000000001</v>
      </c>
      <c r="H2201" s="86">
        <v>9120.2800000000007</v>
      </c>
      <c r="I2201" s="171"/>
      <c r="J2201" s="176"/>
      <c r="K2201" s="176"/>
      <c r="L2201" s="176"/>
      <c r="M2201" s="176"/>
      <c r="N2201" s="176"/>
      <c r="O2201" s="176"/>
      <c r="P2201" s="176"/>
      <c r="Q2201" s="176"/>
    </row>
    <row r="2202" spans="1:17" s="18" customFormat="1" ht="51">
      <c r="A2202" s="81" t="s">
        <v>508</v>
      </c>
      <c r="B2202" s="145">
        <v>795</v>
      </c>
      <c r="C2202" s="149" t="s">
        <v>173</v>
      </c>
      <c r="D2202" s="149" t="s">
        <v>19</v>
      </c>
      <c r="E2202" s="83" t="s">
        <v>214</v>
      </c>
      <c r="F2202" s="83"/>
      <c r="G2202" s="86">
        <f>G2209</f>
        <v>110000</v>
      </c>
      <c r="H2202" s="86">
        <f>H2209</f>
        <v>110000</v>
      </c>
      <c r="I2202" s="171"/>
      <c r="J2202" s="176"/>
      <c r="K2202" s="176"/>
      <c r="L2202" s="176"/>
      <c r="M2202" s="176"/>
      <c r="N2202" s="176"/>
      <c r="O2202" s="176"/>
      <c r="P2202" s="176"/>
      <c r="Q2202" s="176"/>
    </row>
    <row r="2203" spans="1:17" s="18" customFormat="1" ht="89.25" hidden="1">
      <c r="A2203" s="81" t="s">
        <v>436</v>
      </c>
      <c r="B2203" s="145">
        <v>795</v>
      </c>
      <c r="C2203" s="149" t="s">
        <v>173</v>
      </c>
      <c r="D2203" s="149" t="s">
        <v>19</v>
      </c>
      <c r="E2203" s="83" t="s">
        <v>519</v>
      </c>
      <c r="F2203" s="83"/>
      <c r="G2203" s="86">
        <f>G2204</f>
        <v>0</v>
      </c>
      <c r="H2203" s="86">
        <f t="shared" ref="H2203:H2207" si="525">H2204</f>
        <v>0</v>
      </c>
      <c r="I2203" s="171"/>
      <c r="J2203" s="176"/>
      <c r="K2203" s="176"/>
      <c r="L2203" s="176"/>
      <c r="M2203" s="176"/>
      <c r="N2203" s="176"/>
      <c r="O2203" s="176"/>
      <c r="P2203" s="176"/>
      <c r="Q2203" s="176"/>
    </row>
    <row r="2204" spans="1:17" s="18" customFormat="1" ht="23.25" hidden="1" customHeight="1">
      <c r="A2204" s="81" t="s">
        <v>63</v>
      </c>
      <c r="B2204" s="145">
        <v>795</v>
      </c>
      <c r="C2204" s="149" t="s">
        <v>173</v>
      </c>
      <c r="D2204" s="149" t="s">
        <v>19</v>
      </c>
      <c r="E2204" s="83" t="s">
        <v>519</v>
      </c>
      <c r="F2204" s="83" t="s">
        <v>64</v>
      </c>
      <c r="G2204" s="86">
        <f>G2205</f>
        <v>0</v>
      </c>
      <c r="H2204" s="86">
        <f t="shared" si="525"/>
        <v>0</v>
      </c>
      <c r="I2204" s="171"/>
      <c r="J2204" s="176"/>
      <c r="K2204" s="176"/>
      <c r="L2204" s="176"/>
      <c r="M2204" s="176"/>
      <c r="N2204" s="176"/>
      <c r="O2204" s="176"/>
      <c r="P2204" s="176"/>
      <c r="Q2204" s="176"/>
    </row>
    <row r="2205" spans="1:17" s="18" customFormat="1" ht="20.25" hidden="1" customHeight="1">
      <c r="A2205" s="129" t="s">
        <v>144</v>
      </c>
      <c r="B2205" s="145">
        <v>795</v>
      </c>
      <c r="C2205" s="149" t="s">
        <v>173</v>
      </c>
      <c r="D2205" s="149" t="s">
        <v>19</v>
      </c>
      <c r="E2205" s="83" t="s">
        <v>519</v>
      </c>
      <c r="F2205" s="83" t="s">
        <v>67</v>
      </c>
      <c r="G2205" s="86"/>
      <c r="H2205" s="86"/>
      <c r="I2205" s="171"/>
      <c r="J2205" s="176"/>
      <c r="K2205" s="176"/>
      <c r="L2205" s="176"/>
      <c r="M2205" s="176"/>
      <c r="N2205" s="176"/>
      <c r="O2205" s="176"/>
      <c r="P2205" s="176"/>
      <c r="Q2205" s="176"/>
    </row>
    <row r="2206" spans="1:17" s="18" customFormat="1" ht="76.5" hidden="1">
      <c r="A2206" s="81" t="s">
        <v>437</v>
      </c>
      <c r="B2206" s="145">
        <v>795</v>
      </c>
      <c r="C2206" s="149" t="s">
        <v>173</v>
      </c>
      <c r="D2206" s="149" t="s">
        <v>19</v>
      </c>
      <c r="E2206" s="83" t="s">
        <v>520</v>
      </c>
      <c r="F2206" s="83"/>
      <c r="G2206" s="86">
        <f>G2207</f>
        <v>0</v>
      </c>
      <c r="H2206" s="86">
        <f t="shared" si="525"/>
        <v>0</v>
      </c>
      <c r="I2206" s="171"/>
      <c r="J2206" s="176"/>
      <c r="K2206" s="176"/>
      <c r="L2206" s="176"/>
      <c r="M2206" s="176"/>
      <c r="N2206" s="176"/>
      <c r="O2206" s="176"/>
      <c r="P2206" s="176"/>
      <c r="Q2206" s="176"/>
    </row>
    <row r="2207" spans="1:17" s="18" customFormat="1" ht="22.5" hidden="1" customHeight="1">
      <c r="A2207" s="81" t="s">
        <v>63</v>
      </c>
      <c r="B2207" s="145">
        <v>795</v>
      </c>
      <c r="C2207" s="149" t="s">
        <v>173</v>
      </c>
      <c r="D2207" s="149" t="s">
        <v>19</v>
      </c>
      <c r="E2207" s="83" t="s">
        <v>520</v>
      </c>
      <c r="F2207" s="83" t="s">
        <v>64</v>
      </c>
      <c r="G2207" s="86">
        <f>G2208</f>
        <v>0</v>
      </c>
      <c r="H2207" s="86">
        <f t="shared" si="525"/>
        <v>0</v>
      </c>
      <c r="I2207" s="171"/>
      <c r="J2207" s="176"/>
      <c r="K2207" s="176"/>
      <c r="L2207" s="176"/>
      <c r="M2207" s="176"/>
      <c r="N2207" s="176"/>
      <c r="O2207" s="176"/>
      <c r="P2207" s="176"/>
      <c r="Q2207" s="176"/>
    </row>
    <row r="2208" spans="1:17" s="18" customFormat="1" ht="17.25" hidden="1" customHeight="1">
      <c r="A2208" s="129" t="s">
        <v>144</v>
      </c>
      <c r="B2208" s="145">
        <v>795</v>
      </c>
      <c r="C2208" s="149" t="s">
        <v>173</v>
      </c>
      <c r="D2208" s="149" t="s">
        <v>19</v>
      </c>
      <c r="E2208" s="83" t="s">
        <v>520</v>
      </c>
      <c r="F2208" s="83" t="s">
        <v>67</v>
      </c>
      <c r="G2208" s="86"/>
      <c r="H2208" s="86"/>
      <c r="I2208" s="171"/>
      <c r="J2208" s="176"/>
      <c r="K2208" s="176"/>
      <c r="L2208" s="176"/>
      <c r="M2208" s="176"/>
      <c r="N2208" s="176"/>
      <c r="O2208" s="176"/>
      <c r="P2208" s="176"/>
      <c r="Q2208" s="176"/>
    </row>
    <row r="2209" spans="1:19" s="46" customFormat="1" ht="48.75" customHeight="1">
      <c r="A2209" s="81" t="s">
        <v>422</v>
      </c>
      <c r="B2209" s="145">
        <v>795</v>
      </c>
      <c r="C2209" s="149" t="s">
        <v>173</v>
      </c>
      <c r="D2209" s="149" t="s">
        <v>19</v>
      </c>
      <c r="E2209" s="83" t="s">
        <v>377</v>
      </c>
      <c r="F2209" s="83"/>
      <c r="G2209" s="86">
        <f>G2210</f>
        <v>110000</v>
      </c>
      <c r="H2209" s="86">
        <f t="shared" ref="G2209:H2210" si="526">H2210</f>
        <v>110000</v>
      </c>
      <c r="I2209" s="171"/>
      <c r="J2209" s="58"/>
      <c r="K2209" s="58"/>
      <c r="L2209" s="58"/>
      <c r="M2209" s="58"/>
      <c r="N2209" s="58"/>
      <c r="O2209" s="58"/>
      <c r="P2209" s="58"/>
      <c r="Q2209" s="58"/>
    </row>
    <row r="2210" spans="1:19" s="46" customFormat="1" ht="21" customHeight="1">
      <c r="A2210" s="81" t="s">
        <v>323</v>
      </c>
      <c r="B2210" s="145">
        <v>795</v>
      </c>
      <c r="C2210" s="149" t="s">
        <v>173</v>
      </c>
      <c r="D2210" s="149" t="s">
        <v>19</v>
      </c>
      <c r="E2210" s="83" t="s">
        <v>377</v>
      </c>
      <c r="F2210" s="83" t="s">
        <v>37</v>
      </c>
      <c r="G2210" s="86">
        <f t="shared" si="526"/>
        <v>110000</v>
      </c>
      <c r="H2210" s="86">
        <f t="shared" si="526"/>
        <v>110000</v>
      </c>
      <c r="I2210" s="171"/>
      <c r="J2210" s="58"/>
      <c r="K2210" s="58"/>
      <c r="L2210" s="58"/>
      <c r="M2210" s="58"/>
      <c r="N2210" s="58"/>
      <c r="O2210" s="58"/>
      <c r="P2210" s="58"/>
      <c r="Q2210" s="58"/>
    </row>
    <row r="2211" spans="1:19" s="46" customFormat="1" ht="28.5" customHeight="1">
      <c r="A2211" s="81" t="s">
        <v>38</v>
      </c>
      <c r="B2211" s="145">
        <v>795</v>
      </c>
      <c r="C2211" s="149" t="s">
        <v>173</v>
      </c>
      <c r="D2211" s="149" t="s">
        <v>19</v>
      </c>
      <c r="E2211" s="83" t="s">
        <v>377</v>
      </c>
      <c r="F2211" s="83" t="s">
        <v>39</v>
      </c>
      <c r="G2211" s="86">
        <v>110000</v>
      </c>
      <c r="H2211" s="86">
        <v>110000</v>
      </c>
      <c r="I2211" s="171"/>
      <c r="J2211" s="58"/>
      <c r="K2211" s="58"/>
      <c r="L2211" s="58"/>
      <c r="M2211" s="58"/>
      <c r="N2211" s="58"/>
      <c r="O2211" s="58"/>
      <c r="P2211" s="58"/>
      <c r="Q2211" s="58"/>
    </row>
    <row r="2212" spans="1:19">
      <c r="A2212" s="131" t="s">
        <v>175</v>
      </c>
      <c r="B2212" s="145">
        <v>795</v>
      </c>
      <c r="C2212" s="83" t="s">
        <v>173</v>
      </c>
      <c r="D2212" s="83" t="s">
        <v>28</v>
      </c>
      <c r="E2212" s="83"/>
      <c r="F2212" s="83"/>
      <c r="G2212" s="86">
        <f>G2213+G2224+G2220</f>
        <v>479586.94</v>
      </c>
      <c r="H2212" s="86">
        <f>H2213+H2224+H2220</f>
        <v>400063.94</v>
      </c>
      <c r="I2212" s="171"/>
      <c r="J2212" s="68"/>
      <c r="K2212" s="68"/>
      <c r="L2212" s="68"/>
      <c r="M2212" s="68"/>
      <c r="N2212" s="68"/>
      <c r="O2212" s="68"/>
      <c r="P2212" s="68"/>
      <c r="Q2212" s="68"/>
    </row>
    <row r="2213" spans="1:19" s="3" customFormat="1" ht="52.5" customHeight="1">
      <c r="A2213" s="81" t="s">
        <v>489</v>
      </c>
      <c r="B2213" s="145">
        <v>795</v>
      </c>
      <c r="C2213" s="83" t="s">
        <v>173</v>
      </c>
      <c r="D2213" s="83" t="s">
        <v>28</v>
      </c>
      <c r="E2213" s="83" t="s">
        <v>295</v>
      </c>
      <c r="F2213" s="83"/>
      <c r="G2213" s="86">
        <f>G2216+G2292+G2294+G2264+G2217</f>
        <v>271694</v>
      </c>
      <c r="H2213" s="86">
        <f>H2216+H2292+H2294+H2264+H2217</f>
        <v>192171</v>
      </c>
      <c r="I2213" s="171"/>
      <c r="J2213" s="62"/>
      <c r="K2213" s="62"/>
      <c r="L2213" s="62"/>
      <c r="M2213" s="62"/>
      <c r="N2213" s="62"/>
      <c r="O2213" s="62"/>
      <c r="P2213" s="62"/>
      <c r="Q2213" s="62"/>
    </row>
    <row r="2214" spans="1:19" ht="28.5" customHeight="1">
      <c r="A2214" s="81" t="s">
        <v>749</v>
      </c>
      <c r="B2214" s="145">
        <v>795</v>
      </c>
      <c r="C2214" s="83" t="s">
        <v>173</v>
      </c>
      <c r="D2214" s="83" t="s">
        <v>28</v>
      </c>
      <c r="E2214" s="83" t="s">
        <v>296</v>
      </c>
      <c r="F2214" s="83"/>
      <c r="G2214" s="86">
        <f>G2215</f>
        <v>224021</v>
      </c>
      <c r="H2214" s="86">
        <f>H2215</f>
        <v>144498</v>
      </c>
      <c r="I2214" s="171"/>
      <c r="J2214" s="68"/>
      <c r="K2214" s="68"/>
      <c r="L2214" s="68"/>
      <c r="M2214" s="68"/>
      <c r="N2214" s="68"/>
      <c r="O2214" s="68"/>
      <c r="P2214" s="68"/>
      <c r="Q2214" s="68"/>
    </row>
    <row r="2215" spans="1:19" ht="25.5">
      <c r="A2215" s="81" t="s">
        <v>36</v>
      </c>
      <c r="B2215" s="145">
        <v>795</v>
      </c>
      <c r="C2215" s="83" t="s">
        <v>173</v>
      </c>
      <c r="D2215" s="83" t="s">
        <v>28</v>
      </c>
      <c r="E2215" s="83" t="s">
        <v>296</v>
      </c>
      <c r="F2215" s="83" t="s">
        <v>37</v>
      </c>
      <c r="G2215" s="86">
        <f t="shared" ref="G2215:H2218" si="527">G2216</f>
        <v>224021</v>
      </c>
      <c r="H2215" s="86">
        <f t="shared" si="527"/>
        <v>144498</v>
      </c>
      <c r="I2215" s="171"/>
      <c r="J2215" s="68"/>
      <c r="K2215" s="68"/>
      <c r="L2215" s="68"/>
      <c r="M2215" s="68"/>
      <c r="N2215" s="68"/>
      <c r="O2215" s="68"/>
      <c r="P2215" s="68"/>
      <c r="Q2215" s="68"/>
    </row>
    <row r="2216" spans="1:19" ht="25.5">
      <c r="A2216" s="81" t="s">
        <v>38</v>
      </c>
      <c r="B2216" s="145">
        <v>795</v>
      </c>
      <c r="C2216" s="83" t="s">
        <v>173</v>
      </c>
      <c r="D2216" s="83" t="s">
        <v>28</v>
      </c>
      <c r="E2216" s="83" t="s">
        <v>296</v>
      </c>
      <c r="F2216" s="83" t="s">
        <v>39</v>
      </c>
      <c r="G2216" s="86">
        <v>224021</v>
      </c>
      <c r="H2216" s="86">
        <v>144498</v>
      </c>
      <c r="I2216" s="171"/>
      <c r="J2216" s="68"/>
      <c r="K2216" s="68"/>
      <c r="L2216" s="68"/>
      <c r="M2216" s="68"/>
      <c r="N2216" s="68"/>
      <c r="O2216" s="68"/>
      <c r="P2216" s="68"/>
      <c r="Q2216" s="68"/>
    </row>
    <row r="2217" spans="1:19" ht="28.5" customHeight="1">
      <c r="A2217" s="81" t="s">
        <v>530</v>
      </c>
      <c r="B2217" s="145">
        <v>795</v>
      </c>
      <c r="C2217" s="83" t="s">
        <v>173</v>
      </c>
      <c r="D2217" s="83" t="s">
        <v>28</v>
      </c>
      <c r="E2217" s="83" t="s">
        <v>529</v>
      </c>
      <c r="F2217" s="83"/>
      <c r="G2217" s="86">
        <f>G2218</f>
        <v>47673</v>
      </c>
      <c r="H2217" s="86">
        <f t="shared" si="527"/>
        <v>47673</v>
      </c>
      <c r="I2217" s="171"/>
      <c r="J2217" s="68"/>
      <c r="K2217" s="68"/>
      <c r="L2217" s="68"/>
      <c r="M2217" s="68"/>
      <c r="N2217" s="68"/>
      <c r="O2217" s="68"/>
      <c r="P2217" s="68"/>
      <c r="Q2217" s="68"/>
    </row>
    <row r="2218" spans="1:19" ht="25.5">
      <c r="A2218" s="81" t="s">
        <v>36</v>
      </c>
      <c r="B2218" s="145">
        <v>795</v>
      </c>
      <c r="C2218" s="83" t="s">
        <v>173</v>
      </c>
      <c r="D2218" s="83" t="s">
        <v>28</v>
      </c>
      <c r="E2218" s="83" t="s">
        <v>529</v>
      </c>
      <c r="F2218" s="83" t="s">
        <v>37</v>
      </c>
      <c r="G2218" s="86">
        <f t="shared" si="527"/>
        <v>47673</v>
      </c>
      <c r="H2218" s="86">
        <f t="shared" si="527"/>
        <v>47673</v>
      </c>
      <c r="I2218" s="171"/>
      <c r="J2218" s="68"/>
      <c r="K2218" s="68"/>
      <c r="L2218" s="68"/>
      <c r="M2218" s="68"/>
      <c r="N2218" s="68"/>
      <c r="O2218" s="68"/>
      <c r="P2218" s="68"/>
      <c r="Q2218" s="68"/>
    </row>
    <row r="2219" spans="1:19" ht="25.5">
      <c r="A2219" s="81" t="s">
        <v>38</v>
      </c>
      <c r="B2219" s="145">
        <v>795</v>
      </c>
      <c r="C2219" s="83" t="s">
        <v>173</v>
      </c>
      <c r="D2219" s="83" t="s">
        <v>28</v>
      </c>
      <c r="E2219" s="83" t="s">
        <v>529</v>
      </c>
      <c r="F2219" s="83" t="s">
        <v>39</v>
      </c>
      <c r="G2219" s="86">
        <v>47673</v>
      </c>
      <c r="H2219" s="86">
        <v>47673</v>
      </c>
      <c r="I2219" s="171"/>
      <c r="J2219" s="68"/>
      <c r="K2219" s="68"/>
      <c r="L2219" s="68"/>
      <c r="M2219" s="68"/>
      <c r="N2219" s="68"/>
      <c r="O2219" s="68"/>
      <c r="P2219" s="68"/>
      <c r="Q2219" s="68"/>
    </row>
    <row r="2220" spans="1:19" s="120" customFormat="1" ht="30.75" customHeight="1">
      <c r="A2220" s="81" t="s">
        <v>1090</v>
      </c>
      <c r="B2220" s="145">
        <v>795</v>
      </c>
      <c r="C2220" s="83" t="s">
        <v>173</v>
      </c>
      <c r="D2220" s="83" t="s">
        <v>28</v>
      </c>
      <c r="E2220" s="83" t="s">
        <v>1089</v>
      </c>
      <c r="F2220" s="83"/>
      <c r="G2220" s="86">
        <f t="shared" ref="G2220:H2222" si="528">G2221</f>
        <v>75032.33</v>
      </c>
      <c r="H2220" s="86">
        <f t="shared" si="528"/>
        <v>75032.33</v>
      </c>
      <c r="I2220" s="119"/>
      <c r="O2220" s="119"/>
      <c r="P2220" s="119"/>
      <c r="Q2220" s="119"/>
      <c r="R2220" s="119"/>
      <c r="S2220" s="119"/>
    </row>
    <row r="2221" spans="1:19" s="120" customFormat="1" ht="24.75" customHeight="1">
      <c r="A2221" s="81" t="s">
        <v>333</v>
      </c>
      <c r="B2221" s="145">
        <v>795</v>
      </c>
      <c r="C2221" s="83" t="s">
        <v>173</v>
      </c>
      <c r="D2221" s="83" t="s">
        <v>28</v>
      </c>
      <c r="E2221" s="83" t="s">
        <v>1088</v>
      </c>
      <c r="F2221" s="83"/>
      <c r="G2221" s="86">
        <f t="shared" si="528"/>
        <v>75032.33</v>
      </c>
      <c r="H2221" s="86">
        <f t="shared" si="528"/>
        <v>75032.33</v>
      </c>
      <c r="I2221" s="119"/>
      <c r="O2221" s="119"/>
      <c r="P2221" s="119"/>
      <c r="Q2221" s="119"/>
      <c r="R2221" s="119"/>
      <c r="S2221" s="119"/>
    </row>
    <row r="2222" spans="1:19" s="120" customFormat="1" ht="26.25" customHeight="1">
      <c r="A2222" s="81" t="s">
        <v>323</v>
      </c>
      <c r="B2222" s="145">
        <v>795</v>
      </c>
      <c r="C2222" s="83" t="s">
        <v>173</v>
      </c>
      <c r="D2222" s="83" t="s">
        <v>28</v>
      </c>
      <c r="E2222" s="83" t="s">
        <v>1088</v>
      </c>
      <c r="F2222" s="83" t="s">
        <v>37</v>
      </c>
      <c r="G2222" s="86">
        <f t="shared" si="528"/>
        <v>75032.33</v>
      </c>
      <c r="H2222" s="86">
        <f t="shared" si="528"/>
        <v>75032.33</v>
      </c>
      <c r="I2222" s="119"/>
      <c r="O2222" s="119"/>
      <c r="P2222" s="119"/>
      <c r="Q2222" s="119"/>
      <c r="R2222" s="119"/>
      <c r="S2222" s="119"/>
    </row>
    <row r="2223" spans="1:19" s="120" customFormat="1" ht="26.25" customHeight="1">
      <c r="A2223" s="81" t="s">
        <v>38</v>
      </c>
      <c r="B2223" s="145">
        <v>795</v>
      </c>
      <c r="C2223" s="83" t="s">
        <v>173</v>
      </c>
      <c r="D2223" s="83" t="s">
        <v>28</v>
      </c>
      <c r="E2223" s="83" t="s">
        <v>1088</v>
      </c>
      <c r="F2223" s="83" t="s">
        <v>39</v>
      </c>
      <c r="G2223" s="86">
        <v>75032.33</v>
      </c>
      <c r="H2223" s="86">
        <v>75032.33</v>
      </c>
      <c r="I2223" s="119"/>
      <c r="O2223" s="119"/>
      <c r="P2223" s="119"/>
      <c r="Q2223" s="119"/>
      <c r="R2223" s="119"/>
      <c r="S2223" s="119"/>
    </row>
    <row r="2224" spans="1:19" s="120" customFormat="1" ht="26.25" customHeight="1">
      <c r="A2224" s="150" t="s">
        <v>164</v>
      </c>
      <c r="B2224" s="145">
        <v>795</v>
      </c>
      <c r="C2224" s="83" t="s">
        <v>173</v>
      </c>
      <c r="D2224" s="83" t="s">
        <v>28</v>
      </c>
      <c r="E2224" s="143" t="s">
        <v>210</v>
      </c>
      <c r="F2224" s="152"/>
      <c r="G2224" s="86">
        <f>G2225</f>
        <v>132860.60999999999</v>
      </c>
      <c r="H2224" s="86">
        <f>H2225</f>
        <v>132860.60999999999</v>
      </c>
      <c r="I2224" s="119"/>
      <c r="O2224" s="119"/>
      <c r="P2224" s="119"/>
      <c r="Q2224" s="119"/>
      <c r="R2224" s="119"/>
      <c r="S2224" s="119"/>
    </row>
    <row r="2225" spans="1:19" s="89" customFormat="1" ht="20.25" customHeight="1">
      <c r="A2225" s="81" t="s">
        <v>333</v>
      </c>
      <c r="B2225" s="145">
        <v>795</v>
      </c>
      <c r="C2225" s="83" t="s">
        <v>173</v>
      </c>
      <c r="D2225" s="83" t="s">
        <v>28</v>
      </c>
      <c r="E2225" s="83" t="s">
        <v>211</v>
      </c>
      <c r="F2225" s="83"/>
      <c r="G2225" s="86">
        <f>G2228</f>
        <v>132860.60999999999</v>
      </c>
      <c r="H2225" s="86">
        <f>H2228</f>
        <v>132860.60999999999</v>
      </c>
      <c r="I2225" s="122"/>
      <c r="O2225" s="122"/>
      <c r="P2225" s="122"/>
      <c r="Q2225" s="122"/>
      <c r="R2225" s="122"/>
      <c r="S2225" s="122"/>
    </row>
    <row r="2226" spans="1:19" s="89" customFormat="1" ht="29.25" hidden="1" customHeight="1">
      <c r="A2226" s="81" t="s">
        <v>30</v>
      </c>
      <c r="B2226" s="145">
        <v>795</v>
      </c>
      <c r="C2226" s="83" t="s">
        <v>173</v>
      </c>
      <c r="D2226" s="83" t="s">
        <v>28</v>
      </c>
      <c r="E2226" s="83" t="s">
        <v>211</v>
      </c>
      <c r="F2226" s="83" t="s">
        <v>31</v>
      </c>
      <c r="G2226" s="86">
        <f>G2227</f>
        <v>0</v>
      </c>
      <c r="H2226" s="86"/>
      <c r="I2226" s="122"/>
      <c r="O2226" s="122"/>
      <c r="P2226" s="122"/>
      <c r="Q2226" s="122"/>
      <c r="R2226" s="122"/>
      <c r="S2226" s="122"/>
    </row>
    <row r="2227" spans="1:19" s="89" customFormat="1" ht="19.5" hidden="1" customHeight="1">
      <c r="A2227" s="81" t="s">
        <v>32</v>
      </c>
      <c r="B2227" s="145">
        <v>795</v>
      </c>
      <c r="C2227" s="83" t="s">
        <v>173</v>
      </c>
      <c r="D2227" s="83" t="s">
        <v>28</v>
      </c>
      <c r="E2227" s="83" t="s">
        <v>211</v>
      </c>
      <c r="F2227" s="83" t="s">
        <v>33</v>
      </c>
      <c r="G2227" s="86"/>
      <c r="H2227" s="86"/>
      <c r="I2227" s="122"/>
      <c r="O2227" s="122"/>
      <c r="P2227" s="122"/>
      <c r="Q2227" s="122"/>
      <c r="R2227" s="122"/>
      <c r="S2227" s="122"/>
    </row>
    <row r="2228" spans="1:19" s="89" customFormat="1">
      <c r="A2228" s="81" t="s">
        <v>63</v>
      </c>
      <c r="B2228" s="145">
        <v>795</v>
      </c>
      <c r="C2228" s="83" t="s">
        <v>173</v>
      </c>
      <c r="D2228" s="83" t="s">
        <v>28</v>
      </c>
      <c r="E2228" s="83" t="s">
        <v>211</v>
      </c>
      <c r="F2228" s="83" t="s">
        <v>37</v>
      </c>
      <c r="G2228" s="86">
        <f t="shared" ref="G2228:H2228" si="529">G2229</f>
        <v>132860.60999999999</v>
      </c>
      <c r="H2228" s="86">
        <f t="shared" si="529"/>
        <v>132860.60999999999</v>
      </c>
      <c r="I2228" s="122"/>
      <c r="O2228" s="122"/>
      <c r="P2228" s="122"/>
      <c r="Q2228" s="122"/>
      <c r="R2228" s="122"/>
      <c r="S2228" s="122"/>
    </row>
    <row r="2229" spans="1:19" s="89" customFormat="1" ht="18.75" customHeight="1">
      <c r="A2229" s="81" t="s">
        <v>328</v>
      </c>
      <c r="B2229" s="145">
        <v>795</v>
      </c>
      <c r="C2229" s="83" t="s">
        <v>173</v>
      </c>
      <c r="D2229" s="83" t="s">
        <v>28</v>
      </c>
      <c r="E2229" s="83" t="s">
        <v>211</v>
      </c>
      <c r="F2229" s="83" t="s">
        <v>39</v>
      </c>
      <c r="G2229" s="86">
        <v>132860.60999999999</v>
      </c>
      <c r="H2229" s="86">
        <v>132860.60999999999</v>
      </c>
      <c r="I2229" s="122"/>
      <c r="O2229" s="122"/>
      <c r="P2229" s="122"/>
      <c r="Q2229" s="122"/>
      <c r="R2229" s="122"/>
      <c r="S2229" s="122"/>
    </row>
    <row r="2230" spans="1:19" s="46" customFormat="1" ht="17.25" customHeight="1">
      <c r="A2230" s="81" t="s">
        <v>284</v>
      </c>
      <c r="B2230" s="145">
        <v>795</v>
      </c>
      <c r="C2230" s="83" t="s">
        <v>173</v>
      </c>
      <c r="D2230" s="83" t="s">
        <v>70</v>
      </c>
      <c r="E2230" s="83"/>
      <c r="F2230" s="83"/>
      <c r="G2230" s="86">
        <f>G2233</f>
        <v>800</v>
      </c>
      <c r="H2230" s="86">
        <f t="shared" ref="H2230" si="530">H2233</f>
        <v>800</v>
      </c>
      <c r="I2230" s="171"/>
      <c r="J2230" s="58"/>
      <c r="K2230" s="58"/>
      <c r="L2230" s="58"/>
      <c r="M2230" s="58"/>
      <c r="N2230" s="58"/>
      <c r="O2230" s="58"/>
      <c r="P2230" s="58"/>
      <c r="Q2230" s="58"/>
    </row>
    <row r="2231" spans="1:19" s="46" customFormat="1" ht="17.25" hidden="1" customHeight="1">
      <c r="A2231" s="81"/>
      <c r="B2231" s="145">
        <v>795</v>
      </c>
      <c r="C2231" s="83"/>
      <c r="D2231" s="83"/>
      <c r="E2231" s="83"/>
      <c r="F2231" s="83"/>
      <c r="G2231" s="86"/>
      <c r="H2231" s="86"/>
      <c r="I2231" s="171"/>
      <c r="J2231" s="58"/>
      <c r="K2231" s="58"/>
      <c r="L2231" s="58"/>
      <c r="M2231" s="58"/>
      <c r="N2231" s="58"/>
      <c r="O2231" s="58"/>
      <c r="P2231" s="58"/>
      <c r="Q2231" s="58"/>
    </row>
    <row r="2232" spans="1:19" s="46" customFormat="1" ht="17.25" hidden="1" customHeight="1">
      <c r="A2232" s="81"/>
      <c r="B2232" s="145">
        <v>795</v>
      </c>
      <c r="C2232" s="83"/>
      <c r="D2232" s="83"/>
      <c r="E2232" s="83"/>
      <c r="F2232" s="83"/>
      <c r="G2232" s="86"/>
      <c r="H2232" s="86"/>
      <c r="I2232" s="171"/>
      <c r="J2232" s="58"/>
      <c r="K2232" s="58"/>
      <c r="L2232" s="58"/>
      <c r="M2232" s="58"/>
      <c r="N2232" s="58"/>
      <c r="O2232" s="58"/>
      <c r="P2232" s="58"/>
      <c r="Q2232" s="58"/>
    </row>
    <row r="2233" spans="1:19" ht="51">
      <c r="A2233" s="81" t="s">
        <v>489</v>
      </c>
      <c r="B2233" s="145">
        <v>795</v>
      </c>
      <c r="C2233" s="83" t="s">
        <v>173</v>
      </c>
      <c r="D2233" s="83" t="s">
        <v>70</v>
      </c>
      <c r="E2233" s="83" t="s">
        <v>295</v>
      </c>
      <c r="F2233" s="83"/>
      <c r="G2233" s="86">
        <f>G2234</f>
        <v>800</v>
      </c>
      <c r="H2233" s="86">
        <f t="shared" ref="H2233" si="531">H2234</f>
        <v>800</v>
      </c>
      <c r="I2233" s="171"/>
      <c r="J2233" s="68"/>
      <c r="K2233" s="68"/>
      <c r="L2233" s="68"/>
      <c r="M2233" s="68"/>
      <c r="N2233" s="68"/>
      <c r="O2233" s="68"/>
      <c r="P2233" s="68"/>
      <c r="Q2233" s="68"/>
    </row>
    <row r="2234" spans="1:19">
      <c r="A2234" s="81" t="s">
        <v>79</v>
      </c>
      <c r="B2234" s="145">
        <v>795</v>
      </c>
      <c r="C2234" s="83" t="s">
        <v>173</v>
      </c>
      <c r="D2234" s="83" t="s">
        <v>70</v>
      </c>
      <c r="E2234" s="83" t="s">
        <v>100</v>
      </c>
      <c r="F2234" s="83"/>
      <c r="G2234" s="86">
        <f>G2235</f>
        <v>800</v>
      </c>
      <c r="H2234" s="86">
        <f t="shared" ref="H2234" si="532">H2235</f>
        <v>800</v>
      </c>
      <c r="I2234" s="171"/>
      <c r="J2234" s="68"/>
      <c r="K2234" s="68"/>
      <c r="L2234" s="68"/>
      <c r="M2234" s="68"/>
      <c r="N2234" s="68"/>
      <c r="O2234" s="68"/>
      <c r="P2234" s="68"/>
      <c r="Q2234" s="68"/>
    </row>
    <row r="2235" spans="1:19" ht="25.5">
      <c r="A2235" s="81" t="s">
        <v>36</v>
      </c>
      <c r="B2235" s="145">
        <v>795</v>
      </c>
      <c r="C2235" s="83" t="s">
        <v>173</v>
      </c>
      <c r="D2235" s="83" t="s">
        <v>70</v>
      </c>
      <c r="E2235" s="83" t="s">
        <v>100</v>
      </c>
      <c r="F2235" s="83" t="s">
        <v>37</v>
      </c>
      <c r="G2235" s="86">
        <f>G2236</f>
        <v>800</v>
      </c>
      <c r="H2235" s="86">
        <f>H2236</f>
        <v>800</v>
      </c>
      <c r="I2235" s="171"/>
      <c r="J2235" s="68"/>
      <c r="K2235" s="68"/>
      <c r="L2235" s="68"/>
      <c r="M2235" s="68"/>
      <c r="N2235" s="68"/>
      <c r="O2235" s="68"/>
      <c r="P2235" s="68"/>
      <c r="Q2235" s="68"/>
    </row>
    <row r="2236" spans="1:19" ht="30.75" customHeight="1">
      <c r="A2236" s="81" t="s">
        <v>38</v>
      </c>
      <c r="B2236" s="145">
        <v>795</v>
      </c>
      <c r="C2236" s="83" t="s">
        <v>173</v>
      </c>
      <c r="D2236" s="83" t="s">
        <v>70</v>
      </c>
      <c r="E2236" s="83" t="s">
        <v>100</v>
      </c>
      <c r="F2236" s="83" t="s">
        <v>39</v>
      </c>
      <c r="G2236" s="86">
        <v>800</v>
      </c>
      <c r="H2236" s="86">
        <v>800</v>
      </c>
      <c r="I2236" s="171"/>
      <c r="J2236" s="68"/>
      <c r="K2236" s="68"/>
      <c r="L2236" s="68"/>
      <c r="M2236" s="68"/>
      <c r="N2236" s="68"/>
      <c r="O2236" s="68"/>
      <c r="P2236" s="68"/>
      <c r="Q2236" s="68"/>
    </row>
    <row r="2237" spans="1:19" ht="30.75" customHeight="1">
      <c r="A2237" s="81" t="s">
        <v>582</v>
      </c>
      <c r="B2237" s="145">
        <v>795</v>
      </c>
      <c r="C2237" s="83" t="s">
        <v>173</v>
      </c>
      <c r="D2237" s="83" t="s">
        <v>173</v>
      </c>
      <c r="E2237" s="83"/>
      <c r="F2237" s="83"/>
      <c r="G2237" s="86">
        <f>G2238</f>
        <v>109067.58</v>
      </c>
      <c r="H2237" s="86">
        <f>H2238</f>
        <v>109067.58</v>
      </c>
      <c r="I2237" s="171"/>
      <c r="J2237" s="68"/>
      <c r="K2237" s="68"/>
      <c r="L2237" s="68"/>
      <c r="M2237" s="68"/>
      <c r="N2237" s="68"/>
      <c r="O2237" s="68"/>
      <c r="P2237" s="68"/>
      <c r="Q2237" s="68"/>
    </row>
    <row r="2238" spans="1:19" s="120" customFormat="1" ht="30.75" customHeight="1">
      <c r="A2238" s="81" t="s">
        <v>1090</v>
      </c>
      <c r="B2238" s="145">
        <v>795</v>
      </c>
      <c r="C2238" s="83" t="s">
        <v>173</v>
      </c>
      <c r="D2238" s="83" t="s">
        <v>173</v>
      </c>
      <c r="E2238" s="83" t="s">
        <v>1089</v>
      </c>
      <c r="F2238" s="83"/>
      <c r="G2238" s="86">
        <f t="shared" ref="G2238:H2240" si="533">G2239</f>
        <v>109067.58</v>
      </c>
      <c r="H2238" s="86">
        <f t="shared" si="533"/>
        <v>109067.58</v>
      </c>
      <c r="I2238" s="119"/>
      <c r="O2238" s="119"/>
      <c r="P2238" s="119"/>
      <c r="Q2238" s="119"/>
      <c r="R2238" s="119"/>
      <c r="S2238" s="119"/>
    </row>
    <row r="2239" spans="1:19" s="120" customFormat="1" ht="24.75" customHeight="1">
      <c r="A2239" s="81" t="s">
        <v>333</v>
      </c>
      <c r="B2239" s="145">
        <v>795</v>
      </c>
      <c r="C2239" s="83" t="s">
        <v>173</v>
      </c>
      <c r="D2239" s="83" t="s">
        <v>173</v>
      </c>
      <c r="E2239" s="83" t="s">
        <v>1088</v>
      </c>
      <c r="F2239" s="83"/>
      <c r="G2239" s="86">
        <f t="shared" si="533"/>
        <v>109067.58</v>
      </c>
      <c r="H2239" s="86">
        <f t="shared" si="533"/>
        <v>109067.58</v>
      </c>
      <c r="I2239" s="119"/>
      <c r="O2239" s="119"/>
      <c r="P2239" s="119"/>
      <c r="Q2239" s="119"/>
      <c r="R2239" s="119"/>
      <c r="S2239" s="119"/>
    </row>
    <row r="2240" spans="1:19" s="120" customFormat="1" ht="26.25" customHeight="1">
      <c r="A2240" s="81" t="s">
        <v>323</v>
      </c>
      <c r="B2240" s="145">
        <v>795</v>
      </c>
      <c r="C2240" s="83" t="s">
        <v>173</v>
      </c>
      <c r="D2240" s="83" t="s">
        <v>173</v>
      </c>
      <c r="E2240" s="83" t="s">
        <v>1088</v>
      </c>
      <c r="F2240" s="83" t="s">
        <v>37</v>
      </c>
      <c r="G2240" s="86">
        <f t="shared" si="533"/>
        <v>109067.58</v>
      </c>
      <c r="H2240" s="86">
        <f t="shared" si="533"/>
        <v>109067.58</v>
      </c>
      <c r="I2240" s="119"/>
      <c r="O2240" s="119"/>
      <c r="P2240" s="119"/>
      <c r="Q2240" s="119"/>
      <c r="R2240" s="119"/>
      <c r="S2240" s="119"/>
    </row>
    <row r="2241" spans="1:19" s="120" customFormat="1" ht="26.25" customHeight="1">
      <c r="A2241" s="81" t="s">
        <v>38</v>
      </c>
      <c r="B2241" s="145">
        <v>795</v>
      </c>
      <c r="C2241" s="83" t="s">
        <v>173</v>
      </c>
      <c r="D2241" s="83" t="s">
        <v>173</v>
      </c>
      <c r="E2241" s="83" t="s">
        <v>1088</v>
      </c>
      <c r="F2241" s="83" t="s">
        <v>39</v>
      </c>
      <c r="G2241" s="86">
        <v>109067.58</v>
      </c>
      <c r="H2241" s="86">
        <v>109067.58</v>
      </c>
      <c r="I2241" s="119"/>
      <c r="O2241" s="119"/>
      <c r="P2241" s="119"/>
      <c r="Q2241" s="119"/>
      <c r="R2241" s="119"/>
      <c r="S2241" s="119"/>
    </row>
    <row r="2242" spans="1:19" s="22" customFormat="1" ht="22.5" customHeight="1">
      <c r="A2242" s="150" t="s">
        <v>2</v>
      </c>
      <c r="B2242" s="151">
        <v>795</v>
      </c>
      <c r="C2242" s="152" t="s">
        <v>161</v>
      </c>
      <c r="D2242" s="152"/>
      <c r="E2242" s="152"/>
      <c r="F2242" s="152"/>
      <c r="G2242" s="153">
        <f>G2243</f>
        <v>28332.400000000001</v>
      </c>
      <c r="H2242" s="153">
        <f t="shared" ref="H2242:H2243" si="534">H2243</f>
        <v>0</v>
      </c>
      <c r="I2242" s="187"/>
      <c r="J2242" s="61"/>
      <c r="K2242" s="61"/>
      <c r="L2242" s="61"/>
      <c r="M2242" s="61"/>
      <c r="N2242" s="61"/>
      <c r="O2242" s="61"/>
      <c r="P2242" s="242"/>
      <c r="Q2242" s="61"/>
    </row>
    <row r="2243" spans="1:19" s="3" customFormat="1" ht="24.75" customHeight="1">
      <c r="A2243" s="81" t="s">
        <v>352</v>
      </c>
      <c r="B2243" s="145">
        <v>795</v>
      </c>
      <c r="C2243" s="83" t="s">
        <v>161</v>
      </c>
      <c r="D2243" s="83" t="s">
        <v>173</v>
      </c>
      <c r="E2243" s="83"/>
      <c r="F2243" s="83"/>
      <c r="G2243" s="86">
        <f>G2244</f>
        <v>28332.400000000001</v>
      </c>
      <c r="H2243" s="86">
        <f t="shared" si="534"/>
        <v>0</v>
      </c>
      <c r="I2243" s="171"/>
      <c r="J2243" s="62"/>
      <c r="K2243" s="62"/>
      <c r="L2243" s="62"/>
      <c r="M2243" s="62"/>
      <c r="N2243" s="62"/>
      <c r="O2243" s="62"/>
      <c r="P2243" s="62"/>
      <c r="Q2243" s="62"/>
    </row>
    <row r="2244" spans="1:19" s="3" customFormat="1" ht="38.25" customHeight="1">
      <c r="A2244" s="81" t="s">
        <v>474</v>
      </c>
      <c r="B2244" s="145">
        <v>795</v>
      </c>
      <c r="C2244" s="83" t="s">
        <v>161</v>
      </c>
      <c r="D2244" s="83" t="s">
        <v>173</v>
      </c>
      <c r="E2244" s="83" t="s">
        <v>261</v>
      </c>
      <c r="F2244" s="83"/>
      <c r="G2244" s="86">
        <f>G2247</f>
        <v>28332.400000000001</v>
      </c>
      <c r="H2244" s="86">
        <f t="shared" ref="H2244" si="535">H2247</f>
        <v>0</v>
      </c>
      <c r="I2244" s="171"/>
      <c r="J2244" s="62"/>
      <c r="K2244" s="62"/>
      <c r="L2244" s="62"/>
      <c r="M2244" s="62"/>
      <c r="N2244" s="62"/>
      <c r="O2244" s="62"/>
      <c r="P2244" s="62"/>
      <c r="Q2244" s="62"/>
    </row>
    <row r="2245" spans="1:19" s="3" customFormat="1" ht="38.25" customHeight="1">
      <c r="A2245" s="81" t="s">
        <v>527</v>
      </c>
      <c r="B2245" s="145">
        <v>795</v>
      </c>
      <c r="C2245" s="83" t="s">
        <v>161</v>
      </c>
      <c r="D2245" s="83" t="s">
        <v>173</v>
      </c>
      <c r="E2245" s="83" t="s">
        <v>528</v>
      </c>
      <c r="F2245" s="83"/>
      <c r="G2245" s="86">
        <f>G2246</f>
        <v>28332.400000000001</v>
      </c>
      <c r="H2245" s="86">
        <f t="shared" ref="H2245:H2246" si="536">H2246</f>
        <v>0</v>
      </c>
      <c r="I2245" s="172"/>
      <c r="J2245" s="62"/>
      <c r="K2245" s="62"/>
      <c r="L2245" s="62"/>
      <c r="M2245" s="62"/>
      <c r="N2245" s="62"/>
      <c r="O2245" s="62"/>
      <c r="P2245" s="62"/>
      <c r="Q2245" s="62"/>
    </row>
    <row r="2246" spans="1:19" s="3" customFormat="1" ht="38.25" customHeight="1">
      <c r="A2246" s="81" t="s">
        <v>36</v>
      </c>
      <c r="B2246" s="145">
        <v>795</v>
      </c>
      <c r="C2246" s="83" t="s">
        <v>161</v>
      </c>
      <c r="D2246" s="83" t="s">
        <v>173</v>
      </c>
      <c r="E2246" s="83" t="s">
        <v>528</v>
      </c>
      <c r="F2246" s="83" t="s">
        <v>37</v>
      </c>
      <c r="G2246" s="86">
        <f>G2247</f>
        <v>28332.400000000001</v>
      </c>
      <c r="H2246" s="86">
        <f t="shared" si="536"/>
        <v>0</v>
      </c>
      <c r="I2246" s="172"/>
      <c r="J2246" s="62"/>
      <c r="K2246" s="62"/>
      <c r="L2246" s="62"/>
      <c r="M2246" s="62"/>
      <c r="N2246" s="62"/>
      <c r="O2246" s="62"/>
      <c r="P2246" s="62"/>
      <c r="Q2246" s="62"/>
    </row>
    <row r="2247" spans="1:19" s="3" customFormat="1" ht="38.25" customHeight="1">
      <c r="A2247" s="81" t="s">
        <v>38</v>
      </c>
      <c r="B2247" s="145">
        <v>795</v>
      </c>
      <c r="C2247" s="83" t="s">
        <v>161</v>
      </c>
      <c r="D2247" s="83" t="s">
        <v>173</v>
      </c>
      <c r="E2247" s="83" t="s">
        <v>528</v>
      </c>
      <c r="F2247" s="83" t="s">
        <v>39</v>
      </c>
      <c r="G2247" s="86">
        <v>28332.400000000001</v>
      </c>
      <c r="H2247" s="86">
        <v>0</v>
      </c>
      <c r="I2247" s="171"/>
      <c r="J2247" s="62"/>
      <c r="K2247" s="62"/>
      <c r="L2247" s="62"/>
      <c r="M2247" s="62"/>
      <c r="N2247" s="62"/>
      <c r="O2247" s="62"/>
      <c r="P2247" s="62"/>
      <c r="Q2247" s="62"/>
    </row>
    <row r="2248" spans="1:19" s="120" customFormat="1">
      <c r="A2248" s="266" t="s">
        <v>74</v>
      </c>
      <c r="B2248" s="257"/>
      <c r="C2248" s="158"/>
      <c r="D2248" s="158"/>
      <c r="E2248" s="158"/>
      <c r="F2248" s="158"/>
      <c r="G2248" s="95">
        <f>G2149+G2242+G2186+G2140</f>
        <v>2505814.7599999998</v>
      </c>
      <c r="H2248" s="95">
        <f>H2149+H2242+H2186+H2140</f>
        <v>2340338.35</v>
      </c>
      <c r="I2248" s="183"/>
      <c r="J2248" s="198"/>
      <c r="K2248" s="198"/>
      <c r="L2248" s="198"/>
      <c r="M2248" s="198"/>
      <c r="N2248" s="198"/>
      <c r="O2248" s="198"/>
      <c r="P2248" s="198"/>
      <c r="Q2248" s="198"/>
    </row>
    <row r="2249" spans="1:19" s="89" customFormat="1" ht="25.5">
      <c r="A2249" s="302" t="s">
        <v>976</v>
      </c>
      <c r="B2249" s="299">
        <v>799</v>
      </c>
      <c r="C2249" s="306"/>
      <c r="D2249" s="306"/>
      <c r="E2249" s="306"/>
      <c r="F2249" s="306"/>
      <c r="G2249" s="305"/>
      <c r="H2249" s="305"/>
      <c r="I2249" s="188"/>
      <c r="J2249" s="200"/>
      <c r="K2249" s="177"/>
      <c r="L2249" s="177"/>
      <c r="M2249" s="177"/>
      <c r="N2249" s="177"/>
      <c r="O2249" s="177"/>
      <c r="P2249" s="177"/>
      <c r="Q2249" s="177"/>
    </row>
    <row r="2250" spans="1:19" s="33" customFormat="1" ht="39" customHeight="1">
      <c r="A2250" s="132" t="s">
        <v>366</v>
      </c>
      <c r="B2250" s="145">
        <v>799</v>
      </c>
      <c r="C2250" s="83" t="s">
        <v>19</v>
      </c>
      <c r="D2250" s="83" t="s">
        <v>161</v>
      </c>
      <c r="E2250" s="83"/>
      <c r="F2250" s="83"/>
      <c r="G2250" s="86">
        <f>G2252+G2259</f>
        <v>2477384.79</v>
      </c>
      <c r="H2250" s="86">
        <f>H2252+H2259</f>
        <v>2466230.67</v>
      </c>
      <c r="I2250" s="171"/>
      <c r="J2250" s="202"/>
      <c r="K2250" s="202"/>
      <c r="L2250" s="202"/>
      <c r="M2250" s="202"/>
      <c r="N2250" s="202"/>
      <c r="O2250" s="202"/>
      <c r="P2250" s="202"/>
      <c r="Q2250" s="202"/>
    </row>
    <row r="2251" spans="1:19" s="3" customFormat="1" ht="38.25" hidden="1">
      <c r="A2251" s="81" t="s">
        <v>160</v>
      </c>
      <c r="B2251" s="145"/>
      <c r="C2251" s="83" t="s">
        <v>19</v>
      </c>
      <c r="D2251" s="83" t="s">
        <v>161</v>
      </c>
      <c r="E2251" s="83"/>
      <c r="F2251" s="83"/>
      <c r="G2251" s="86"/>
      <c r="H2251" s="86"/>
      <c r="I2251" s="171"/>
      <c r="J2251" s="190"/>
      <c r="K2251" s="190"/>
      <c r="L2251" s="190"/>
      <c r="M2251" s="190"/>
      <c r="N2251" s="190"/>
      <c r="O2251" s="190"/>
      <c r="P2251" s="190"/>
      <c r="Q2251" s="190"/>
    </row>
    <row r="2252" spans="1:19" s="46" customFormat="1" ht="25.5">
      <c r="A2252" s="81" t="s">
        <v>838</v>
      </c>
      <c r="B2252" s="145">
        <v>799</v>
      </c>
      <c r="C2252" s="83" t="s">
        <v>19</v>
      </c>
      <c r="D2252" s="83" t="s">
        <v>161</v>
      </c>
      <c r="E2252" s="83" t="s">
        <v>839</v>
      </c>
      <c r="F2252" s="83"/>
      <c r="G2252" s="86">
        <f>G2254</f>
        <v>2429370.29</v>
      </c>
      <c r="H2252" s="86">
        <f>H2254</f>
        <v>2418905.17</v>
      </c>
      <c r="I2252" s="171"/>
      <c r="J2252" s="213"/>
      <c r="K2252" s="213"/>
      <c r="L2252" s="213"/>
      <c r="M2252" s="213"/>
      <c r="N2252" s="213"/>
      <c r="O2252" s="213"/>
      <c r="P2252" s="213"/>
      <c r="Q2252" s="213"/>
    </row>
    <row r="2253" spans="1:19" s="46" customFormat="1" hidden="1">
      <c r="A2253" s="142"/>
      <c r="B2253" s="145"/>
      <c r="C2253" s="83"/>
      <c r="D2253" s="83"/>
      <c r="E2253" s="83"/>
      <c r="F2253" s="83"/>
      <c r="G2253" s="86"/>
      <c r="H2253" s="86"/>
      <c r="I2253" s="171"/>
      <c r="J2253" s="213"/>
      <c r="K2253" s="213"/>
      <c r="L2253" s="213"/>
      <c r="M2253" s="213"/>
      <c r="N2253" s="213"/>
      <c r="O2253" s="177"/>
      <c r="P2253" s="213"/>
      <c r="Q2253" s="213"/>
    </row>
    <row r="2254" spans="1:19" s="46" customFormat="1" ht="25.5">
      <c r="A2254" s="81" t="s">
        <v>76</v>
      </c>
      <c r="B2254" s="145">
        <v>799</v>
      </c>
      <c r="C2254" s="83" t="s">
        <v>19</v>
      </c>
      <c r="D2254" s="83" t="s">
        <v>161</v>
      </c>
      <c r="E2254" s="83" t="s">
        <v>840</v>
      </c>
      <c r="F2254" s="83"/>
      <c r="G2254" s="86">
        <f>G2255+G2257</f>
        <v>2429370.29</v>
      </c>
      <c r="H2254" s="86">
        <f t="shared" ref="H2254" si="537">H2255+H2257</f>
        <v>2418905.17</v>
      </c>
      <c r="I2254" s="171"/>
      <c r="J2254" s="213"/>
      <c r="K2254" s="213"/>
      <c r="L2254" s="213"/>
      <c r="M2254" s="213"/>
      <c r="N2254" s="213"/>
      <c r="O2254" s="213"/>
      <c r="P2254" s="213"/>
      <c r="Q2254" s="213"/>
    </row>
    <row r="2255" spans="1:19" s="3" customFormat="1" ht="63.75">
      <c r="A2255" s="142" t="s">
        <v>55</v>
      </c>
      <c r="B2255" s="145">
        <v>799</v>
      </c>
      <c r="C2255" s="83" t="s">
        <v>19</v>
      </c>
      <c r="D2255" s="83" t="s">
        <v>161</v>
      </c>
      <c r="E2255" s="83" t="s">
        <v>840</v>
      </c>
      <c r="F2255" s="83" t="s">
        <v>58</v>
      </c>
      <c r="G2255" s="86">
        <f>G2256</f>
        <v>2295770.29</v>
      </c>
      <c r="H2255" s="86">
        <f>H2256</f>
        <v>2291673.59</v>
      </c>
      <c r="I2255" s="171"/>
      <c r="J2255" s="190"/>
      <c r="K2255" s="190"/>
      <c r="L2255" s="190"/>
      <c r="M2255" s="190"/>
      <c r="N2255" s="190"/>
      <c r="O2255" s="190"/>
      <c r="P2255" s="213"/>
      <c r="Q2255" s="190"/>
    </row>
    <row r="2256" spans="1:19" s="3" customFormat="1" ht="25.5">
      <c r="A2256" s="142" t="s">
        <v>56</v>
      </c>
      <c r="B2256" s="145">
        <v>799</v>
      </c>
      <c r="C2256" s="83" t="s">
        <v>19</v>
      </c>
      <c r="D2256" s="83" t="s">
        <v>161</v>
      </c>
      <c r="E2256" s="83" t="s">
        <v>840</v>
      </c>
      <c r="F2256" s="83" t="s">
        <v>59</v>
      </c>
      <c r="G2256" s="86">
        <f>1944977+350793.29</f>
        <v>2295770.29</v>
      </c>
      <c r="H2256" s="86">
        <v>2291673.59</v>
      </c>
      <c r="I2256" s="171"/>
      <c r="J2256" s="190"/>
      <c r="K2256" s="190"/>
      <c r="L2256" s="190"/>
      <c r="M2256" s="190"/>
      <c r="N2256" s="190"/>
      <c r="O2256" s="190"/>
      <c r="P2256" s="213"/>
      <c r="Q2256" s="190"/>
    </row>
    <row r="2257" spans="1:17" s="3" customFormat="1" ht="25.5">
      <c r="A2257" s="81" t="s">
        <v>36</v>
      </c>
      <c r="B2257" s="145">
        <v>799</v>
      </c>
      <c r="C2257" s="83" t="s">
        <v>19</v>
      </c>
      <c r="D2257" s="83" t="s">
        <v>161</v>
      </c>
      <c r="E2257" s="83" t="s">
        <v>840</v>
      </c>
      <c r="F2257" s="83" t="s">
        <v>37</v>
      </c>
      <c r="G2257" s="86">
        <f>G2258</f>
        <v>133600</v>
      </c>
      <c r="H2257" s="86">
        <f>H2258</f>
        <v>127231.58</v>
      </c>
      <c r="I2257" s="171"/>
      <c r="J2257" s="190"/>
      <c r="K2257" s="190"/>
      <c r="L2257" s="190"/>
      <c r="M2257" s="190"/>
      <c r="N2257" s="190"/>
      <c r="O2257" s="190"/>
      <c r="P2257" s="213"/>
      <c r="Q2257" s="190"/>
    </row>
    <row r="2258" spans="1:17" s="3" customFormat="1" ht="25.5">
      <c r="A2258" s="81" t="s">
        <v>38</v>
      </c>
      <c r="B2258" s="145">
        <v>799</v>
      </c>
      <c r="C2258" s="83" t="s">
        <v>19</v>
      </c>
      <c r="D2258" s="83" t="s">
        <v>161</v>
      </c>
      <c r="E2258" s="83" t="s">
        <v>840</v>
      </c>
      <c r="F2258" s="83" t="s">
        <v>39</v>
      </c>
      <c r="G2258" s="86">
        <v>133600</v>
      </c>
      <c r="H2258" s="86">
        <v>127231.58</v>
      </c>
      <c r="I2258" s="171"/>
      <c r="J2258" s="190"/>
      <c r="K2258" s="190"/>
      <c r="L2258" s="190"/>
      <c r="M2258" s="190"/>
      <c r="N2258" s="190"/>
      <c r="O2258" s="190"/>
      <c r="P2258" s="213"/>
      <c r="Q2258" s="190"/>
    </row>
    <row r="2259" spans="1:17" s="3" customFormat="1" ht="66" customHeight="1">
      <c r="A2259" s="132" t="s">
        <v>140</v>
      </c>
      <c r="B2259" s="145">
        <v>799</v>
      </c>
      <c r="C2259" s="83" t="s">
        <v>19</v>
      </c>
      <c r="D2259" s="83" t="s">
        <v>161</v>
      </c>
      <c r="E2259" s="83" t="s">
        <v>943</v>
      </c>
      <c r="F2259" s="83"/>
      <c r="G2259" s="86">
        <f t="shared" ref="G2259:H2260" si="538">G2260</f>
        <v>48014.5</v>
      </c>
      <c r="H2259" s="86">
        <f t="shared" si="538"/>
        <v>47325.5</v>
      </c>
      <c r="I2259" s="171"/>
      <c r="J2259" s="190"/>
      <c r="K2259" s="190"/>
      <c r="L2259" s="190"/>
      <c r="M2259" s="190"/>
      <c r="N2259" s="190"/>
      <c r="O2259" s="190"/>
      <c r="P2259" s="190"/>
      <c r="Q2259" s="190"/>
    </row>
    <row r="2260" spans="1:17" s="3" customFormat="1" ht="25.5">
      <c r="A2260" s="81" t="s">
        <v>36</v>
      </c>
      <c r="B2260" s="145">
        <v>799</v>
      </c>
      <c r="C2260" s="83" t="s">
        <v>19</v>
      </c>
      <c r="D2260" s="83" t="s">
        <v>161</v>
      </c>
      <c r="E2260" s="83" t="s">
        <v>943</v>
      </c>
      <c r="F2260" s="83" t="s">
        <v>37</v>
      </c>
      <c r="G2260" s="86">
        <f t="shared" si="538"/>
        <v>48014.5</v>
      </c>
      <c r="H2260" s="86">
        <f t="shared" si="538"/>
        <v>47325.5</v>
      </c>
      <c r="I2260" s="171"/>
      <c r="J2260" s="190"/>
      <c r="K2260" s="190"/>
      <c r="L2260" s="190"/>
      <c r="M2260" s="190"/>
      <c r="N2260" s="190"/>
      <c r="O2260" s="190"/>
      <c r="P2260" s="190"/>
      <c r="Q2260" s="190"/>
    </row>
    <row r="2261" spans="1:17" s="3" customFormat="1" ht="25.5">
      <c r="A2261" s="81" t="s">
        <v>38</v>
      </c>
      <c r="B2261" s="145">
        <v>799</v>
      </c>
      <c r="C2261" s="83" t="s">
        <v>19</v>
      </c>
      <c r="D2261" s="83" t="s">
        <v>161</v>
      </c>
      <c r="E2261" s="83" t="s">
        <v>943</v>
      </c>
      <c r="F2261" s="83" t="s">
        <v>39</v>
      </c>
      <c r="G2261" s="86">
        <v>48014.5</v>
      </c>
      <c r="H2261" s="86">
        <v>47325.5</v>
      </c>
      <c r="I2261" s="171"/>
      <c r="J2261" s="190"/>
      <c r="K2261" s="190"/>
      <c r="L2261" s="190"/>
      <c r="M2261" s="190"/>
      <c r="N2261" s="190"/>
      <c r="O2261" s="190"/>
      <c r="P2261" s="190"/>
      <c r="Q2261" s="190"/>
    </row>
    <row r="2262" spans="1:17" s="120" customFormat="1">
      <c r="A2262" s="266" t="s">
        <v>74</v>
      </c>
      <c r="B2262" s="257"/>
      <c r="C2262" s="158"/>
      <c r="D2262" s="158"/>
      <c r="E2262" s="158"/>
      <c r="F2262" s="158"/>
      <c r="G2262" s="95">
        <f>G2250</f>
        <v>2477384.79</v>
      </c>
      <c r="H2262" s="95">
        <f t="shared" ref="H2262" si="539">H2250</f>
        <v>2466230.67</v>
      </c>
      <c r="I2262" s="183"/>
      <c r="J2262" s="198"/>
      <c r="K2262" s="198"/>
      <c r="L2262" s="198"/>
      <c r="M2262" s="198"/>
      <c r="N2262" s="198"/>
      <c r="O2262" s="198"/>
      <c r="P2262" s="198"/>
      <c r="Q2262" s="198"/>
    </row>
    <row r="2263" spans="1:17" s="22" customFormat="1" ht="21" customHeight="1">
      <c r="A2263" s="244" t="s">
        <v>368</v>
      </c>
      <c r="B2263" s="257"/>
      <c r="C2263" s="257"/>
      <c r="D2263" s="257"/>
      <c r="E2263" s="257"/>
      <c r="F2263" s="257"/>
      <c r="G2263" s="95">
        <f>G372+G447+G1048+G1121+G1799+G2262+G2138++G1827+G2248</f>
        <v>1869130351.3000004</v>
      </c>
      <c r="H2263" s="95">
        <f>H372+H447+H1048+H1121+H1799+H2262+H2138++H1827+H2248</f>
        <v>1822922638.4800003</v>
      </c>
      <c r="I2263" s="183"/>
      <c r="J2263" s="199"/>
      <c r="K2263" s="199"/>
      <c r="L2263" s="199"/>
      <c r="M2263" s="198"/>
      <c r="N2263" s="198"/>
      <c r="O2263" s="198"/>
      <c r="P2263" s="198"/>
      <c r="Q2263" s="198"/>
    </row>
    <row r="2264" spans="1:17">
      <c r="A2264" s="89"/>
      <c r="B2264" s="277"/>
      <c r="C2264" s="277"/>
      <c r="D2264" s="277"/>
      <c r="E2264" s="277"/>
      <c r="F2264" s="277"/>
      <c r="G2264" s="88"/>
      <c r="H2264" s="88"/>
      <c r="J2264" s="198"/>
      <c r="K2264" s="198"/>
    </row>
    <row r="2265" spans="1:17">
      <c r="A2265" s="89"/>
      <c r="B2265" s="277"/>
      <c r="C2265" s="277"/>
      <c r="D2265" s="277"/>
      <c r="E2265" s="277"/>
      <c r="F2265" s="277"/>
      <c r="G2265" s="88"/>
      <c r="H2265" s="88"/>
      <c r="J2265" s="198"/>
      <c r="K2265" s="198"/>
    </row>
    <row r="2266" spans="1:17">
      <c r="A2266" s="89"/>
      <c r="B2266" s="277"/>
      <c r="C2266" s="277"/>
      <c r="D2266" s="277"/>
      <c r="E2266" s="277"/>
      <c r="F2266" s="277"/>
      <c r="G2266" s="88"/>
      <c r="H2266" s="88"/>
      <c r="J2266" s="198"/>
      <c r="K2266" s="198"/>
    </row>
    <row r="2267" spans="1:17">
      <c r="J2267" s="198"/>
      <c r="K2267" s="198"/>
    </row>
    <row r="2268" spans="1:17">
      <c r="H2268" s="88"/>
      <c r="J2268" s="198"/>
      <c r="K2268" s="198"/>
    </row>
    <row r="2269" spans="1:17">
      <c r="J2269" s="198"/>
      <c r="K2269" s="198"/>
    </row>
    <row r="2270" spans="1:17">
      <c r="J2270" s="198"/>
      <c r="K2270" s="198"/>
    </row>
    <row r="2271" spans="1:17">
      <c r="B2271" s="1"/>
      <c r="C2271" s="1"/>
      <c r="D2271" s="1"/>
      <c r="J2271" s="198"/>
      <c r="K2271" s="198"/>
    </row>
    <row r="2272" spans="1:17">
      <c r="B2272" s="1"/>
      <c r="C2272" s="1"/>
      <c r="D2272" s="1"/>
      <c r="J2272" s="198"/>
      <c r="K2272" s="198"/>
      <c r="L2272" s="1"/>
      <c r="M2272" s="1"/>
      <c r="N2272" s="1"/>
      <c r="O2272" s="1"/>
      <c r="P2272" s="1"/>
      <c r="Q2272" s="1"/>
    </row>
    <row r="2273" spans="2:17">
      <c r="B2273" s="1"/>
      <c r="C2273" s="1"/>
      <c r="D2273" s="1"/>
      <c r="J2273" s="199"/>
      <c r="K2273" s="198"/>
      <c r="L2273" s="1"/>
      <c r="M2273" s="1"/>
      <c r="N2273" s="1"/>
      <c r="O2273" s="1"/>
      <c r="P2273" s="1"/>
      <c r="Q2273" s="1"/>
    </row>
    <row r="2275" spans="2:17">
      <c r="G2275" s="88"/>
      <c r="H2275" s="88"/>
      <c r="L2275" s="1"/>
      <c r="M2275" s="1"/>
      <c r="N2275" s="1"/>
      <c r="O2275" s="1"/>
      <c r="P2275" s="1"/>
      <c r="Q2275" s="1"/>
    </row>
    <row r="2278" spans="2:17">
      <c r="B2278" s="1"/>
      <c r="C2278" s="1"/>
      <c r="D2278" s="1"/>
      <c r="E2278" s="1"/>
      <c r="F2278" s="1"/>
      <c r="G2278" s="1"/>
      <c r="H2278" s="1"/>
      <c r="I2278" s="177"/>
      <c r="L2278" s="1"/>
      <c r="M2278" s="1"/>
      <c r="N2278" s="1"/>
      <c r="O2278" s="1"/>
      <c r="P2278" s="1"/>
      <c r="Q2278" s="1"/>
    </row>
    <row r="2279" spans="2:17">
      <c r="I2279" s="172"/>
      <c r="L2279" s="1"/>
      <c r="M2279" s="1"/>
      <c r="N2279" s="1"/>
      <c r="O2279" s="1"/>
      <c r="P2279" s="1"/>
      <c r="Q2279" s="1"/>
    </row>
    <row r="2281" spans="2:17">
      <c r="J2281" s="173"/>
      <c r="K2281" s="173"/>
      <c r="L2281" s="1"/>
      <c r="M2281" s="1"/>
      <c r="N2281" s="1"/>
      <c r="O2281" s="1"/>
      <c r="P2281" s="1"/>
      <c r="Q2281" s="1"/>
    </row>
    <row r="2294" spans="2:17"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200"/>
      <c r="Q2294" s="1"/>
    </row>
    <row r="2295" spans="2:17"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200"/>
      <c r="Q2295" s="1"/>
    </row>
  </sheetData>
  <mergeCells count="12">
    <mergeCell ref="A3:H3"/>
    <mergeCell ref="F1:H1"/>
    <mergeCell ref="F2:H2"/>
    <mergeCell ref="A4:A6"/>
    <mergeCell ref="D4:D6"/>
    <mergeCell ref="C4:C6"/>
    <mergeCell ref="B4:B6"/>
    <mergeCell ref="H5:H6"/>
    <mergeCell ref="F4:F6"/>
    <mergeCell ref="E4:E6"/>
    <mergeCell ref="G5:G6"/>
    <mergeCell ref="G4:H4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30" max="8" man="1"/>
    <brk id="1610" max="7" man="1"/>
    <brk id="1745" max="8" man="1"/>
    <brk id="2185" max="8" man="1"/>
    <brk id="22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549"/>
  <sheetViews>
    <sheetView tabSelected="1" view="pageBreakPreview" zoomScaleNormal="93" zoomScaleSheetLayoutView="100" workbookViewId="0">
      <selection activeCell="E2" sqref="E2:G2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8" customWidth="1"/>
    <col min="8" max="8" width="21.5703125" style="88" customWidth="1"/>
    <col min="9" max="9" width="11.42578125" style="2" hidden="1" customWidth="1"/>
    <col min="10" max="11" width="13.85546875" style="1" hidden="1" customWidth="1"/>
    <col min="12" max="12" width="11.7109375" style="1" hidden="1" customWidth="1"/>
    <col min="13" max="14" width="0" style="1" hidden="1" customWidth="1"/>
    <col min="15" max="15" width="13.85546875" style="2" bestFit="1" customWidth="1"/>
    <col min="16" max="16" width="16.140625" style="2" customWidth="1"/>
    <col min="17" max="17" width="14.7109375" style="2" customWidth="1"/>
    <col min="18" max="18" width="13.42578125" style="2" customWidth="1"/>
    <col min="19" max="19" width="9.140625" style="2"/>
    <col min="20" max="16384" width="9.140625" style="1"/>
  </cols>
  <sheetData>
    <row r="1" spans="1:19" ht="12.75" customHeight="1">
      <c r="E1" s="311" t="s">
        <v>914</v>
      </c>
      <c r="F1" s="311"/>
      <c r="G1" s="311"/>
      <c r="H1" s="294"/>
      <c r="I1" s="173"/>
      <c r="J1" s="177"/>
      <c r="K1" s="177"/>
      <c r="L1" s="177"/>
      <c r="M1" s="177"/>
      <c r="N1" s="177"/>
      <c r="O1" s="177"/>
      <c r="P1" s="177"/>
      <c r="Q1" s="177"/>
      <c r="R1" s="1"/>
      <c r="S1" s="1"/>
    </row>
    <row r="2" spans="1:19" ht="30" customHeight="1">
      <c r="E2" s="312" t="s">
        <v>1132</v>
      </c>
      <c r="F2" s="312"/>
      <c r="G2" s="312"/>
      <c r="H2" s="293"/>
      <c r="I2" s="173"/>
      <c r="J2" s="177"/>
      <c r="K2" s="177"/>
      <c r="L2" s="177"/>
      <c r="M2" s="177"/>
      <c r="N2" s="177"/>
      <c r="O2" s="177"/>
      <c r="P2" s="177"/>
      <c r="Q2" s="177"/>
      <c r="R2" s="1"/>
      <c r="S2" s="1"/>
    </row>
    <row r="3" spans="1:19" ht="61.5" customHeight="1">
      <c r="A3" s="310" t="s">
        <v>1123</v>
      </c>
      <c r="B3" s="310"/>
      <c r="C3" s="310"/>
      <c r="D3" s="310"/>
      <c r="E3" s="310"/>
      <c r="F3" s="310"/>
      <c r="G3" s="310"/>
      <c r="H3" s="310"/>
    </row>
    <row r="4" spans="1:19" ht="14.25" customHeight="1">
      <c r="A4" s="320" t="s">
        <v>12</v>
      </c>
      <c r="B4" s="99"/>
      <c r="C4" s="99"/>
      <c r="D4" s="99"/>
      <c r="E4" s="322" t="s">
        <v>16</v>
      </c>
      <c r="F4" s="322" t="s">
        <v>17</v>
      </c>
      <c r="G4" s="325" t="s">
        <v>370</v>
      </c>
      <c r="H4" s="326"/>
    </row>
    <row r="5" spans="1:19" s="3" customFormat="1" ht="23.25" customHeight="1">
      <c r="A5" s="326"/>
      <c r="B5" s="322" t="s">
        <v>13</v>
      </c>
      <c r="C5" s="322" t="s">
        <v>14</v>
      </c>
      <c r="D5" s="322" t="s">
        <v>15</v>
      </c>
      <c r="E5" s="321"/>
      <c r="F5" s="321"/>
      <c r="G5" s="316" t="s">
        <v>1118</v>
      </c>
      <c r="H5" s="316" t="s">
        <v>1119</v>
      </c>
      <c r="I5" s="108"/>
      <c r="J5" s="89"/>
      <c r="O5" s="108"/>
      <c r="P5" s="108"/>
      <c r="Q5" s="108"/>
      <c r="R5" s="108"/>
      <c r="S5" s="108"/>
    </row>
    <row r="6" spans="1:19" s="3" customFormat="1" ht="69.75" customHeight="1">
      <c r="A6" s="326"/>
      <c r="B6" s="327"/>
      <c r="C6" s="327"/>
      <c r="D6" s="327"/>
      <c r="E6" s="321"/>
      <c r="F6" s="321"/>
      <c r="G6" s="317"/>
      <c r="H6" s="317"/>
      <c r="I6" s="108"/>
      <c r="O6" s="108"/>
      <c r="P6" s="108"/>
      <c r="Q6" s="108"/>
      <c r="R6" s="108"/>
      <c r="S6" s="108"/>
    </row>
    <row r="7" spans="1:19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90">
        <v>4</v>
      </c>
      <c r="H7" s="90">
        <v>5</v>
      </c>
      <c r="I7" s="108"/>
      <c r="O7" s="108"/>
      <c r="P7" s="108"/>
      <c r="Q7" s="108"/>
      <c r="R7" s="108"/>
      <c r="S7" s="108"/>
    </row>
    <row r="8" spans="1:19" s="73" customFormat="1" ht="42" customHeight="1">
      <c r="A8" s="77" t="s">
        <v>109</v>
      </c>
      <c r="B8" s="72"/>
      <c r="C8" s="72"/>
      <c r="D8" s="72"/>
      <c r="E8" s="72"/>
      <c r="F8" s="72"/>
      <c r="G8" s="91">
        <f>G10+G20+G45+G74+G107+G130+G280+G323+G667+G687+G751+G997+G1016+G1021+G1034+G1044+G1050+G1056+G1086+G1119+G1135+G1314+G1339+G1351</f>
        <v>1777424334.5899997</v>
      </c>
      <c r="H8" s="91">
        <f>H10+H20+H45+H74+H107+H130+H280+H323+H667+H687+H751+H997+H1016+H1021+H1034+H1044+H1050+H1056+H1086+H1119+H1135+H1314+H1339+H1351</f>
        <v>1734191945.6499999</v>
      </c>
      <c r="I8" s="109"/>
      <c r="O8" s="109"/>
      <c r="P8" s="109"/>
      <c r="Q8" s="109"/>
      <c r="R8" s="109"/>
      <c r="S8" s="109"/>
    </row>
    <row r="9" spans="1:19" s="3" customFormat="1">
      <c r="A9" s="4"/>
      <c r="B9" s="4"/>
      <c r="C9" s="4"/>
      <c r="D9" s="4"/>
      <c r="E9" s="4"/>
      <c r="F9" s="4"/>
      <c r="G9" s="90"/>
      <c r="H9" s="90"/>
      <c r="I9" s="108"/>
      <c r="O9" s="108"/>
      <c r="P9" s="108"/>
      <c r="Q9" s="108"/>
      <c r="R9" s="108"/>
      <c r="S9" s="108"/>
    </row>
    <row r="10" spans="1:19" s="73" customFormat="1" ht="42" customHeight="1">
      <c r="A10" s="219" t="s">
        <v>466</v>
      </c>
      <c r="B10" s="220"/>
      <c r="C10" s="220"/>
      <c r="D10" s="220"/>
      <c r="E10" s="19" t="s">
        <v>110</v>
      </c>
      <c r="F10" s="72"/>
      <c r="G10" s="221">
        <f>G11+G17+G14</f>
        <v>3685500</v>
      </c>
      <c r="H10" s="221">
        <f>H11+H17</f>
        <v>3685500</v>
      </c>
      <c r="I10" s="109">
        <v>2271304</v>
      </c>
      <c r="O10" s="109"/>
      <c r="P10" s="109"/>
      <c r="Q10" s="109"/>
      <c r="R10" s="109"/>
      <c r="S10" s="109"/>
    </row>
    <row r="11" spans="1:19" ht="33" customHeight="1">
      <c r="A11" s="16" t="s">
        <v>185</v>
      </c>
      <c r="B11" s="14">
        <v>757</v>
      </c>
      <c r="C11" s="15" t="s">
        <v>69</v>
      </c>
      <c r="D11" s="15" t="s">
        <v>70</v>
      </c>
      <c r="E11" s="15" t="s">
        <v>409</v>
      </c>
      <c r="F11" s="15"/>
      <c r="G11" s="69">
        <f t="shared" ref="G11:H12" si="0">G12</f>
        <v>3685500</v>
      </c>
      <c r="H11" s="69">
        <f t="shared" si="0"/>
        <v>3685500</v>
      </c>
    </row>
    <row r="12" spans="1:19" ht="33" customHeight="1">
      <c r="A12" s="16" t="s">
        <v>148</v>
      </c>
      <c r="B12" s="14">
        <v>757</v>
      </c>
      <c r="C12" s="15" t="s">
        <v>69</v>
      </c>
      <c r="D12" s="15" t="s">
        <v>70</v>
      </c>
      <c r="E12" s="15" t="s">
        <v>409</v>
      </c>
      <c r="F12" s="15" t="s">
        <v>149</v>
      </c>
      <c r="G12" s="69">
        <f t="shared" si="0"/>
        <v>3685500</v>
      </c>
      <c r="H12" s="69">
        <f t="shared" si="0"/>
        <v>3685500</v>
      </c>
    </row>
    <row r="13" spans="1:19" ht="33" customHeight="1">
      <c r="A13" s="16" t="s">
        <v>150</v>
      </c>
      <c r="B13" s="14">
        <v>757</v>
      </c>
      <c r="C13" s="15" t="s">
        <v>69</v>
      </c>
      <c r="D13" s="15" t="s">
        <v>70</v>
      </c>
      <c r="E13" s="15" t="s">
        <v>409</v>
      </c>
      <c r="F13" s="15" t="s">
        <v>151</v>
      </c>
      <c r="G13" s="69">
        <f>'прил 5,'!G1751</f>
        <v>3685500</v>
      </c>
      <c r="H13" s="69">
        <f>'прил 5,'!H1751</f>
        <v>3685500</v>
      </c>
    </row>
    <row r="14" spans="1:19" ht="33" hidden="1" customHeight="1">
      <c r="A14" s="16" t="s">
        <v>817</v>
      </c>
      <c r="B14" s="14">
        <v>757</v>
      </c>
      <c r="C14" s="15" t="s">
        <v>69</v>
      </c>
      <c r="D14" s="15" t="s">
        <v>54</v>
      </c>
      <c r="E14" s="15" t="s">
        <v>816</v>
      </c>
      <c r="F14" s="15"/>
      <c r="G14" s="69">
        <f t="shared" ref="G14:H15" si="1">G15</f>
        <v>0</v>
      </c>
      <c r="H14" s="69">
        <f t="shared" si="1"/>
        <v>0</v>
      </c>
      <c r="I14" s="1"/>
    </row>
    <row r="15" spans="1:19" ht="33" hidden="1" customHeight="1">
      <c r="A15" s="16" t="s">
        <v>148</v>
      </c>
      <c r="B15" s="14">
        <v>757</v>
      </c>
      <c r="C15" s="15" t="s">
        <v>69</v>
      </c>
      <c r="D15" s="15" t="s">
        <v>54</v>
      </c>
      <c r="E15" s="15" t="s">
        <v>816</v>
      </c>
      <c r="F15" s="15" t="s">
        <v>149</v>
      </c>
      <c r="G15" s="69">
        <f t="shared" si="1"/>
        <v>0</v>
      </c>
      <c r="H15" s="69">
        <f t="shared" si="1"/>
        <v>0</v>
      </c>
      <c r="I15" s="1"/>
    </row>
    <row r="16" spans="1:19" ht="33" hidden="1" customHeight="1">
      <c r="A16" s="16" t="s">
        <v>150</v>
      </c>
      <c r="B16" s="14">
        <v>757</v>
      </c>
      <c r="C16" s="15" t="s">
        <v>69</v>
      </c>
      <c r="D16" s="15" t="s">
        <v>54</v>
      </c>
      <c r="E16" s="15" t="s">
        <v>816</v>
      </c>
      <c r="F16" s="15" t="s">
        <v>151</v>
      </c>
      <c r="G16" s="69">
        <f>'прил 5,'!G347</f>
        <v>0</v>
      </c>
      <c r="H16" s="69">
        <v>0</v>
      </c>
      <c r="I16" s="1"/>
    </row>
    <row r="17" spans="1:19" ht="82.5" hidden="1" customHeight="1">
      <c r="A17" s="50" t="s">
        <v>411</v>
      </c>
      <c r="B17" s="14">
        <v>757</v>
      </c>
      <c r="C17" s="15" t="s">
        <v>69</v>
      </c>
      <c r="D17" s="15" t="s">
        <v>70</v>
      </c>
      <c r="E17" s="15" t="s">
        <v>410</v>
      </c>
      <c r="F17" s="15"/>
      <c r="G17" s="69">
        <f t="shared" ref="G17:H18" si="2">G18</f>
        <v>0</v>
      </c>
      <c r="H17" s="69">
        <f>H18</f>
        <v>0</v>
      </c>
    </row>
    <row r="18" spans="1:19" ht="33" hidden="1" customHeight="1">
      <c r="A18" s="16" t="s">
        <v>148</v>
      </c>
      <c r="B18" s="14">
        <v>757</v>
      </c>
      <c r="C18" s="15" t="s">
        <v>69</v>
      </c>
      <c r="D18" s="15" t="s">
        <v>70</v>
      </c>
      <c r="E18" s="15" t="s">
        <v>410</v>
      </c>
      <c r="F18" s="15" t="s">
        <v>149</v>
      </c>
      <c r="G18" s="69">
        <f t="shared" si="2"/>
        <v>0</v>
      </c>
      <c r="H18" s="69">
        <f t="shared" si="2"/>
        <v>0</v>
      </c>
    </row>
    <row r="19" spans="1:19" ht="33" hidden="1" customHeight="1">
      <c r="A19" s="16" t="s">
        <v>150</v>
      </c>
      <c r="B19" s="14">
        <v>757</v>
      </c>
      <c r="C19" s="15" t="s">
        <v>69</v>
      </c>
      <c r="D19" s="15" t="s">
        <v>70</v>
      </c>
      <c r="E19" s="15" t="s">
        <v>410</v>
      </c>
      <c r="F19" s="15" t="s">
        <v>151</v>
      </c>
      <c r="G19" s="69">
        <f>'прил 5,'!G350</f>
        <v>0</v>
      </c>
      <c r="H19" s="69">
        <f>'прил 5,'!AG350</f>
        <v>0</v>
      </c>
    </row>
    <row r="20" spans="1:19" s="223" customFormat="1" ht="51">
      <c r="A20" s="34" t="s">
        <v>468</v>
      </c>
      <c r="B20" s="35">
        <v>793</v>
      </c>
      <c r="C20" s="36" t="s">
        <v>19</v>
      </c>
      <c r="D20" s="36" t="s">
        <v>23</v>
      </c>
      <c r="E20" s="35" t="s">
        <v>247</v>
      </c>
      <c r="F20" s="36"/>
      <c r="G20" s="70">
        <f>G21+G24+G35+G42+G30</f>
        <v>3135495.99</v>
      </c>
      <c r="H20" s="70">
        <f>H21+H24+H35+H42+H30</f>
        <v>3119229.29</v>
      </c>
      <c r="I20" s="222">
        <v>465200</v>
      </c>
      <c r="O20" s="222"/>
      <c r="P20" s="222"/>
      <c r="Q20" s="222"/>
      <c r="R20" s="222"/>
      <c r="S20" s="222"/>
    </row>
    <row r="21" spans="1:19" s="33" customFormat="1" ht="27.75" customHeight="1">
      <c r="A21" s="16" t="s">
        <v>188</v>
      </c>
      <c r="B21" s="14">
        <v>793</v>
      </c>
      <c r="C21" s="15" t="s">
        <v>19</v>
      </c>
      <c r="D21" s="15" t="s">
        <v>23</v>
      </c>
      <c r="E21" s="15" t="s">
        <v>381</v>
      </c>
      <c r="F21" s="15"/>
      <c r="G21" s="86">
        <f t="shared" ref="G21:H22" si="3">G22</f>
        <v>1048486</v>
      </c>
      <c r="H21" s="86">
        <f t="shared" si="3"/>
        <v>1048486</v>
      </c>
      <c r="I21" s="110"/>
      <c r="O21" s="110"/>
      <c r="P21" s="110"/>
      <c r="Q21" s="110"/>
      <c r="R21" s="110"/>
      <c r="S21" s="110"/>
    </row>
    <row r="22" spans="1:19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381</v>
      </c>
      <c r="F22" s="15" t="s">
        <v>31</v>
      </c>
      <c r="G22" s="86">
        <f t="shared" si="3"/>
        <v>1048486</v>
      </c>
      <c r="H22" s="86">
        <f t="shared" si="3"/>
        <v>1048486</v>
      </c>
      <c r="I22" s="110"/>
      <c r="O22" s="110"/>
      <c r="P22" s="110"/>
      <c r="Q22" s="110"/>
      <c r="R22" s="110"/>
      <c r="S22" s="110"/>
    </row>
    <row r="23" spans="1:19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381</v>
      </c>
      <c r="F23" s="15" t="s">
        <v>8</v>
      </c>
      <c r="G23" s="86">
        <f>'прил 5,'!G1191</f>
        <v>1048486</v>
      </c>
      <c r="H23" s="86">
        <f>'прил 5,'!H1191</f>
        <v>1048486</v>
      </c>
      <c r="I23" s="110"/>
      <c r="O23" s="110"/>
      <c r="P23" s="110"/>
      <c r="Q23" s="110"/>
      <c r="R23" s="110"/>
      <c r="S23" s="110"/>
    </row>
    <row r="24" spans="1:19" ht="25.5">
      <c r="A24" s="16" t="s">
        <v>163</v>
      </c>
      <c r="B24" s="14">
        <v>793</v>
      </c>
      <c r="C24" s="15" t="s">
        <v>19</v>
      </c>
      <c r="D24" s="15" t="s">
        <v>23</v>
      </c>
      <c r="E24" s="15" t="s">
        <v>382</v>
      </c>
      <c r="F24" s="15"/>
      <c r="G24" s="86">
        <f>G25</f>
        <v>1976013.29</v>
      </c>
      <c r="H24" s="86">
        <f>H25</f>
        <v>1976013.29</v>
      </c>
      <c r="I24" s="2">
        <v>70000</v>
      </c>
    </row>
    <row r="25" spans="1:19" ht="25.5" customHeight="1">
      <c r="A25" s="16" t="s">
        <v>156</v>
      </c>
      <c r="B25" s="14">
        <v>793</v>
      </c>
      <c r="C25" s="15" t="s">
        <v>19</v>
      </c>
      <c r="D25" s="15" t="s">
        <v>23</v>
      </c>
      <c r="E25" s="15" t="s">
        <v>382</v>
      </c>
      <c r="F25" s="15" t="s">
        <v>157</v>
      </c>
      <c r="G25" s="69">
        <f>G26+G27</f>
        <v>1976013.29</v>
      </c>
      <c r="H25" s="69">
        <f>H26+H27</f>
        <v>1976013.29</v>
      </c>
      <c r="I25" s="2">
        <v>35000</v>
      </c>
    </row>
    <row r="26" spans="1:19" ht="25.5" hidden="1" customHeight="1">
      <c r="A26" s="16" t="s">
        <v>170</v>
      </c>
      <c r="B26" s="14">
        <v>793</v>
      </c>
      <c r="C26" s="15" t="s">
        <v>19</v>
      </c>
      <c r="D26" s="15" t="s">
        <v>23</v>
      </c>
      <c r="E26" s="15" t="s">
        <v>382</v>
      </c>
      <c r="F26" s="15" t="s">
        <v>171</v>
      </c>
      <c r="G26" s="69"/>
      <c r="H26" s="100">
        <v>0</v>
      </c>
      <c r="I26" s="2">
        <v>500000</v>
      </c>
    </row>
    <row r="27" spans="1:19" ht="25.5" customHeight="1">
      <c r="A27" s="16" t="s">
        <v>178</v>
      </c>
      <c r="B27" s="14">
        <v>793</v>
      </c>
      <c r="C27" s="15" t="s">
        <v>19</v>
      </c>
      <c r="D27" s="15" t="s">
        <v>23</v>
      </c>
      <c r="E27" s="15" t="s">
        <v>382</v>
      </c>
      <c r="F27" s="15" t="s">
        <v>179</v>
      </c>
      <c r="G27" s="69">
        <f>'прил 5,'!G1194</f>
        <v>1976013.29</v>
      </c>
      <c r="H27" s="8">
        <f>'прил 5,'!H1194</f>
        <v>1976013.29</v>
      </c>
      <c r="I27" s="2">
        <v>500000</v>
      </c>
    </row>
    <row r="28" spans="1:19" ht="16.5" hidden="1" customHeight="1">
      <c r="A28" s="81" t="s">
        <v>63</v>
      </c>
      <c r="B28" s="14">
        <v>793</v>
      </c>
      <c r="C28" s="15" t="s">
        <v>19</v>
      </c>
      <c r="D28" s="15" t="s">
        <v>23</v>
      </c>
      <c r="E28" s="15" t="s">
        <v>382</v>
      </c>
      <c r="F28" s="15" t="s">
        <v>64</v>
      </c>
      <c r="G28" s="69">
        <f>G29</f>
        <v>-4.638422979041934E-11</v>
      </c>
      <c r="H28" s="69">
        <f t="shared" ref="H28" si="4">H29</f>
        <v>0</v>
      </c>
      <c r="I28" s="1"/>
    </row>
    <row r="29" spans="1:19" ht="17.25" hidden="1" customHeight="1">
      <c r="A29" s="81" t="s">
        <v>180</v>
      </c>
      <c r="B29" s="14">
        <v>793</v>
      </c>
      <c r="C29" s="15" t="s">
        <v>19</v>
      </c>
      <c r="D29" s="15" t="s">
        <v>23</v>
      </c>
      <c r="E29" s="15" t="s">
        <v>382</v>
      </c>
      <c r="F29" s="15" t="s">
        <v>181</v>
      </c>
      <c r="G29" s="69">
        <f>'прил 5,'!G1196</f>
        <v>-4.638422979041934E-11</v>
      </c>
      <c r="H29" s="69">
        <f>'прил 5,'!H1196</f>
        <v>0</v>
      </c>
      <c r="I29" s="1"/>
    </row>
    <row r="30" spans="1:19" ht="27.75" hidden="1" customHeight="1">
      <c r="A30" s="101" t="s">
        <v>905</v>
      </c>
      <c r="B30" s="14">
        <v>793</v>
      </c>
      <c r="C30" s="15" t="s">
        <v>19</v>
      </c>
      <c r="D30" s="15" t="s">
        <v>23</v>
      </c>
      <c r="E30" s="15" t="s">
        <v>866</v>
      </c>
      <c r="F30" s="15"/>
      <c r="G30" s="69">
        <f>G31+G33</f>
        <v>0</v>
      </c>
      <c r="H30" s="69">
        <f t="shared" ref="H30" si="5">H31+H33</f>
        <v>0</v>
      </c>
      <c r="I30" s="1"/>
    </row>
    <row r="31" spans="1:19" ht="19.5" hidden="1" customHeight="1">
      <c r="A31" s="16" t="s">
        <v>156</v>
      </c>
      <c r="B31" s="14">
        <v>793</v>
      </c>
      <c r="C31" s="15" t="s">
        <v>19</v>
      </c>
      <c r="D31" s="15" t="s">
        <v>23</v>
      </c>
      <c r="E31" s="15" t="s">
        <v>382</v>
      </c>
      <c r="F31" s="15" t="s">
        <v>157</v>
      </c>
      <c r="G31" s="69">
        <f>G32</f>
        <v>0</v>
      </c>
      <c r="H31" s="69">
        <f t="shared" ref="H31:H33" si="6">H32</f>
        <v>0</v>
      </c>
      <c r="I31" s="1"/>
    </row>
    <row r="32" spans="1:19" ht="12" hidden="1" customHeight="1">
      <c r="A32" s="16" t="s">
        <v>178</v>
      </c>
      <c r="B32" s="14">
        <v>793</v>
      </c>
      <c r="C32" s="15" t="s">
        <v>19</v>
      </c>
      <c r="D32" s="15" t="s">
        <v>23</v>
      </c>
      <c r="E32" s="15" t="s">
        <v>382</v>
      </c>
      <c r="F32" s="15" t="s">
        <v>179</v>
      </c>
      <c r="G32" s="69"/>
      <c r="H32" s="69"/>
      <c r="I32" s="1"/>
    </row>
    <row r="33" spans="1:19" ht="16.5" hidden="1" customHeight="1">
      <c r="A33" s="81" t="s">
        <v>63</v>
      </c>
      <c r="B33" s="14">
        <v>793</v>
      </c>
      <c r="C33" s="15" t="s">
        <v>19</v>
      </c>
      <c r="D33" s="15" t="s">
        <v>23</v>
      </c>
      <c r="E33" s="15" t="s">
        <v>866</v>
      </c>
      <c r="F33" s="15" t="s">
        <v>64</v>
      </c>
      <c r="G33" s="69">
        <f>G34</f>
        <v>0</v>
      </c>
      <c r="H33" s="69">
        <f t="shared" si="6"/>
        <v>0</v>
      </c>
      <c r="I33" s="1"/>
    </row>
    <row r="34" spans="1:19" ht="17.25" hidden="1" customHeight="1">
      <c r="A34" s="81" t="s">
        <v>180</v>
      </c>
      <c r="B34" s="14">
        <v>793</v>
      </c>
      <c r="C34" s="15" t="s">
        <v>19</v>
      </c>
      <c r="D34" s="15" t="s">
        <v>23</v>
      </c>
      <c r="E34" s="15" t="s">
        <v>866</v>
      </c>
      <c r="F34" s="15" t="s">
        <v>181</v>
      </c>
      <c r="G34" s="69">
        <f>'прил 5,'!G1201</f>
        <v>0</v>
      </c>
      <c r="H34" s="69">
        <f>'прил 5,'!H1201</f>
        <v>0</v>
      </c>
      <c r="I34" s="1"/>
    </row>
    <row r="35" spans="1:19" ht="25.5" customHeight="1">
      <c r="A35" s="16" t="s">
        <v>120</v>
      </c>
      <c r="B35" s="14">
        <v>793</v>
      </c>
      <c r="C35" s="15" t="s">
        <v>19</v>
      </c>
      <c r="D35" s="15" t="s">
        <v>23</v>
      </c>
      <c r="E35" s="15" t="s">
        <v>248</v>
      </c>
      <c r="F35" s="15"/>
      <c r="G35" s="86">
        <f>G36+G40+G39</f>
        <v>110996.7</v>
      </c>
      <c r="H35" s="86">
        <f t="shared" ref="H35" si="7">H36+H40+H39</f>
        <v>94730</v>
      </c>
      <c r="I35" s="2">
        <v>50000</v>
      </c>
    </row>
    <row r="36" spans="1:19" ht="25.5" customHeight="1">
      <c r="A36" s="16" t="s">
        <v>323</v>
      </c>
      <c r="B36" s="14">
        <v>793</v>
      </c>
      <c r="C36" s="15" t="s">
        <v>19</v>
      </c>
      <c r="D36" s="15" t="s">
        <v>23</v>
      </c>
      <c r="E36" s="15" t="s">
        <v>248</v>
      </c>
      <c r="F36" s="15" t="s">
        <v>37</v>
      </c>
      <c r="G36" s="86">
        <f>G37</f>
        <v>75996.7</v>
      </c>
      <c r="H36" s="86">
        <f>H37</f>
        <v>59730</v>
      </c>
      <c r="I36" s="2">
        <f>SUM(I20:I35)</f>
        <v>1620200</v>
      </c>
    </row>
    <row r="37" spans="1:19" ht="25.5" customHeight="1">
      <c r="A37" s="16" t="s">
        <v>38</v>
      </c>
      <c r="B37" s="14">
        <v>793</v>
      </c>
      <c r="C37" s="15" t="s">
        <v>19</v>
      </c>
      <c r="D37" s="15" t="s">
        <v>23</v>
      </c>
      <c r="E37" s="15" t="s">
        <v>248</v>
      </c>
      <c r="F37" s="15" t="s">
        <v>39</v>
      </c>
      <c r="G37" s="86">
        <f>'прил 5,'!G1204</f>
        <v>75996.7</v>
      </c>
      <c r="H37" s="86">
        <f>'прил 5,'!H1204</f>
        <v>59730</v>
      </c>
    </row>
    <row r="38" spans="1:19" ht="25.5" hidden="1" customHeight="1">
      <c r="A38" s="16" t="s">
        <v>30</v>
      </c>
      <c r="B38" s="14">
        <v>793</v>
      </c>
      <c r="C38" s="15" t="s">
        <v>19</v>
      </c>
      <c r="D38" s="15" t="s">
        <v>23</v>
      </c>
      <c r="E38" s="15" t="s">
        <v>248</v>
      </c>
      <c r="F38" s="15" t="s">
        <v>31</v>
      </c>
      <c r="G38" s="69">
        <f>G39</f>
        <v>0</v>
      </c>
      <c r="H38" s="69">
        <f t="shared" ref="H38" si="8">H39</f>
        <v>0</v>
      </c>
      <c r="I38" s="1"/>
    </row>
    <row r="39" spans="1:19" ht="25.5" hidden="1" customHeight="1">
      <c r="A39" s="16" t="s">
        <v>9</v>
      </c>
      <c r="B39" s="14">
        <v>793</v>
      </c>
      <c r="C39" s="15" t="s">
        <v>19</v>
      </c>
      <c r="D39" s="15" t="s">
        <v>23</v>
      </c>
      <c r="E39" s="15" t="s">
        <v>248</v>
      </c>
      <c r="F39" s="15" t="s">
        <v>8</v>
      </c>
      <c r="G39" s="69"/>
      <c r="H39" s="69"/>
      <c r="I39" s="1"/>
    </row>
    <row r="40" spans="1:19" ht="25.5" customHeight="1">
      <c r="A40" s="16" t="s">
        <v>63</v>
      </c>
      <c r="B40" s="14">
        <v>793</v>
      </c>
      <c r="C40" s="15" t="s">
        <v>19</v>
      </c>
      <c r="D40" s="15" t="s">
        <v>23</v>
      </c>
      <c r="E40" s="15" t="s">
        <v>248</v>
      </c>
      <c r="F40" s="15" t="s">
        <v>64</v>
      </c>
      <c r="G40" s="86">
        <f>G41</f>
        <v>35000</v>
      </c>
      <c r="H40" s="86">
        <f>H41</f>
        <v>35000</v>
      </c>
    </row>
    <row r="41" spans="1:19" ht="25.5" customHeight="1">
      <c r="A41" s="16" t="s">
        <v>144</v>
      </c>
      <c r="B41" s="14">
        <v>793</v>
      </c>
      <c r="C41" s="15" t="s">
        <v>19</v>
      </c>
      <c r="D41" s="15" t="s">
        <v>23</v>
      </c>
      <c r="E41" s="15" t="s">
        <v>248</v>
      </c>
      <c r="F41" s="15" t="s">
        <v>67</v>
      </c>
      <c r="G41" s="86">
        <f>'прил 5,'!G1208</f>
        <v>35000</v>
      </c>
      <c r="H41" s="86">
        <f>'прил 5,'!H1208</f>
        <v>35000</v>
      </c>
    </row>
    <row r="42" spans="1:19" ht="25.5" customHeight="1">
      <c r="A42" s="16" t="s">
        <v>443</v>
      </c>
      <c r="B42" s="14">
        <v>793</v>
      </c>
      <c r="C42" s="15" t="s">
        <v>19</v>
      </c>
      <c r="D42" s="15" t="s">
        <v>23</v>
      </c>
      <c r="E42" s="15" t="s">
        <v>444</v>
      </c>
      <c r="F42" s="15"/>
      <c r="G42" s="69">
        <f t="shared" ref="G42:H43" si="9">G43</f>
        <v>0</v>
      </c>
      <c r="H42" s="8">
        <f t="shared" si="9"/>
        <v>0</v>
      </c>
    </row>
    <row r="43" spans="1:19" ht="25.5" customHeight="1">
      <c r="A43" s="16" t="s">
        <v>323</v>
      </c>
      <c r="B43" s="14">
        <v>793</v>
      </c>
      <c r="C43" s="15" t="s">
        <v>19</v>
      </c>
      <c r="D43" s="15" t="s">
        <v>23</v>
      </c>
      <c r="E43" s="15" t="s">
        <v>444</v>
      </c>
      <c r="F43" s="15" t="s">
        <v>37</v>
      </c>
      <c r="G43" s="69">
        <f t="shared" si="9"/>
        <v>0</v>
      </c>
      <c r="H43" s="8">
        <f t="shared" si="9"/>
        <v>0</v>
      </c>
    </row>
    <row r="44" spans="1:19" ht="25.5" customHeight="1">
      <c r="A44" s="16" t="s">
        <v>38</v>
      </c>
      <c r="B44" s="14">
        <v>793</v>
      </c>
      <c r="C44" s="15" t="s">
        <v>19</v>
      </c>
      <c r="D44" s="15" t="s">
        <v>23</v>
      </c>
      <c r="E44" s="15" t="s">
        <v>444</v>
      </c>
      <c r="F44" s="15" t="s">
        <v>39</v>
      </c>
      <c r="G44" s="69">
        <f>'прил 5,'!G1211</f>
        <v>0</v>
      </c>
      <c r="H44" s="8">
        <f>'прил 5,'!H1211</f>
        <v>0</v>
      </c>
    </row>
    <row r="45" spans="1:19" s="223" customFormat="1" ht="38.25">
      <c r="A45" s="34" t="s">
        <v>1127</v>
      </c>
      <c r="B45" s="35">
        <v>763</v>
      </c>
      <c r="C45" s="36" t="s">
        <v>19</v>
      </c>
      <c r="D45" s="36" t="s">
        <v>54</v>
      </c>
      <c r="E45" s="36" t="s">
        <v>207</v>
      </c>
      <c r="F45" s="74"/>
      <c r="G45" s="70">
        <f>G46+G53+G59+G62+G65+G68+G71</f>
        <v>14098285</v>
      </c>
      <c r="H45" s="70">
        <f>H46+H53+H59+H62+H65+H68+H71</f>
        <v>13926879.969999999</v>
      </c>
      <c r="I45" s="70">
        <f t="shared" ref="I45:N45" si="10">I46+I53+I59+I62+I65+I68+I71</f>
        <v>567396</v>
      </c>
      <c r="J45" s="70">
        <f t="shared" si="10"/>
        <v>0</v>
      </c>
      <c r="K45" s="70">
        <f t="shared" si="10"/>
        <v>0</v>
      </c>
      <c r="L45" s="70">
        <f t="shared" si="10"/>
        <v>0</v>
      </c>
      <c r="M45" s="70">
        <f t="shared" si="10"/>
        <v>0</v>
      </c>
      <c r="N45" s="70">
        <f t="shared" si="10"/>
        <v>0</v>
      </c>
      <c r="O45" s="222"/>
      <c r="P45" s="222"/>
      <c r="Q45" s="222"/>
      <c r="R45" s="222"/>
      <c r="S45" s="222"/>
    </row>
    <row r="46" spans="1:19" s="33" customFormat="1" ht="25.5">
      <c r="A46" s="16" t="s">
        <v>76</v>
      </c>
      <c r="B46" s="14">
        <v>763</v>
      </c>
      <c r="C46" s="15" t="s">
        <v>19</v>
      </c>
      <c r="D46" s="15" t="s">
        <v>54</v>
      </c>
      <c r="E46" s="15" t="s">
        <v>208</v>
      </c>
      <c r="F46" s="39"/>
      <c r="G46" s="86">
        <f>G47+G49+G51</f>
        <v>12183285</v>
      </c>
      <c r="H46" s="86">
        <f>H47+H49+H51</f>
        <v>12016143.979999999</v>
      </c>
      <c r="I46" s="110">
        <v>567396</v>
      </c>
      <c r="O46" s="110"/>
      <c r="P46" s="110"/>
      <c r="Q46" s="110"/>
      <c r="R46" s="110"/>
      <c r="S46" s="110"/>
    </row>
    <row r="47" spans="1:19" ht="51">
      <c r="A47" s="16" t="s">
        <v>55</v>
      </c>
      <c r="B47" s="14">
        <v>763</v>
      </c>
      <c r="C47" s="15" t="s">
        <v>19</v>
      </c>
      <c r="D47" s="15" t="s">
        <v>54</v>
      </c>
      <c r="E47" s="15" t="s">
        <v>208</v>
      </c>
      <c r="F47" s="15" t="s">
        <v>58</v>
      </c>
      <c r="G47" s="86">
        <f>SUM(G48)</f>
        <v>11437031.699999999</v>
      </c>
      <c r="H47" s="86">
        <f>SUM(H48)</f>
        <v>11280002.109999999</v>
      </c>
      <c r="I47" s="2">
        <v>15000</v>
      </c>
    </row>
    <row r="48" spans="1:19" ht="25.5">
      <c r="A48" s="16" t="s">
        <v>56</v>
      </c>
      <c r="B48" s="14">
        <v>763</v>
      </c>
      <c r="C48" s="15" t="s">
        <v>19</v>
      </c>
      <c r="D48" s="15" t="s">
        <v>54</v>
      </c>
      <c r="E48" s="15" t="s">
        <v>208</v>
      </c>
      <c r="F48" s="15" t="s">
        <v>59</v>
      </c>
      <c r="G48" s="86">
        <f>'прил 5,'!G382</f>
        <v>11437031.699999999</v>
      </c>
      <c r="H48" s="86">
        <f>'прил 5,'!AG382+'прил 5,'!H382</f>
        <v>11280002.109999999</v>
      </c>
      <c r="I48" s="2">
        <v>200000</v>
      </c>
    </row>
    <row r="49" spans="1:9" ht="25.5">
      <c r="A49" s="16" t="s">
        <v>36</v>
      </c>
      <c r="B49" s="14">
        <v>763</v>
      </c>
      <c r="C49" s="15" t="s">
        <v>19</v>
      </c>
      <c r="D49" s="15" t="s">
        <v>54</v>
      </c>
      <c r="E49" s="15" t="s">
        <v>208</v>
      </c>
      <c r="F49" s="15" t="s">
        <v>37</v>
      </c>
      <c r="G49" s="86">
        <f>SUM(G50)</f>
        <v>717388.3</v>
      </c>
      <c r="H49" s="86">
        <f>SUM(H50)</f>
        <v>707276.87</v>
      </c>
      <c r="I49" s="2">
        <v>200000</v>
      </c>
    </row>
    <row r="50" spans="1:9" ht="25.5">
      <c r="A50" s="16" t="s">
        <v>38</v>
      </c>
      <c r="B50" s="14">
        <v>763</v>
      </c>
      <c r="C50" s="15" t="s">
        <v>19</v>
      </c>
      <c r="D50" s="15" t="s">
        <v>54</v>
      </c>
      <c r="E50" s="15" t="s">
        <v>208</v>
      </c>
      <c r="F50" s="15" t="s">
        <v>39</v>
      </c>
      <c r="G50" s="86">
        <f>'прил 5,'!G384</f>
        <v>717388.3</v>
      </c>
      <c r="H50" s="86">
        <f>'прил 5,'!AG384+'прил 5,'!H384</f>
        <v>707276.87</v>
      </c>
      <c r="I50" s="2">
        <v>210000</v>
      </c>
    </row>
    <row r="51" spans="1:9">
      <c r="A51" s="16" t="s">
        <v>63</v>
      </c>
      <c r="B51" s="14"/>
      <c r="C51" s="15"/>
      <c r="D51" s="15"/>
      <c r="E51" s="15" t="s">
        <v>208</v>
      </c>
      <c r="F51" s="15" t="s">
        <v>64</v>
      </c>
      <c r="G51" s="86">
        <f>G52</f>
        <v>28865</v>
      </c>
      <c r="H51" s="86">
        <f>H52</f>
        <v>28865</v>
      </c>
      <c r="I51" s="2">
        <f>SUM(I45:I50)</f>
        <v>1759792</v>
      </c>
    </row>
    <row r="52" spans="1:9">
      <c r="A52" s="16" t="s">
        <v>144</v>
      </c>
      <c r="B52" s="14"/>
      <c r="C52" s="15"/>
      <c r="D52" s="15"/>
      <c r="E52" s="15" t="s">
        <v>208</v>
      </c>
      <c r="F52" s="15" t="s">
        <v>67</v>
      </c>
      <c r="G52" s="86">
        <f>'прил 5,'!G386</f>
        <v>28865</v>
      </c>
      <c r="H52" s="86">
        <f>'прил 5,'!AG386+'прил 5,'!H386</f>
        <v>28865</v>
      </c>
    </row>
    <row r="53" spans="1:9" ht="33.75" customHeight="1">
      <c r="A53" s="16" t="s">
        <v>638</v>
      </c>
      <c r="B53" s="14">
        <v>763</v>
      </c>
      <c r="C53" s="15" t="s">
        <v>19</v>
      </c>
      <c r="D53" s="15" t="s">
        <v>23</v>
      </c>
      <c r="E53" s="15" t="s">
        <v>209</v>
      </c>
      <c r="F53" s="15"/>
      <c r="G53" s="86">
        <f>G54+G56</f>
        <v>569000</v>
      </c>
      <c r="H53" s="86">
        <f>H54+H56</f>
        <v>564735.99</v>
      </c>
    </row>
    <row r="54" spans="1:9" ht="27.75" customHeight="1">
      <c r="A54" s="16" t="s">
        <v>36</v>
      </c>
      <c r="B54" s="14">
        <v>763</v>
      </c>
      <c r="C54" s="15" t="s">
        <v>19</v>
      </c>
      <c r="D54" s="15" t="s">
        <v>23</v>
      </c>
      <c r="E54" s="15" t="s">
        <v>209</v>
      </c>
      <c r="F54" s="15" t="s">
        <v>37</v>
      </c>
      <c r="G54" s="86">
        <f t="shared" ref="G54:H54" si="11">G55</f>
        <v>559600</v>
      </c>
      <c r="H54" s="86">
        <f t="shared" si="11"/>
        <v>555335.99</v>
      </c>
    </row>
    <row r="55" spans="1:9" ht="28.5" customHeight="1">
      <c r="A55" s="16" t="s">
        <v>38</v>
      </c>
      <c r="B55" s="14">
        <v>763</v>
      </c>
      <c r="C55" s="15" t="s">
        <v>19</v>
      </c>
      <c r="D55" s="15" t="s">
        <v>23</v>
      </c>
      <c r="E55" s="15" t="s">
        <v>209</v>
      </c>
      <c r="F55" s="15" t="s">
        <v>39</v>
      </c>
      <c r="G55" s="86">
        <f>'прил 5,'!G391</f>
        <v>559600</v>
      </c>
      <c r="H55" s="86">
        <f>'прил 5,'!H391</f>
        <v>555335.99</v>
      </c>
    </row>
    <row r="56" spans="1:9">
      <c r="A56" s="16" t="s">
        <v>63</v>
      </c>
      <c r="B56" s="14">
        <v>763</v>
      </c>
      <c r="C56" s="15" t="s">
        <v>19</v>
      </c>
      <c r="D56" s="15" t="s">
        <v>23</v>
      </c>
      <c r="E56" s="15" t="s">
        <v>209</v>
      </c>
      <c r="F56" s="15" t="s">
        <v>64</v>
      </c>
      <c r="G56" s="86">
        <f>G57</f>
        <v>9400</v>
      </c>
      <c r="H56" s="86">
        <f>H57</f>
        <v>9400</v>
      </c>
    </row>
    <row r="57" spans="1:9" ht="15" customHeight="1">
      <c r="A57" s="16" t="s">
        <v>144</v>
      </c>
      <c r="B57" s="14">
        <v>763</v>
      </c>
      <c r="C57" s="15" t="s">
        <v>19</v>
      </c>
      <c r="D57" s="15" t="s">
        <v>23</v>
      </c>
      <c r="E57" s="15" t="s">
        <v>209</v>
      </c>
      <c r="F57" s="15" t="s">
        <v>67</v>
      </c>
      <c r="G57" s="86">
        <f>'прил 5,'!G393</f>
        <v>9400</v>
      </c>
      <c r="H57" s="86">
        <f>'прил 5,'!H393</f>
        <v>9400</v>
      </c>
    </row>
    <row r="58" spans="1:9" ht="28.5" hidden="1" customHeight="1">
      <c r="A58" s="16"/>
      <c r="B58" s="14"/>
      <c r="C58" s="15"/>
      <c r="D58" s="15"/>
      <c r="E58" s="15"/>
      <c r="F58" s="15"/>
      <c r="G58" s="69"/>
      <c r="H58" s="69"/>
      <c r="I58" s="1"/>
    </row>
    <row r="59" spans="1:9" ht="125.25" customHeight="1">
      <c r="A59" s="16" t="s">
        <v>279</v>
      </c>
      <c r="B59" s="14">
        <v>763</v>
      </c>
      <c r="C59" s="15" t="s">
        <v>54</v>
      </c>
      <c r="D59" s="15" t="s">
        <v>88</v>
      </c>
      <c r="E59" s="15" t="s">
        <v>212</v>
      </c>
      <c r="F59" s="15"/>
      <c r="G59" s="86">
        <f>G60</f>
        <v>1076000</v>
      </c>
      <c r="H59" s="86">
        <f t="shared" ref="H59" si="12">H60</f>
        <v>1076000</v>
      </c>
    </row>
    <row r="60" spans="1:9" ht="25.5">
      <c r="A60" s="16" t="s">
        <v>36</v>
      </c>
      <c r="B60" s="14">
        <v>763</v>
      </c>
      <c r="C60" s="15" t="s">
        <v>54</v>
      </c>
      <c r="D60" s="15" t="s">
        <v>88</v>
      </c>
      <c r="E60" s="15" t="s">
        <v>212</v>
      </c>
      <c r="F60" s="15" t="s">
        <v>37</v>
      </c>
      <c r="G60" s="86">
        <f>SUM(G61)</f>
        <v>1076000</v>
      </c>
      <c r="H60" s="86">
        <f>SUM(H61)</f>
        <v>1076000</v>
      </c>
    </row>
    <row r="61" spans="1:9" ht="25.5" customHeight="1">
      <c r="A61" s="16" t="s">
        <v>38</v>
      </c>
      <c r="B61" s="14">
        <v>763</v>
      </c>
      <c r="C61" s="15" t="s">
        <v>54</v>
      </c>
      <c r="D61" s="15" t="s">
        <v>88</v>
      </c>
      <c r="E61" s="15" t="s">
        <v>212</v>
      </c>
      <c r="F61" s="15" t="s">
        <v>39</v>
      </c>
      <c r="G61" s="86">
        <f>'прил 5,'!G408</f>
        <v>1076000</v>
      </c>
      <c r="H61" s="86">
        <f>'прил 5,'!AG408+'прил 5,'!H408</f>
        <v>1076000</v>
      </c>
    </row>
    <row r="62" spans="1:9" ht="94.5" customHeight="1">
      <c r="A62" s="30" t="s">
        <v>639</v>
      </c>
      <c r="B62" s="14">
        <v>763</v>
      </c>
      <c r="C62" s="15" t="s">
        <v>54</v>
      </c>
      <c r="D62" s="15" t="s">
        <v>88</v>
      </c>
      <c r="E62" s="15" t="s">
        <v>213</v>
      </c>
      <c r="F62" s="15"/>
      <c r="G62" s="86">
        <f>G63</f>
        <v>270000</v>
      </c>
      <c r="H62" s="86">
        <f t="shared" ref="H62" si="13">H63</f>
        <v>270000</v>
      </c>
    </row>
    <row r="63" spans="1:9" ht="25.5">
      <c r="A63" s="16" t="s">
        <v>36</v>
      </c>
      <c r="B63" s="14">
        <v>763</v>
      </c>
      <c r="C63" s="15" t="s">
        <v>54</v>
      </c>
      <c r="D63" s="15" t="s">
        <v>88</v>
      </c>
      <c r="E63" s="15" t="s">
        <v>213</v>
      </c>
      <c r="F63" s="15" t="s">
        <v>37</v>
      </c>
      <c r="G63" s="86">
        <f>SUM(G64)</f>
        <v>270000</v>
      </c>
      <c r="H63" s="86">
        <f>SUM(H64)</f>
        <v>270000</v>
      </c>
    </row>
    <row r="64" spans="1:9" ht="25.5" customHeight="1">
      <c r="A64" s="16" t="s">
        <v>38</v>
      </c>
      <c r="B64" s="14">
        <v>763</v>
      </c>
      <c r="C64" s="15" t="s">
        <v>54</v>
      </c>
      <c r="D64" s="15" t="s">
        <v>88</v>
      </c>
      <c r="E64" s="15" t="s">
        <v>213</v>
      </c>
      <c r="F64" s="15" t="s">
        <v>39</v>
      </c>
      <c r="G64" s="86">
        <f>'прил 5,'!G411</f>
        <v>270000</v>
      </c>
      <c r="H64" s="86">
        <f>'прил 5,'!AG411+'прил 5,'!H411</f>
        <v>270000</v>
      </c>
    </row>
    <row r="65" spans="1:19" ht="81.75" hidden="1" customHeight="1">
      <c r="A65" s="30" t="s">
        <v>593</v>
      </c>
      <c r="B65" s="14">
        <v>763</v>
      </c>
      <c r="C65" s="15" t="s">
        <v>54</v>
      </c>
      <c r="D65" s="15" t="s">
        <v>88</v>
      </c>
      <c r="E65" s="15" t="s">
        <v>560</v>
      </c>
      <c r="F65" s="15"/>
      <c r="G65" s="69">
        <f>G66</f>
        <v>0</v>
      </c>
      <c r="H65" s="69">
        <v>0</v>
      </c>
      <c r="I65" s="1"/>
    </row>
    <row r="66" spans="1:19" ht="25.5" hidden="1">
      <c r="A66" s="16" t="s">
        <v>36</v>
      </c>
      <c r="B66" s="14">
        <v>763</v>
      </c>
      <c r="C66" s="15" t="s">
        <v>54</v>
      </c>
      <c r="D66" s="15" t="s">
        <v>88</v>
      </c>
      <c r="E66" s="15" t="s">
        <v>560</v>
      </c>
      <c r="F66" s="15" t="s">
        <v>37</v>
      </c>
      <c r="G66" s="69">
        <f>SUM(G67)</f>
        <v>0</v>
      </c>
      <c r="H66" s="69">
        <f>SUM(H67)</f>
        <v>0</v>
      </c>
      <c r="I66" s="1"/>
    </row>
    <row r="67" spans="1:19" ht="25.5" hidden="1" customHeight="1">
      <c r="A67" s="16" t="s">
        <v>38</v>
      </c>
      <c r="B67" s="14">
        <v>763</v>
      </c>
      <c r="C67" s="15" t="s">
        <v>54</v>
      </c>
      <c r="D67" s="15" t="s">
        <v>88</v>
      </c>
      <c r="E67" s="15" t="s">
        <v>560</v>
      </c>
      <c r="F67" s="15" t="s">
        <v>39</v>
      </c>
      <c r="G67" s="69"/>
      <c r="H67" s="69">
        <v>0</v>
      </c>
      <c r="I67" s="1"/>
    </row>
    <row r="68" spans="1:19" ht="23.25" hidden="1" customHeight="1">
      <c r="A68" s="116" t="s">
        <v>562</v>
      </c>
      <c r="B68" s="14">
        <v>763</v>
      </c>
      <c r="C68" s="15" t="s">
        <v>54</v>
      </c>
      <c r="D68" s="15" t="s">
        <v>88</v>
      </c>
      <c r="E68" s="15" t="s">
        <v>561</v>
      </c>
      <c r="F68" s="15"/>
      <c r="G68" s="69">
        <f>G69</f>
        <v>0</v>
      </c>
      <c r="H68" s="69">
        <v>0</v>
      </c>
      <c r="I68" s="1"/>
    </row>
    <row r="69" spans="1:19" ht="25.5" hidden="1">
      <c r="A69" s="16" t="s">
        <v>36</v>
      </c>
      <c r="B69" s="14">
        <v>763</v>
      </c>
      <c r="C69" s="15" t="s">
        <v>54</v>
      </c>
      <c r="D69" s="15" t="s">
        <v>88</v>
      </c>
      <c r="E69" s="15" t="s">
        <v>561</v>
      </c>
      <c r="F69" s="15" t="s">
        <v>37</v>
      </c>
      <c r="G69" s="69">
        <f>SUM(G70)</f>
        <v>0</v>
      </c>
      <c r="H69" s="69">
        <f>SUM(H70)</f>
        <v>0</v>
      </c>
      <c r="I69" s="1"/>
    </row>
    <row r="70" spans="1:19" ht="25.5" hidden="1" customHeight="1">
      <c r="A70" s="16" t="s">
        <v>38</v>
      </c>
      <c r="B70" s="14">
        <v>763</v>
      </c>
      <c r="C70" s="15" t="s">
        <v>54</v>
      </c>
      <c r="D70" s="15" t="s">
        <v>88</v>
      </c>
      <c r="E70" s="15" t="s">
        <v>561</v>
      </c>
      <c r="F70" s="15" t="s">
        <v>39</v>
      </c>
      <c r="G70" s="69"/>
      <c r="H70" s="69">
        <v>0</v>
      </c>
      <c r="I70" s="1"/>
    </row>
    <row r="71" spans="1:19" ht="23.25" hidden="1" customHeight="1">
      <c r="A71" s="116" t="s">
        <v>564</v>
      </c>
      <c r="B71" s="14">
        <v>763</v>
      </c>
      <c r="C71" s="15" t="s">
        <v>54</v>
      </c>
      <c r="D71" s="15" t="s">
        <v>88</v>
      </c>
      <c r="E71" s="15" t="s">
        <v>563</v>
      </c>
      <c r="F71" s="15"/>
      <c r="G71" s="69">
        <f>G72</f>
        <v>0</v>
      </c>
      <c r="H71" s="69">
        <v>0</v>
      </c>
      <c r="I71" s="1"/>
    </row>
    <row r="72" spans="1:19" ht="25.5" hidden="1">
      <c r="A72" s="16" t="s">
        <v>36</v>
      </c>
      <c r="B72" s="14">
        <v>763</v>
      </c>
      <c r="C72" s="15" t="s">
        <v>54</v>
      </c>
      <c r="D72" s="15" t="s">
        <v>88</v>
      </c>
      <c r="E72" s="15" t="s">
        <v>563</v>
      </c>
      <c r="F72" s="15" t="s">
        <v>37</v>
      </c>
      <c r="G72" s="69">
        <f>SUM(G73)</f>
        <v>0</v>
      </c>
      <c r="H72" s="69">
        <f>SUM(H73)</f>
        <v>0</v>
      </c>
      <c r="I72" s="1"/>
    </row>
    <row r="73" spans="1:19" ht="25.5" hidden="1" customHeight="1">
      <c r="A73" s="16" t="s">
        <v>38</v>
      </c>
      <c r="B73" s="14">
        <v>763</v>
      </c>
      <c r="C73" s="15" t="s">
        <v>54</v>
      </c>
      <c r="D73" s="15" t="s">
        <v>88</v>
      </c>
      <c r="E73" s="15" t="s">
        <v>563</v>
      </c>
      <c r="F73" s="15" t="s">
        <v>39</v>
      </c>
      <c r="G73" s="69"/>
      <c r="H73" s="69">
        <v>0</v>
      </c>
      <c r="I73" s="1"/>
    </row>
    <row r="74" spans="1:19" s="22" customFormat="1" ht="48" customHeight="1">
      <c r="A74" s="34" t="s">
        <v>1128</v>
      </c>
      <c r="B74" s="35">
        <v>793</v>
      </c>
      <c r="C74" s="36" t="s">
        <v>69</v>
      </c>
      <c r="D74" s="36" t="s">
        <v>70</v>
      </c>
      <c r="E74" s="36" t="s">
        <v>262</v>
      </c>
      <c r="F74" s="36"/>
      <c r="G74" s="70">
        <f>G92+G101+G104</f>
        <v>4893548.6500000004</v>
      </c>
      <c r="H74" s="70">
        <f>H92+H101+H104</f>
        <v>4893548.6500000004</v>
      </c>
      <c r="I74" s="21">
        <v>100000</v>
      </c>
      <c r="O74" s="21"/>
      <c r="P74" s="21"/>
      <c r="Q74" s="21"/>
      <c r="R74" s="21"/>
      <c r="S74" s="21"/>
    </row>
    <row r="75" spans="1:19" ht="42.75" hidden="1" customHeight="1">
      <c r="A75" s="16"/>
      <c r="B75" s="14"/>
      <c r="C75" s="15"/>
      <c r="D75" s="15"/>
      <c r="E75" s="15"/>
      <c r="F75" s="15"/>
      <c r="G75" s="86"/>
      <c r="H75" s="86"/>
    </row>
    <row r="76" spans="1:19" s="18" customFormat="1" ht="25.5" hidden="1">
      <c r="A76" s="16" t="s">
        <v>469</v>
      </c>
      <c r="B76" s="15" t="s">
        <v>94</v>
      </c>
      <c r="C76" s="15" t="s">
        <v>26</v>
      </c>
      <c r="D76" s="15" t="s">
        <v>28</v>
      </c>
      <c r="E76" s="15" t="s">
        <v>441</v>
      </c>
      <c r="F76" s="15"/>
      <c r="G76" s="69">
        <f>G77</f>
        <v>0</v>
      </c>
      <c r="H76" s="69">
        <f t="shared" ref="H76" si="14">H77</f>
        <v>0</v>
      </c>
      <c r="I76" s="17"/>
      <c r="O76" s="17"/>
      <c r="P76" s="17"/>
      <c r="Q76" s="17"/>
      <c r="R76" s="17"/>
      <c r="S76" s="17"/>
    </row>
    <row r="77" spans="1:19" s="18" customFormat="1" ht="25.5" hidden="1">
      <c r="A77" s="16" t="s">
        <v>96</v>
      </c>
      <c r="B77" s="15" t="s">
        <v>94</v>
      </c>
      <c r="C77" s="15" t="s">
        <v>26</v>
      </c>
      <c r="D77" s="15" t="s">
        <v>28</v>
      </c>
      <c r="E77" s="15" t="s">
        <v>441</v>
      </c>
      <c r="F77" s="15" t="s">
        <v>348</v>
      </c>
      <c r="G77" s="69">
        <f>G78</f>
        <v>0</v>
      </c>
      <c r="H77" s="69">
        <f>H78</f>
        <v>0</v>
      </c>
      <c r="I77" s="17"/>
      <c r="O77" s="17"/>
      <c r="P77" s="17"/>
      <c r="Q77" s="17"/>
      <c r="R77" s="17"/>
      <c r="S77" s="17"/>
    </row>
    <row r="78" spans="1:19" s="18" customFormat="1" ht="89.25" hidden="1">
      <c r="A78" s="50" t="s">
        <v>419</v>
      </c>
      <c r="B78" s="15" t="s">
        <v>94</v>
      </c>
      <c r="C78" s="15" t="s">
        <v>26</v>
      </c>
      <c r="D78" s="15" t="s">
        <v>28</v>
      </c>
      <c r="E78" s="15" t="s">
        <v>441</v>
      </c>
      <c r="F78" s="15" t="s">
        <v>418</v>
      </c>
      <c r="G78" s="69">
        <f>'прил 5,'!G740</f>
        <v>0</v>
      </c>
      <c r="H78" s="27">
        <f>'прил 5,'!H740+'прил 5,'!H740</f>
        <v>0</v>
      </c>
      <c r="I78" s="17"/>
      <c r="O78" s="17"/>
      <c r="P78" s="17"/>
      <c r="Q78" s="17"/>
      <c r="R78" s="17"/>
      <c r="S78" s="17"/>
    </row>
    <row r="79" spans="1:19" s="18" customFormat="1" ht="25.5" hidden="1" customHeight="1">
      <c r="A79" s="16" t="s">
        <v>512</v>
      </c>
      <c r="B79" s="49">
        <v>795</v>
      </c>
      <c r="C79" s="15" t="s">
        <v>173</v>
      </c>
      <c r="D79" s="15" t="s">
        <v>28</v>
      </c>
      <c r="E79" s="15" t="s">
        <v>511</v>
      </c>
      <c r="F79" s="15"/>
      <c r="G79" s="69">
        <f>G80</f>
        <v>0</v>
      </c>
      <c r="H79" s="69">
        <f t="shared" ref="H79" si="15">H80</f>
        <v>0</v>
      </c>
      <c r="O79" s="17"/>
      <c r="P79" s="17"/>
      <c r="Q79" s="17"/>
      <c r="R79" s="17"/>
      <c r="S79" s="17"/>
    </row>
    <row r="80" spans="1:19" s="18" customFormat="1" ht="48" hidden="1" customHeight="1">
      <c r="A80" s="16" t="s">
        <v>547</v>
      </c>
      <c r="B80" s="49">
        <v>795</v>
      </c>
      <c r="C80" s="15" t="s">
        <v>173</v>
      </c>
      <c r="D80" s="15" t="s">
        <v>28</v>
      </c>
      <c r="E80" s="15" t="s">
        <v>546</v>
      </c>
      <c r="F80" s="15"/>
      <c r="G80" s="69">
        <f>G81</f>
        <v>0</v>
      </c>
      <c r="H80" s="69">
        <f t="shared" ref="H80:H81" si="16">H81</f>
        <v>0</v>
      </c>
      <c r="O80" s="17"/>
      <c r="P80" s="17"/>
      <c r="Q80" s="17"/>
      <c r="R80" s="17"/>
      <c r="S80" s="17"/>
    </row>
    <row r="81" spans="1:19" s="18" customFormat="1" hidden="1">
      <c r="A81" s="16" t="s">
        <v>156</v>
      </c>
      <c r="B81" s="49">
        <v>795</v>
      </c>
      <c r="C81" s="15" t="s">
        <v>173</v>
      </c>
      <c r="D81" s="15" t="s">
        <v>28</v>
      </c>
      <c r="E81" s="15" t="s">
        <v>546</v>
      </c>
      <c r="F81" s="15" t="s">
        <v>157</v>
      </c>
      <c r="G81" s="69">
        <f>G82</f>
        <v>0</v>
      </c>
      <c r="H81" s="69">
        <f t="shared" si="16"/>
        <v>0</v>
      </c>
      <c r="O81" s="17"/>
      <c r="P81" s="17"/>
      <c r="Q81" s="17"/>
      <c r="R81" s="17"/>
      <c r="S81" s="17"/>
    </row>
    <row r="82" spans="1:19" s="18" customFormat="1" hidden="1">
      <c r="A82" s="16" t="s">
        <v>170</v>
      </c>
      <c r="B82" s="49">
        <v>795</v>
      </c>
      <c r="C82" s="15" t="s">
        <v>173</v>
      </c>
      <c r="D82" s="15" t="s">
        <v>28</v>
      </c>
      <c r="E82" s="15" t="s">
        <v>546</v>
      </c>
      <c r="F82" s="15" t="s">
        <v>171</v>
      </c>
      <c r="G82" s="69">
        <f>'прил 5,'!G2015</f>
        <v>0</v>
      </c>
      <c r="H82" s="69">
        <f>'прил 5,'!H2015</f>
        <v>0</v>
      </c>
      <c r="O82" s="17"/>
      <c r="P82" s="17"/>
      <c r="Q82" s="17"/>
      <c r="R82" s="17"/>
      <c r="S82" s="17"/>
    </row>
    <row r="83" spans="1:19" s="18" customFormat="1" ht="56.25" hidden="1" customHeight="1">
      <c r="A83" s="16" t="s">
        <v>591</v>
      </c>
      <c r="B83" s="14">
        <v>757</v>
      </c>
      <c r="C83" s="15" t="s">
        <v>44</v>
      </c>
      <c r="D83" s="15" t="s">
        <v>19</v>
      </c>
      <c r="E83" s="15" t="s">
        <v>590</v>
      </c>
      <c r="F83" s="15"/>
      <c r="G83" s="69">
        <f>G84</f>
        <v>0</v>
      </c>
      <c r="H83" s="69">
        <f t="shared" ref="H83:H84" si="17">H84</f>
        <v>0</v>
      </c>
      <c r="O83" s="17"/>
      <c r="P83" s="17"/>
      <c r="Q83" s="17"/>
      <c r="R83" s="17"/>
      <c r="S83" s="17"/>
    </row>
    <row r="84" spans="1:19" s="18" customFormat="1" ht="25.5" hidden="1">
      <c r="A84" s="16" t="s">
        <v>30</v>
      </c>
      <c r="B84" s="14">
        <v>757</v>
      </c>
      <c r="C84" s="15" t="s">
        <v>44</v>
      </c>
      <c r="D84" s="15" t="s">
        <v>19</v>
      </c>
      <c r="E84" s="15" t="s">
        <v>590</v>
      </c>
      <c r="F84" s="15" t="s">
        <v>31</v>
      </c>
      <c r="G84" s="69">
        <f>G85</f>
        <v>0</v>
      </c>
      <c r="H84" s="69">
        <f t="shared" si="17"/>
        <v>0</v>
      </c>
      <c r="O84" s="17"/>
      <c r="P84" s="17"/>
      <c r="Q84" s="17"/>
      <c r="R84" s="17"/>
      <c r="S84" s="17"/>
    </row>
    <row r="85" spans="1:19" s="18" customFormat="1" hidden="1">
      <c r="A85" s="16" t="s">
        <v>32</v>
      </c>
      <c r="B85" s="14">
        <v>757</v>
      </c>
      <c r="C85" s="15" t="s">
        <v>44</v>
      </c>
      <c r="D85" s="15" t="s">
        <v>19</v>
      </c>
      <c r="E85" s="15" t="s">
        <v>590</v>
      </c>
      <c r="F85" s="15" t="s">
        <v>33</v>
      </c>
      <c r="G85" s="69">
        <f>'прил 5,'!G234</f>
        <v>0</v>
      </c>
      <c r="H85" s="69">
        <v>0</v>
      </c>
      <c r="O85" s="17"/>
      <c r="P85" s="17"/>
      <c r="Q85" s="17"/>
      <c r="R85" s="17"/>
      <c r="S85" s="17"/>
    </row>
    <row r="86" spans="1:19" s="18" customFormat="1" ht="52.5" hidden="1" customHeight="1">
      <c r="A86" s="16" t="s">
        <v>543</v>
      </c>
      <c r="B86" s="15" t="s">
        <v>94</v>
      </c>
      <c r="C86" s="15" t="s">
        <v>26</v>
      </c>
      <c r="D86" s="15" t="s">
        <v>19</v>
      </c>
      <c r="E86" s="15" t="s">
        <v>542</v>
      </c>
      <c r="F86" s="15"/>
      <c r="G86" s="69">
        <f>G87</f>
        <v>0</v>
      </c>
      <c r="H86" s="69">
        <f t="shared" ref="H86:H87" si="18">H87</f>
        <v>0</v>
      </c>
      <c r="O86" s="17"/>
      <c r="P86" s="17"/>
      <c r="Q86" s="17"/>
      <c r="R86" s="17"/>
      <c r="S86" s="17"/>
    </row>
    <row r="87" spans="1:19" s="18" customFormat="1" ht="25.5" hidden="1">
      <c r="A87" s="16" t="s">
        <v>30</v>
      </c>
      <c r="B87" s="15" t="s">
        <v>94</v>
      </c>
      <c r="C87" s="15" t="s">
        <v>26</v>
      </c>
      <c r="D87" s="15" t="s">
        <v>19</v>
      </c>
      <c r="E87" s="15" t="s">
        <v>542</v>
      </c>
      <c r="F87" s="15" t="s">
        <v>31</v>
      </c>
      <c r="G87" s="69">
        <f>G88</f>
        <v>0</v>
      </c>
      <c r="H87" s="69">
        <f t="shared" si="18"/>
        <v>0</v>
      </c>
      <c r="O87" s="17"/>
      <c r="P87" s="17"/>
      <c r="Q87" s="17"/>
      <c r="R87" s="17"/>
      <c r="S87" s="17"/>
    </row>
    <row r="88" spans="1:19" s="18" customFormat="1" hidden="1">
      <c r="A88" s="16" t="s">
        <v>32</v>
      </c>
      <c r="B88" s="15" t="s">
        <v>94</v>
      </c>
      <c r="C88" s="15" t="s">
        <v>26</v>
      </c>
      <c r="D88" s="15" t="s">
        <v>19</v>
      </c>
      <c r="E88" s="15" t="s">
        <v>542</v>
      </c>
      <c r="F88" s="15" t="s">
        <v>33</v>
      </c>
      <c r="G88" s="69"/>
      <c r="H88" s="69">
        <v>0</v>
      </c>
      <c r="O88" s="17"/>
      <c r="P88" s="17"/>
      <c r="Q88" s="17"/>
      <c r="R88" s="17"/>
      <c r="S88" s="17"/>
    </row>
    <row r="89" spans="1:19" ht="42.75" hidden="1" customHeight="1">
      <c r="A89" s="138" t="s">
        <v>828</v>
      </c>
      <c r="B89" s="14">
        <v>757</v>
      </c>
      <c r="C89" s="15" t="s">
        <v>44</v>
      </c>
      <c r="D89" s="15" t="s">
        <v>19</v>
      </c>
      <c r="E89" s="15" t="s">
        <v>827</v>
      </c>
      <c r="F89" s="14"/>
      <c r="G89" s="86">
        <f t="shared" ref="G89:H90" si="19">G90</f>
        <v>0</v>
      </c>
      <c r="H89" s="69">
        <f t="shared" si="19"/>
        <v>0</v>
      </c>
      <c r="I89" s="1"/>
    </row>
    <row r="90" spans="1:19" ht="25.5" hidden="1">
      <c r="A90" s="81" t="s">
        <v>30</v>
      </c>
      <c r="B90" s="14">
        <v>757</v>
      </c>
      <c r="C90" s="15" t="s">
        <v>44</v>
      </c>
      <c r="D90" s="15" t="s">
        <v>19</v>
      </c>
      <c r="E90" s="15" t="s">
        <v>827</v>
      </c>
      <c r="F90" s="15" t="s">
        <v>31</v>
      </c>
      <c r="G90" s="94">
        <f t="shared" si="19"/>
        <v>0</v>
      </c>
      <c r="H90" s="25">
        <f t="shared" si="19"/>
        <v>0</v>
      </c>
      <c r="I90" s="1"/>
    </row>
    <row r="91" spans="1:19" hidden="1">
      <c r="A91" s="81" t="s">
        <v>32</v>
      </c>
      <c r="B91" s="14">
        <v>757</v>
      </c>
      <c r="C91" s="15" t="s">
        <v>44</v>
      </c>
      <c r="D91" s="15" t="s">
        <v>19</v>
      </c>
      <c r="E91" s="15" t="s">
        <v>827</v>
      </c>
      <c r="F91" s="15" t="s">
        <v>33</v>
      </c>
      <c r="G91" s="25"/>
      <c r="H91" s="25">
        <v>0</v>
      </c>
      <c r="I91" s="1"/>
    </row>
    <row r="92" spans="1:19" ht="24" customHeight="1">
      <c r="A92" s="50" t="s">
        <v>940</v>
      </c>
      <c r="B92" s="14">
        <v>793</v>
      </c>
      <c r="C92" s="15" t="s">
        <v>69</v>
      </c>
      <c r="D92" s="15" t="s">
        <v>70</v>
      </c>
      <c r="E92" s="15" t="s">
        <v>939</v>
      </c>
      <c r="F92" s="15"/>
      <c r="G92" s="69">
        <f>G93</f>
        <v>4853548.6500000004</v>
      </c>
      <c r="H92" s="69">
        <f>H93</f>
        <v>4853548.6500000004</v>
      </c>
      <c r="I92" s="1"/>
    </row>
    <row r="93" spans="1:19" ht="21" customHeight="1">
      <c r="A93" s="16" t="s">
        <v>148</v>
      </c>
      <c r="B93" s="14">
        <v>793</v>
      </c>
      <c r="C93" s="15" t="s">
        <v>69</v>
      </c>
      <c r="D93" s="15" t="s">
        <v>70</v>
      </c>
      <c r="E93" s="15" t="s">
        <v>939</v>
      </c>
      <c r="F93" s="15" t="s">
        <v>149</v>
      </c>
      <c r="G93" s="69">
        <f>G94</f>
        <v>4853548.6500000004</v>
      </c>
      <c r="H93" s="69">
        <f t="shared" ref="H93" si="20">H94</f>
        <v>4853548.6500000004</v>
      </c>
      <c r="I93" s="1"/>
    </row>
    <row r="94" spans="1:19" ht="30.75" customHeight="1">
      <c r="A94" s="16" t="s">
        <v>150</v>
      </c>
      <c r="B94" s="14">
        <v>793</v>
      </c>
      <c r="C94" s="15" t="s">
        <v>69</v>
      </c>
      <c r="D94" s="15" t="s">
        <v>70</v>
      </c>
      <c r="E94" s="15" t="s">
        <v>939</v>
      </c>
      <c r="F94" s="15" t="s">
        <v>151</v>
      </c>
      <c r="G94" s="69">
        <f>'прил 5,'!G1703</f>
        <v>4853548.6500000004</v>
      </c>
      <c r="H94" s="69">
        <f>'прил 5,'!H1703</f>
        <v>4853548.6500000004</v>
      </c>
      <c r="I94" s="1"/>
    </row>
    <row r="95" spans="1:19" ht="60" hidden="1" customHeight="1">
      <c r="A95" s="50" t="s">
        <v>274</v>
      </c>
      <c r="B95" s="14">
        <v>793</v>
      </c>
      <c r="C95" s="15" t="s">
        <v>69</v>
      </c>
      <c r="D95" s="15" t="s">
        <v>70</v>
      </c>
      <c r="E95" s="15" t="s">
        <v>273</v>
      </c>
      <c r="F95" s="15"/>
      <c r="G95" s="69">
        <f>G96</f>
        <v>0</v>
      </c>
      <c r="H95" s="69">
        <f t="shared" ref="H95" si="21">H96</f>
        <v>0</v>
      </c>
      <c r="I95" s="1"/>
    </row>
    <row r="96" spans="1:19" ht="21" hidden="1" customHeight="1">
      <c r="A96" s="16" t="s">
        <v>148</v>
      </c>
      <c r="B96" s="14">
        <v>793</v>
      </c>
      <c r="C96" s="15" t="s">
        <v>69</v>
      </c>
      <c r="D96" s="15" t="s">
        <v>70</v>
      </c>
      <c r="E96" s="15" t="s">
        <v>273</v>
      </c>
      <c r="F96" s="15" t="s">
        <v>149</v>
      </c>
      <c r="G96" s="69">
        <f>G97</f>
        <v>0</v>
      </c>
      <c r="H96" s="69">
        <f t="shared" ref="H96" si="22">H97</f>
        <v>0</v>
      </c>
      <c r="I96" s="1"/>
    </row>
    <row r="97" spans="1:19" ht="30.75" hidden="1" customHeight="1">
      <c r="A97" s="16" t="s">
        <v>150</v>
      </c>
      <c r="B97" s="14">
        <v>793</v>
      </c>
      <c r="C97" s="15" t="s">
        <v>69</v>
      </c>
      <c r="D97" s="15" t="s">
        <v>70</v>
      </c>
      <c r="E97" s="15" t="s">
        <v>273</v>
      </c>
      <c r="F97" s="15" t="s">
        <v>151</v>
      </c>
      <c r="G97" s="69">
        <f>'прил 5,'!G1707</f>
        <v>0</v>
      </c>
      <c r="H97" s="69">
        <f>'прил 5,'!H1707</f>
        <v>0</v>
      </c>
      <c r="I97" s="1"/>
    </row>
    <row r="98" spans="1:19" ht="30.75" hidden="1" customHeight="1">
      <c r="A98" s="16" t="s">
        <v>448</v>
      </c>
      <c r="B98" s="14">
        <v>793</v>
      </c>
      <c r="C98" s="15" t="s">
        <v>69</v>
      </c>
      <c r="D98" s="15" t="s">
        <v>70</v>
      </c>
      <c r="E98" s="15" t="s">
        <v>447</v>
      </c>
      <c r="F98" s="15"/>
      <c r="G98" s="69">
        <f t="shared" ref="G98:H99" si="23">G99</f>
        <v>0</v>
      </c>
      <c r="H98" s="8">
        <f t="shared" si="23"/>
        <v>0</v>
      </c>
    </row>
    <row r="99" spans="1:19" ht="30.75" hidden="1" customHeight="1">
      <c r="A99" s="16" t="s">
        <v>63</v>
      </c>
      <c r="B99" s="14">
        <v>793</v>
      </c>
      <c r="C99" s="15" t="s">
        <v>69</v>
      </c>
      <c r="D99" s="15" t="s">
        <v>70</v>
      </c>
      <c r="E99" s="15" t="s">
        <v>447</v>
      </c>
      <c r="F99" s="15" t="s">
        <v>64</v>
      </c>
      <c r="G99" s="69">
        <f t="shared" si="23"/>
        <v>0</v>
      </c>
      <c r="H99" s="8">
        <f t="shared" si="23"/>
        <v>0</v>
      </c>
    </row>
    <row r="100" spans="1:19" ht="30.75" hidden="1" customHeight="1">
      <c r="A100" s="16" t="s">
        <v>180</v>
      </c>
      <c r="B100" s="14">
        <v>793</v>
      </c>
      <c r="C100" s="15" t="s">
        <v>69</v>
      </c>
      <c r="D100" s="15" t="s">
        <v>70</v>
      </c>
      <c r="E100" s="15" t="s">
        <v>447</v>
      </c>
      <c r="F100" s="15" t="s">
        <v>181</v>
      </c>
      <c r="G100" s="69">
        <f>'прил 5,'!G1710</f>
        <v>0</v>
      </c>
      <c r="H100" s="8">
        <f>'прил 5,'!H1710</f>
        <v>0</v>
      </c>
    </row>
    <row r="101" spans="1:19" ht="28.5" hidden="1" customHeight="1">
      <c r="A101" s="79" t="s">
        <v>889</v>
      </c>
      <c r="B101" s="14">
        <v>757</v>
      </c>
      <c r="C101" s="15" t="s">
        <v>44</v>
      </c>
      <c r="D101" s="15" t="s">
        <v>19</v>
      </c>
      <c r="E101" s="15" t="s">
        <v>890</v>
      </c>
      <c r="F101" s="14"/>
      <c r="G101" s="69">
        <f t="shared" ref="G101:H102" si="24">G102</f>
        <v>0</v>
      </c>
      <c r="H101" s="69">
        <f t="shared" si="24"/>
        <v>0</v>
      </c>
      <c r="I101" s="170"/>
      <c r="O101" s="1"/>
      <c r="P101" s="1"/>
      <c r="Q101" s="1"/>
      <c r="R101" s="1"/>
      <c r="S101" s="1"/>
    </row>
    <row r="102" spans="1:19" ht="25.5" hidden="1">
      <c r="A102" s="16" t="s">
        <v>30</v>
      </c>
      <c r="B102" s="14">
        <v>757</v>
      </c>
      <c r="C102" s="15" t="s">
        <v>44</v>
      </c>
      <c r="D102" s="15" t="s">
        <v>19</v>
      </c>
      <c r="E102" s="15" t="s">
        <v>890</v>
      </c>
      <c r="F102" s="15" t="s">
        <v>31</v>
      </c>
      <c r="G102" s="25">
        <f t="shared" si="24"/>
        <v>0</v>
      </c>
      <c r="H102" s="25">
        <f t="shared" si="24"/>
        <v>0</v>
      </c>
      <c r="I102" s="63"/>
      <c r="O102" s="1"/>
      <c r="P102" s="1"/>
      <c r="Q102" s="1"/>
      <c r="R102" s="1"/>
      <c r="S102" s="1"/>
    </row>
    <row r="103" spans="1:19" hidden="1">
      <c r="A103" s="16" t="s">
        <v>32</v>
      </c>
      <c r="B103" s="14">
        <v>757</v>
      </c>
      <c r="C103" s="15" t="s">
        <v>44</v>
      </c>
      <c r="D103" s="15" t="s">
        <v>19</v>
      </c>
      <c r="E103" s="15" t="s">
        <v>890</v>
      </c>
      <c r="F103" s="15" t="s">
        <v>33</v>
      </c>
      <c r="G103" s="25">
        <f>'прил 5,'!G133</f>
        <v>0</v>
      </c>
      <c r="H103" s="25">
        <v>0</v>
      </c>
      <c r="I103" s="63"/>
      <c r="O103" s="1"/>
      <c r="P103" s="1"/>
      <c r="Q103" s="1"/>
      <c r="R103" s="1"/>
      <c r="S103" s="1"/>
    </row>
    <row r="104" spans="1:19" s="46" customFormat="1" ht="29.25" customHeight="1">
      <c r="A104" s="81" t="s">
        <v>1111</v>
      </c>
      <c r="B104" s="82">
        <v>793</v>
      </c>
      <c r="C104" s="83" t="s">
        <v>173</v>
      </c>
      <c r="D104" s="83" t="s">
        <v>70</v>
      </c>
      <c r="E104" s="83" t="s">
        <v>1110</v>
      </c>
      <c r="F104" s="83"/>
      <c r="G104" s="86">
        <f>G105</f>
        <v>40000</v>
      </c>
      <c r="H104" s="86">
        <f t="shared" ref="H104:H105" si="25">H105</f>
        <v>40000</v>
      </c>
      <c r="I104" s="171"/>
      <c r="J104" s="213"/>
      <c r="K104" s="213"/>
      <c r="L104" s="213"/>
      <c r="M104" s="213"/>
      <c r="N104" s="213"/>
      <c r="O104" s="213"/>
      <c r="P104" s="213"/>
      <c r="Q104" s="213"/>
    </row>
    <row r="105" spans="1:19" s="46" customFormat="1" ht="17.25" customHeight="1">
      <c r="A105" s="81" t="s">
        <v>323</v>
      </c>
      <c r="B105" s="82">
        <v>793</v>
      </c>
      <c r="C105" s="83" t="s">
        <v>173</v>
      </c>
      <c r="D105" s="83" t="s">
        <v>70</v>
      </c>
      <c r="E105" s="83" t="s">
        <v>1110</v>
      </c>
      <c r="F105" s="83" t="s">
        <v>37</v>
      </c>
      <c r="G105" s="86">
        <f>G106</f>
        <v>40000</v>
      </c>
      <c r="H105" s="86">
        <f t="shared" si="25"/>
        <v>40000</v>
      </c>
      <c r="I105" s="171"/>
      <c r="J105" s="213"/>
      <c r="K105" s="213"/>
      <c r="L105" s="213"/>
      <c r="M105" s="213"/>
      <c r="N105" s="213"/>
      <c r="O105" s="213"/>
      <c r="P105" s="213"/>
      <c r="Q105" s="213"/>
    </row>
    <row r="106" spans="1:19" s="46" customFormat="1" ht="36.75" customHeight="1">
      <c r="A106" s="81" t="s">
        <v>38</v>
      </c>
      <c r="B106" s="82">
        <v>793</v>
      </c>
      <c r="C106" s="83" t="s">
        <v>173</v>
      </c>
      <c r="D106" s="83" t="s">
        <v>70</v>
      </c>
      <c r="E106" s="83" t="s">
        <v>1110</v>
      </c>
      <c r="F106" s="83" t="s">
        <v>39</v>
      </c>
      <c r="G106" s="86">
        <v>40000</v>
      </c>
      <c r="H106" s="86">
        <v>40000</v>
      </c>
      <c r="I106" s="171"/>
      <c r="J106" s="213"/>
      <c r="K106" s="213"/>
      <c r="L106" s="213"/>
      <c r="M106" s="213"/>
      <c r="N106" s="213"/>
      <c r="O106" s="213"/>
      <c r="P106" s="213"/>
      <c r="Q106" s="213"/>
    </row>
    <row r="107" spans="1:19" s="22" customFormat="1" ht="43.5" customHeight="1">
      <c r="A107" s="224" t="s">
        <v>1125</v>
      </c>
      <c r="B107" s="35">
        <v>793</v>
      </c>
      <c r="C107" s="36" t="s">
        <v>19</v>
      </c>
      <c r="D107" s="36" t="s">
        <v>54</v>
      </c>
      <c r="E107" s="35" t="s">
        <v>242</v>
      </c>
      <c r="F107" s="35"/>
      <c r="G107" s="70">
        <f>G108+G114+G113+G127+G120+G117</f>
        <v>1183715</v>
      </c>
      <c r="H107" s="70">
        <f>H108+H114+H113+H127+H120</f>
        <v>1183715</v>
      </c>
      <c r="I107" s="21">
        <v>25000</v>
      </c>
      <c r="O107" s="21"/>
      <c r="P107" s="21"/>
      <c r="Q107" s="21"/>
      <c r="R107" s="21"/>
      <c r="S107" s="21"/>
    </row>
    <row r="108" spans="1:19" ht="25.5">
      <c r="A108" s="16" t="s">
        <v>322</v>
      </c>
      <c r="B108" s="14">
        <v>793</v>
      </c>
      <c r="C108" s="15" t="s">
        <v>19</v>
      </c>
      <c r="D108" s="15" t="s">
        <v>54</v>
      </c>
      <c r="E108" s="15" t="s">
        <v>243</v>
      </c>
      <c r="F108" s="15"/>
      <c r="G108" s="69">
        <f t="shared" ref="G108:H109" si="26">G109</f>
        <v>35000</v>
      </c>
      <c r="H108" s="86">
        <f t="shared" si="26"/>
        <v>35000</v>
      </c>
      <c r="I108" s="2">
        <v>190700</v>
      </c>
    </row>
    <row r="109" spans="1:19">
      <c r="A109" s="16" t="s">
        <v>323</v>
      </c>
      <c r="B109" s="14">
        <v>793</v>
      </c>
      <c r="C109" s="15" t="s">
        <v>19</v>
      </c>
      <c r="D109" s="15" t="s">
        <v>54</v>
      </c>
      <c r="E109" s="15" t="s">
        <v>243</v>
      </c>
      <c r="F109" s="15" t="s">
        <v>37</v>
      </c>
      <c r="G109" s="69">
        <f t="shared" si="26"/>
        <v>35000</v>
      </c>
      <c r="H109" s="86">
        <f t="shared" si="26"/>
        <v>35000</v>
      </c>
      <c r="I109" s="2">
        <v>400000</v>
      </c>
    </row>
    <row r="110" spans="1:19" ht="25.5">
      <c r="A110" s="16" t="s">
        <v>38</v>
      </c>
      <c r="B110" s="14">
        <v>793</v>
      </c>
      <c r="C110" s="15" t="s">
        <v>19</v>
      </c>
      <c r="D110" s="15" t="s">
        <v>54</v>
      </c>
      <c r="E110" s="15" t="s">
        <v>243</v>
      </c>
      <c r="F110" s="15" t="s">
        <v>39</v>
      </c>
      <c r="G110" s="69">
        <f>'прил 5,'!G1137</f>
        <v>35000</v>
      </c>
      <c r="H110" s="86">
        <f>'прил 5,'!H1137</f>
        <v>35000</v>
      </c>
      <c r="I110" s="2">
        <f>SUM(I107:I109)</f>
        <v>615700</v>
      </c>
    </row>
    <row r="111" spans="1:19" ht="30.75" customHeight="1">
      <c r="A111" s="16" t="s">
        <v>344</v>
      </c>
      <c r="B111" s="14">
        <v>793</v>
      </c>
      <c r="C111" s="15" t="s">
        <v>54</v>
      </c>
      <c r="D111" s="15" t="s">
        <v>88</v>
      </c>
      <c r="E111" s="14" t="s">
        <v>395</v>
      </c>
      <c r="F111" s="14"/>
      <c r="G111" s="69">
        <f>G113</f>
        <v>414715</v>
      </c>
      <c r="H111" s="86">
        <f>H113</f>
        <v>414715</v>
      </c>
    </row>
    <row r="112" spans="1:19">
      <c r="A112" s="16" t="s">
        <v>63</v>
      </c>
      <c r="B112" s="14">
        <v>793</v>
      </c>
      <c r="C112" s="15" t="s">
        <v>54</v>
      </c>
      <c r="D112" s="15" t="s">
        <v>88</v>
      </c>
      <c r="E112" s="14" t="s">
        <v>258</v>
      </c>
      <c r="F112" s="14">
        <v>800</v>
      </c>
      <c r="G112" s="69">
        <f t="shared" ref="G112:H115" si="27">G113</f>
        <v>414715</v>
      </c>
      <c r="H112" s="86">
        <f t="shared" si="27"/>
        <v>414715</v>
      </c>
    </row>
    <row r="113" spans="1:9" ht="45.75" customHeight="1">
      <c r="A113" s="16" t="s">
        <v>340</v>
      </c>
      <c r="B113" s="14">
        <v>793</v>
      </c>
      <c r="C113" s="15" t="s">
        <v>54</v>
      </c>
      <c r="D113" s="15" t="s">
        <v>88</v>
      </c>
      <c r="E113" s="14" t="s">
        <v>395</v>
      </c>
      <c r="F113" s="14">
        <v>810</v>
      </c>
      <c r="G113" s="69">
        <f>'прил 5,'!G1431</f>
        <v>414715</v>
      </c>
      <c r="H113" s="86">
        <f>'прил 5,'!H1431</f>
        <v>414715</v>
      </c>
    </row>
    <row r="114" spans="1:9" ht="47.25" customHeight="1">
      <c r="A114" s="16" t="s">
        <v>111</v>
      </c>
      <c r="B114" s="14">
        <v>793</v>
      </c>
      <c r="C114" s="15" t="s">
        <v>54</v>
      </c>
      <c r="D114" s="15" t="s">
        <v>88</v>
      </c>
      <c r="E114" s="14" t="s">
        <v>258</v>
      </c>
      <c r="F114" s="14"/>
      <c r="G114" s="69">
        <f t="shared" si="27"/>
        <v>700000</v>
      </c>
      <c r="H114" s="86">
        <f t="shared" si="27"/>
        <v>700000</v>
      </c>
    </row>
    <row r="115" spans="1:9">
      <c r="A115" s="16" t="s">
        <v>63</v>
      </c>
      <c r="B115" s="14">
        <v>793</v>
      </c>
      <c r="C115" s="15" t="s">
        <v>54</v>
      </c>
      <c r="D115" s="15" t="s">
        <v>88</v>
      </c>
      <c r="E115" s="14" t="s">
        <v>258</v>
      </c>
      <c r="F115" s="14">
        <v>800</v>
      </c>
      <c r="G115" s="69">
        <f t="shared" si="27"/>
        <v>700000</v>
      </c>
      <c r="H115" s="86">
        <f t="shared" si="27"/>
        <v>700000</v>
      </c>
    </row>
    <row r="116" spans="1:9" ht="51" customHeight="1">
      <c r="A116" s="16" t="s">
        <v>340</v>
      </c>
      <c r="B116" s="14">
        <v>793</v>
      </c>
      <c r="C116" s="15" t="s">
        <v>54</v>
      </c>
      <c r="D116" s="15" t="s">
        <v>88</v>
      </c>
      <c r="E116" s="14" t="s">
        <v>258</v>
      </c>
      <c r="F116" s="14">
        <v>810</v>
      </c>
      <c r="G116" s="69">
        <f>'прил 5,'!G1434</f>
        <v>700000</v>
      </c>
      <c r="H116" s="86">
        <f>'прил 5,'!H1434</f>
        <v>700000</v>
      </c>
    </row>
    <row r="117" spans="1:9" ht="40.5" hidden="1" customHeight="1">
      <c r="A117" s="16" t="s">
        <v>782</v>
      </c>
      <c r="B117" s="14">
        <v>793</v>
      </c>
      <c r="C117" s="15" t="s">
        <v>54</v>
      </c>
      <c r="D117" s="15" t="s">
        <v>173</v>
      </c>
      <c r="E117" s="14" t="s">
        <v>637</v>
      </c>
      <c r="F117" s="14"/>
      <c r="G117" s="69">
        <f>G118</f>
        <v>0</v>
      </c>
      <c r="H117" s="69">
        <f>H119</f>
        <v>0</v>
      </c>
      <c r="I117" s="1"/>
    </row>
    <row r="118" spans="1:9" hidden="1">
      <c r="A118" s="16" t="s">
        <v>63</v>
      </c>
      <c r="B118" s="14">
        <v>793</v>
      </c>
      <c r="C118" s="15" t="s">
        <v>54</v>
      </c>
      <c r="D118" s="15" t="s">
        <v>173</v>
      </c>
      <c r="E118" s="14" t="s">
        <v>637</v>
      </c>
      <c r="F118" s="14">
        <v>800</v>
      </c>
      <c r="G118" s="69">
        <f t="shared" ref="G118:H118" si="28">G119</f>
        <v>0</v>
      </c>
      <c r="H118" s="69">
        <f t="shared" si="28"/>
        <v>0</v>
      </c>
      <c r="I118" s="1"/>
    </row>
    <row r="119" spans="1:9" ht="31.5" hidden="1" customHeight="1">
      <c r="A119" s="16" t="s">
        <v>431</v>
      </c>
      <c r="B119" s="14">
        <v>793</v>
      </c>
      <c r="C119" s="15" t="s">
        <v>54</v>
      </c>
      <c r="D119" s="15" t="s">
        <v>173</v>
      </c>
      <c r="E119" s="14" t="s">
        <v>637</v>
      </c>
      <c r="F119" s="14">
        <v>810</v>
      </c>
      <c r="G119" s="69"/>
      <c r="H119" s="8">
        <v>0</v>
      </c>
      <c r="I119" s="1"/>
    </row>
    <row r="120" spans="1:9" ht="47.25" customHeight="1">
      <c r="A120" s="16" t="s">
        <v>947</v>
      </c>
      <c r="B120" s="14">
        <v>793</v>
      </c>
      <c r="C120" s="15" t="s">
        <v>54</v>
      </c>
      <c r="D120" s="15" t="s">
        <v>88</v>
      </c>
      <c r="E120" s="14" t="s">
        <v>946</v>
      </c>
      <c r="F120" s="14"/>
      <c r="G120" s="69">
        <f>G121+G123+G125</f>
        <v>34000</v>
      </c>
      <c r="H120" s="69">
        <f>H121</f>
        <v>34000</v>
      </c>
      <c r="I120" s="1"/>
    </row>
    <row r="121" spans="1:9" ht="30.75" customHeight="1">
      <c r="A121" s="16" t="s">
        <v>323</v>
      </c>
      <c r="B121" s="14">
        <v>793</v>
      </c>
      <c r="C121" s="15" t="s">
        <v>54</v>
      </c>
      <c r="D121" s="15" t="s">
        <v>88</v>
      </c>
      <c r="E121" s="14" t="s">
        <v>946</v>
      </c>
      <c r="F121" s="14">
        <v>200</v>
      </c>
      <c r="G121" s="69">
        <f t="shared" ref="G121:H121" si="29">G122</f>
        <v>34000</v>
      </c>
      <c r="H121" s="69">
        <f t="shared" si="29"/>
        <v>34000</v>
      </c>
      <c r="I121" s="1"/>
    </row>
    <row r="122" spans="1:9" ht="33.75" customHeight="1">
      <c r="A122" s="16" t="s">
        <v>38</v>
      </c>
      <c r="B122" s="14">
        <v>793</v>
      </c>
      <c r="C122" s="15" t="s">
        <v>54</v>
      </c>
      <c r="D122" s="15" t="s">
        <v>88</v>
      </c>
      <c r="E122" s="14" t="s">
        <v>946</v>
      </c>
      <c r="F122" s="14">
        <v>240</v>
      </c>
      <c r="G122" s="69">
        <f>'прил 5,'!G1437</f>
        <v>34000</v>
      </c>
      <c r="H122" s="69">
        <f>'прил 5,'!H1437</f>
        <v>34000</v>
      </c>
      <c r="I122" s="1"/>
    </row>
    <row r="123" spans="1:9" ht="20.25" hidden="1" customHeight="1">
      <c r="A123" s="16" t="s">
        <v>156</v>
      </c>
      <c r="B123" s="14"/>
      <c r="C123" s="15"/>
      <c r="D123" s="15"/>
      <c r="E123" s="14" t="s">
        <v>637</v>
      </c>
      <c r="F123" s="14">
        <v>500</v>
      </c>
      <c r="G123" s="69">
        <f>G124</f>
        <v>0</v>
      </c>
      <c r="H123" s="69"/>
      <c r="I123" s="1"/>
    </row>
    <row r="124" spans="1:9" ht="20.25" hidden="1" customHeight="1">
      <c r="A124" s="16" t="s">
        <v>170</v>
      </c>
      <c r="B124" s="14"/>
      <c r="C124" s="15"/>
      <c r="D124" s="15"/>
      <c r="E124" s="14" t="s">
        <v>637</v>
      </c>
      <c r="F124" s="14">
        <v>520</v>
      </c>
      <c r="G124" s="69">
        <f>'прил 5,'!G1439</f>
        <v>0</v>
      </c>
      <c r="H124" s="69"/>
      <c r="I124" s="1"/>
    </row>
    <row r="125" spans="1:9" ht="21" hidden="1" customHeight="1">
      <c r="A125" s="16" t="s">
        <v>63</v>
      </c>
      <c r="B125" s="14">
        <v>793</v>
      </c>
      <c r="C125" s="15" t="s">
        <v>54</v>
      </c>
      <c r="D125" s="15" t="s">
        <v>88</v>
      </c>
      <c r="E125" s="14" t="s">
        <v>637</v>
      </c>
      <c r="F125" s="14">
        <v>800</v>
      </c>
      <c r="G125" s="124">
        <f>G126</f>
        <v>0</v>
      </c>
      <c r="H125" s="8"/>
      <c r="I125" s="1"/>
    </row>
    <row r="126" spans="1:9" ht="20.25" hidden="1" customHeight="1">
      <c r="A126" s="16" t="s">
        <v>180</v>
      </c>
      <c r="B126" s="14">
        <v>793</v>
      </c>
      <c r="C126" s="15" t="s">
        <v>54</v>
      </c>
      <c r="D126" s="15" t="s">
        <v>88</v>
      </c>
      <c r="E126" s="14" t="s">
        <v>637</v>
      </c>
      <c r="F126" s="14">
        <v>870</v>
      </c>
      <c r="G126" s="124">
        <f>'прил 5,'!G1441</f>
        <v>0</v>
      </c>
      <c r="H126" s="8"/>
      <c r="I126" s="1"/>
    </row>
    <row r="127" spans="1:9" ht="57" hidden="1" customHeight="1">
      <c r="A127" s="16" t="s">
        <v>450</v>
      </c>
      <c r="B127" s="14">
        <v>793</v>
      </c>
      <c r="C127" s="15" t="s">
        <v>54</v>
      </c>
      <c r="D127" s="15" t="s">
        <v>88</v>
      </c>
      <c r="E127" s="14" t="s">
        <v>449</v>
      </c>
      <c r="F127" s="14"/>
      <c r="G127" s="69">
        <f t="shared" ref="G127:H128" si="30">G128</f>
        <v>0</v>
      </c>
      <c r="H127" s="8">
        <f t="shared" si="30"/>
        <v>0</v>
      </c>
    </row>
    <row r="128" spans="1:9" ht="34.5" hidden="1" customHeight="1">
      <c r="A128" s="16" t="s">
        <v>63</v>
      </c>
      <c r="B128" s="14">
        <v>793</v>
      </c>
      <c r="C128" s="15" t="s">
        <v>54</v>
      </c>
      <c r="D128" s="15" t="s">
        <v>88</v>
      </c>
      <c r="E128" s="14" t="s">
        <v>449</v>
      </c>
      <c r="F128" s="14">
        <v>800</v>
      </c>
      <c r="G128" s="69">
        <f t="shared" si="30"/>
        <v>0</v>
      </c>
      <c r="H128" s="8">
        <f t="shared" si="30"/>
        <v>0</v>
      </c>
    </row>
    <row r="129" spans="1:19" ht="42" hidden="1" customHeight="1">
      <c r="A129" s="16" t="s">
        <v>340</v>
      </c>
      <c r="B129" s="14">
        <v>793</v>
      </c>
      <c r="C129" s="15" t="s">
        <v>54</v>
      </c>
      <c r="D129" s="15" t="s">
        <v>88</v>
      </c>
      <c r="E129" s="14" t="s">
        <v>449</v>
      </c>
      <c r="F129" s="14">
        <v>810</v>
      </c>
      <c r="G129" s="69"/>
      <c r="H129" s="8">
        <f>'прил 5,'!H1444</f>
        <v>0</v>
      </c>
    </row>
    <row r="130" spans="1:19" s="226" customFormat="1" ht="28.5" customHeight="1">
      <c r="A130" s="34" t="s">
        <v>484</v>
      </c>
      <c r="B130" s="35">
        <v>792</v>
      </c>
      <c r="C130" s="36" t="s">
        <v>54</v>
      </c>
      <c r="D130" s="36" t="s">
        <v>123</v>
      </c>
      <c r="E130" s="36" t="s">
        <v>234</v>
      </c>
      <c r="F130" s="36"/>
      <c r="G130" s="70">
        <f>G131+G147+G154+G160+G262+G256+G268+G276+G272</f>
        <v>51961100.399999999</v>
      </c>
      <c r="H130" s="70">
        <f>H131+H147+H154+H160+H262+H256+H268+H276+H272</f>
        <v>48459452.380000003</v>
      </c>
      <c r="I130" s="225">
        <v>1500000</v>
      </c>
      <c r="O130" s="225"/>
      <c r="P130" s="225"/>
      <c r="Q130" s="225"/>
      <c r="R130" s="225"/>
      <c r="S130" s="225"/>
    </row>
    <row r="131" spans="1:19" s="18" customFormat="1" ht="86.25" customHeight="1">
      <c r="A131" s="16" t="s">
        <v>897</v>
      </c>
      <c r="B131" s="14">
        <v>793</v>
      </c>
      <c r="C131" s="15" t="s">
        <v>54</v>
      </c>
      <c r="D131" s="15" t="s">
        <v>123</v>
      </c>
      <c r="E131" s="15" t="s">
        <v>101</v>
      </c>
      <c r="F131" s="15"/>
      <c r="G131" s="69">
        <f>G134+G141+G138+G144</f>
        <v>28645069.710000001</v>
      </c>
      <c r="H131" s="69">
        <f>H134+H141+H138+H144</f>
        <v>25437463.329999998</v>
      </c>
      <c r="I131" s="170"/>
    </row>
    <row r="132" spans="1:19" s="18" customFormat="1" ht="76.5" customHeight="1">
      <c r="A132" s="50" t="s">
        <v>902</v>
      </c>
      <c r="B132" s="14">
        <v>793</v>
      </c>
      <c r="C132" s="15" t="s">
        <v>54</v>
      </c>
      <c r="D132" s="15" t="s">
        <v>123</v>
      </c>
      <c r="E132" s="15" t="s">
        <v>901</v>
      </c>
      <c r="F132" s="15"/>
      <c r="G132" s="69">
        <f t="shared" ref="G132:H133" si="31">G133</f>
        <v>26096069.710000001</v>
      </c>
      <c r="H132" s="69">
        <f t="shared" si="31"/>
        <v>25388463.329999998</v>
      </c>
      <c r="I132" s="170" t="s">
        <v>832</v>
      </c>
    </row>
    <row r="133" spans="1:19" s="18" customFormat="1" ht="15" customHeight="1">
      <c r="A133" s="16" t="s">
        <v>323</v>
      </c>
      <c r="B133" s="14">
        <v>793</v>
      </c>
      <c r="C133" s="15" t="s">
        <v>54</v>
      </c>
      <c r="D133" s="15" t="s">
        <v>123</v>
      </c>
      <c r="E133" s="15" t="s">
        <v>901</v>
      </c>
      <c r="F133" s="15" t="s">
        <v>37</v>
      </c>
      <c r="G133" s="69">
        <f t="shared" si="31"/>
        <v>26096069.710000001</v>
      </c>
      <c r="H133" s="69">
        <f t="shared" si="31"/>
        <v>25388463.329999998</v>
      </c>
      <c r="I133" s="170"/>
    </row>
    <row r="134" spans="1:19" s="18" customFormat="1" ht="32.25" customHeight="1">
      <c r="A134" s="16" t="s">
        <v>38</v>
      </c>
      <c r="B134" s="14">
        <v>793</v>
      </c>
      <c r="C134" s="15" t="s">
        <v>54</v>
      </c>
      <c r="D134" s="15" t="s">
        <v>123</v>
      </c>
      <c r="E134" s="15" t="s">
        <v>901</v>
      </c>
      <c r="F134" s="15" t="s">
        <v>39</v>
      </c>
      <c r="G134" s="69">
        <f>'прил 5,'!G1387</f>
        <v>26096069.710000001</v>
      </c>
      <c r="H134" s="69">
        <f>'прил 5,'!H1387</f>
        <v>25388463.329999998</v>
      </c>
      <c r="I134" s="170"/>
      <c r="J134" s="18" t="s">
        <v>461</v>
      </c>
      <c r="L134" s="18">
        <v>26808448</v>
      </c>
    </row>
    <row r="135" spans="1:19" s="18" customFormat="1" ht="81.75" hidden="1" customHeight="1">
      <c r="A135" s="16" t="s">
        <v>955</v>
      </c>
      <c r="B135" s="14">
        <v>793</v>
      </c>
      <c r="C135" s="15" t="s">
        <v>54</v>
      </c>
      <c r="D135" s="15" t="s">
        <v>123</v>
      </c>
      <c r="E135" s="15" t="s">
        <v>523</v>
      </c>
      <c r="F135" s="15"/>
      <c r="G135" s="69">
        <f>G136</f>
        <v>0</v>
      </c>
      <c r="H135" s="69"/>
      <c r="I135" s="171"/>
      <c r="J135" s="191"/>
      <c r="K135" s="191"/>
      <c r="L135" s="191"/>
      <c r="M135" s="191"/>
      <c r="N135" s="191"/>
      <c r="O135" s="191"/>
      <c r="P135" s="191"/>
      <c r="Q135" s="191"/>
    </row>
    <row r="136" spans="1:19" s="18" customFormat="1" ht="27.75" hidden="1" customHeight="1">
      <c r="A136" s="16" t="s">
        <v>96</v>
      </c>
      <c r="B136" s="14">
        <v>793</v>
      </c>
      <c r="C136" s="15" t="s">
        <v>54</v>
      </c>
      <c r="D136" s="15" t="s">
        <v>123</v>
      </c>
      <c r="E136" s="15" t="s">
        <v>523</v>
      </c>
      <c r="F136" s="15" t="s">
        <v>348</v>
      </c>
      <c r="G136" s="69">
        <f>G137</f>
        <v>0</v>
      </c>
      <c r="H136" s="69"/>
      <c r="I136" s="171"/>
      <c r="J136" s="191"/>
      <c r="K136" s="191"/>
      <c r="L136" s="191"/>
      <c r="M136" s="191"/>
      <c r="N136" s="191"/>
      <c r="O136" s="191"/>
      <c r="P136" s="191"/>
      <c r="Q136" s="191"/>
    </row>
    <row r="137" spans="1:19" s="18" customFormat="1" ht="15" hidden="1" customHeight="1">
      <c r="A137" s="16" t="s">
        <v>349</v>
      </c>
      <c r="B137" s="14">
        <v>793</v>
      </c>
      <c r="C137" s="15" t="s">
        <v>54</v>
      </c>
      <c r="D137" s="15" t="s">
        <v>123</v>
      </c>
      <c r="E137" s="15" t="s">
        <v>523</v>
      </c>
      <c r="F137" s="15" t="s">
        <v>350</v>
      </c>
      <c r="G137" s="69"/>
      <c r="H137" s="69"/>
      <c r="I137" s="171"/>
      <c r="J137" s="191"/>
      <c r="K137" s="191"/>
      <c r="L137" s="191"/>
      <c r="M137" s="191"/>
      <c r="N137" s="191"/>
      <c r="O137" s="191"/>
      <c r="P137" s="191"/>
      <c r="Q137" s="191"/>
    </row>
    <row r="138" spans="1:19" s="18" customFormat="1" ht="33" customHeight="1">
      <c r="A138" s="129" t="s">
        <v>1014</v>
      </c>
      <c r="B138" s="14"/>
      <c r="C138" s="15"/>
      <c r="D138" s="15"/>
      <c r="E138" s="15" t="s">
        <v>1013</v>
      </c>
      <c r="F138" s="15"/>
      <c r="G138" s="69">
        <f>G139</f>
        <v>49000</v>
      </c>
      <c r="H138" s="69">
        <f>H139</f>
        <v>49000</v>
      </c>
      <c r="I138" s="171"/>
      <c r="J138" s="191"/>
      <c r="K138" s="191"/>
      <c r="L138" s="191"/>
      <c r="M138" s="191"/>
      <c r="N138" s="191"/>
      <c r="O138" s="191"/>
      <c r="P138" s="191"/>
      <c r="Q138" s="191"/>
    </row>
    <row r="139" spans="1:19" s="18" customFormat="1" ht="25.15" customHeight="1">
      <c r="A139" s="16" t="s">
        <v>323</v>
      </c>
      <c r="B139" s="14"/>
      <c r="C139" s="15"/>
      <c r="D139" s="15"/>
      <c r="E139" s="15" t="s">
        <v>1013</v>
      </c>
      <c r="F139" s="15" t="s">
        <v>37</v>
      </c>
      <c r="G139" s="69">
        <f>G140</f>
        <v>49000</v>
      </c>
      <c r="H139" s="69">
        <f>H140</f>
        <v>49000</v>
      </c>
      <c r="I139" s="171"/>
      <c r="J139" s="191"/>
      <c r="K139" s="191"/>
      <c r="L139" s="191"/>
      <c r="M139" s="191"/>
      <c r="N139" s="191"/>
      <c r="O139" s="191"/>
      <c r="P139" s="191"/>
      <c r="Q139" s="191"/>
    </row>
    <row r="140" spans="1:19" s="18" customFormat="1" ht="27.6" customHeight="1">
      <c r="A140" s="16" t="s">
        <v>38</v>
      </c>
      <c r="B140" s="14"/>
      <c r="C140" s="15"/>
      <c r="D140" s="15"/>
      <c r="E140" s="15" t="s">
        <v>1013</v>
      </c>
      <c r="F140" s="15" t="s">
        <v>39</v>
      </c>
      <c r="G140" s="69">
        <v>49000</v>
      </c>
      <c r="H140" s="69">
        <v>49000</v>
      </c>
      <c r="I140" s="171"/>
      <c r="J140" s="191"/>
      <c r="K140" s="191"/>
      <c r="L140" s="191"/>
      <c r="M140" s="191"/>
      <c r="N140" s="191"/>
      <c r="O140" s="191"/>
      <c r="P140" s="191"/>
      <c r="Q140" s="191"/>
    </row>
    <row r="141" spans="1:19" s="18" customFormat="1" ht="76.5" hidden="1" customHeight="1">
      <c r="A141" s="50" t="s">
        <v>998</v>
      </c>
      <c r="B141" s="14">
        <v>793</v>
      </c>
      <c r="C141" s="15" t="s">
        <v>54</v>
      </c>
      <c r="D141" s="15" t="s">
        <v>123</v>
      </c>
      <c r="E141" s="15" t="s">
        <v>997</v>
      </c>
      <c r="F141" s="15"/>
      <c r="G141" s="69">
        <f t="shared" ref="G141:H142" si="32">G142</f>
        <v>0</v>
      </c>
      <c r="H141" s="69">
        <f t="shared" si="32"/>
        <v>0</v>
      </c>
      <c r="I141" s="171"/>
      <c r="J141" s="191"/>
      <c r="K141" s="191"/>
      <c r="L141" s="191"/>
      <c r="M141" s="191"/>
      <c r="N141" s="191"/>
      <c r="O141" s="191"/>
      <c r="P141" s="191"/>
      <c r="Q141" s="191"/>
    </row>
    <row r="142" spans="1:19" s="18" customFormat="1" ht="15" hidden="1" customHeight="1">
      <c r="A142" s="16" t="s">
        <v>323</v>
      </c>
      <c r="B142" s="14">
        <v>793</v>
      </c>
      <c r="C142" s="15" t="s">
        <v>54</v>
      </c>
      <c r="D142" s="15" t="s">
        <v>123</v>
      </c>
      <c r="E142" s="15" t="s">
        <v>997</v>
      </c>
      <c r="F142" s="15" t="s">
        <v>37</v>
      </c>
      <c r="G142" s="69">
        <f t="shared" si="32"/>
        <v>0</v>
      </c>
      <c r="H142" s="69">
        <f t="shared" si="32"/>
        <v>0</v>
      </c>
      <c r="I142" s="171"/>
      <c r="J142" s="191"/>
      <c r="K142" s="191"/>
      <c r="L142" s="191"/>
      <c r="M142" s="191"/>
      <c r="N142" s="191"/>
      <c r="O142" s="191"/>
      <c r="P142" s="191"/>
      <c r="Q142" s="191"/>
    </row>
    <row r="143" spans="1:19" s="18" customFormat="1" ht="32.25" hidden="1" customHeight="1">
      <c r="A143" s="16" t="s">
        <v>38</v>
      </c>
      <c r="B143" s="14">
        <v>793</v>
      </c>
      <c r="C143" s="15" t="s">
        <v>54</v>
      </c>
      <c r="D143" s="15" t="s">
        <v>123</v>
      </c>
      <c r="E143" s="15" t="s">
        <v>997</v>
      </c>
      <c r="F143" s="15" t="s">
        <v>39</v>
      </c>
      <c r="G143" s="69"/>
      <c r="H143" s="69"/>
      <c r="I143" s="171"/>
      <c r="J143" s="191"/>
      <c r="K143" s="191"/>
      <c r="L143" s="191"/>
      <c r="M143" s="191"/>
      <c r="N143" s="191"/>
      <c r="O143" s="191"/>
      <c r="P143" s="191"/>
      <c r="Q143" s="191"/>
    </row>
    <row r="144" spans="1:19" s="292" customFormat="1" ht="54.75" customHeight="1">
      <c r="A144" s="81" t="s">
        <v>1078</v>
      </c>
      <c r="B144" s="145">
        <v>793</v>
      </c>
      <c r="C144" s="83" t="s">
        <v>54</v>
      </c>
      <c r="D144" s="83" t="s">
        <v>123</v>
      </c>
      <c r="E144" s="83" t="s">
        <v>1080</v>
      </c>
      <c r="F144" s="83"/>
      <c r="G144" s="86">
        <f>G145</f>
        <v>2500000</v>
      </c>
      <c r="H144" s="86">
        <f>H145</f>
        <v>0</v>
      </c>
      <c r="I144" s="171"/>
      <c r="J144" s="191"/>
      <c r="K144" s="191"/>
      <c r="L144" s="191"/>
      <c r="M144" s="191"/>
      <c r="N144" s="191"/>
      <c r="O144" s="191"/>
      <c r="P144" s="191"/>
      <c r="Q144" s="191"/>
    </row>
    <row r="145" spans="1:19" s="292" customFormat="1" ht="27.75" customHeight="1">
      <c r="A145" s="81" t="s">
        <v>323</v>
      </c>
      <c r="B145" s="145">
        <v>793</v>
      </c>
      <c r="C145" s="83" t="s">
        <v>54</v>
      </c>
      <c r="D145" s="83" t="s">
        <v>123</v>
      </c>
      <c r="E145" s="83" t="s">
        <v>1080</v>
      </c>
      <c r="F145" s="83" t="s">
        <v>37</v>
      </c>
      <c r="G145" s="86">
        <f>G146</f>
        <v>2500000</v>
      </c>
      <c r="H145" s="86">
        <f>H146</f>
        <v>0</v>
      </c>
      <c r="I145" s="171"/>
      <c r="J145" s="191"/>
      <c r="K145" s="191"/>
      <c r="L145" s="191"/>
      <c r="M145" s="191"/>
      <c r="N145" s="191"/>
      <c r="O145" s="191"/>
      <c r="P145" s="191"/>
      <c r="Q145" s="191"/>
    </row>
    <row r="146" spans="1:19" s="292" customFormat="1" ht="31.5" customHeight="1">
      <c r="A146" s="81" t="s">
        <v>38</v>
      </c>
      <c r="B146" s="145">
        <v>793</v>
      </c>
      <c r="C146" s="83" t="s">
        <v>54</v>
      </c>
      <c r="D146" s="83" t="s">
        <v>123</v>
      </c>
      <c r="E146" s="83" t="s">
        <v>1080</v>
      </c>
      <c r="F146" s="83" t="s">
        <v>39</v>
      </c>
      <c r="G146" s="86">
        <f>'прил 5,'!G1396</f>
        <v>2500000</v>
      </c>
      <c r="H146" s="86">
        <v>0</v>
      </c>
      <c r="I146" s="171"/>
      <c r="J146" s="191"/>
      <c r="K146" s="191"/>
      <c r="L146" s="191"/>
      <c r="M146" s="191"/>
      <c r="N146" s="191"/>
      <c r="O146" s="191"/>
      <c r="P146" s="191"/>
      <c r="Q146" s="191"/>
    </row>
    <row r="147" spans="1:19" s="18" customFormat="1" ht="86.25" customHeight="1">
      <c r="A147" s="16" t="s">
        <v>900</v>
      </c>
      <c r="B147" s="14">
        <v>793</v>
      </c>
      <c r="C147" s="15" t="s">
        <v>54</v>
      </c>
      <c r="D147" s="15" t="s">
        <v>123</v>
      </c>
      <c r="E147" s="15" t="s">
        <v>105</v>
      </c>
      <c r="F147" s="15"/>
      <c r="G147" s="69">
        <f>G148</f>
        <v>6178948</v>
      </c>
      <c r="H147" s="69">
        <f t="shared" ref="H147" si="33">H148</f>
        <v>6178947.5999999996</v>
      </c>
      <c r="I147" s="170"/>
    </row>
    <row r="148" spans="1:19" s="18" customFormat="1" ht="122.25" customHeight="1">
      <c r="A148" s="79" t="s">
        <v>898</v>
      </c>
      <c r="B148" s="14">
        <v>793</v>
      </c>
      <c r="C148" s="15" t="s">
        <v>54</v>
      </c>
      <c r="D148" s="15" t="s">
        <v>123</v>
      </c>
      <c r="E148" s="15" t="s">
        <v>899</v>
      </c>
      <c r="F148" s="15"/>
      <c r="G148" s="69">
        <f>G149+G151</f>
        <v>6178948</v>
      </c>
      <c r="H148" s="69">
        <f t="shared" ref="H148" si="34">H149+H151</f>
        <v>6178947.5999999996</v>
      </c>
      <c r="I148" s="170"/>
    </row>
    <row r="149" spans="1:19" s="18" customFormat="1" ht="24.75" customHeight="1">
      <c r="A149" s="16" t="s">
        <v>323</v>
      </c>
      <c r="B149" s="49">
        <v>795</v>
      </c>
      <c r="C149" s="15" t="s">
        <v>54</v>
      </c>
      <c r="D149" s="15" t="s">
        <v>123</v>
      </c>
      <c r="E149" s="15" t="s">
        <v>899</v>
      </c>
      <c r="F149" s="15" t="s">
        <v>37</v>
      </c>
      <c r="G149" s="69">
        <f t="shared" ref="G149:H149" si="35">G150</f>
        <v>6178948</v>
      </c>
      <c r="H149" s="69">
        <f t="shared" si="35"/>
        <v>6178947.5999999996</v>
      </c>
      <c r="I149" s="170"/>
    </row>
    <row r="150" spans="1:19" s="18" customFormat="1" ht="30.75" customHeight="1">
      <c r="A150" s="16" t="s">
        <v>38</v>
      </c>
      <c r="B150" s="49">
        <v>795</v>
      </c>
      <c r="C150" s="15" t="s">
        <v>54</v>
      </c>
      <c r="D150" s="15" t="s">
        <v>123</v>
      </c>
      <c r="E150" s="15" t="s">
        <v>899</v>
      </c>
      <c r="F150" s="15" t="s">
        <v>39</v>
      </c>
      <c r="G150" s="69">
        <f>'прил 5,'!G1404</f>
        <v>6178948</v>
      </c>
      <c r="H150" s="69">
        <f>'прил 5,'!H1404</f>
        <v>6178947.5999999996</v>
      </c>
      <c r="I150" s="170"/>
    </row>
    <row r="151" spans="1:19" s="18" customFormat="1" ht="76.5" hidden="1" customHeight="1">
      <c r="A151" s="50"/>
      <c r="B151" s="14"/>
      <c r="C151" s="15"/>
      <c r="D151" s="15"/>
      <c r="E151" s="15"/>
      <c r="F151" s="15"/>
      <c r="G151" s="69"/>
      <c r="H151" s="69"/>
      <c r="I151" s="170"/>
    </row>
    <row r="152" spans="1:19" s="18" customFormat="1" ht="15" hidden="1" customHeight="1">
      <c r="A152" s="16"/>
      <c r="B152" s="14"/>
      <c r="C152" s="15"/>
      <c r="D152" s="15"/>
      <c r="E152" s="15"/>
      <c r="F152" s="15"/>
      <c r="G152" s="69"/>
      <c r="H152" s="69"/>
      <c r="I152" s="170"/>
    </row>
    <row r="153" spans="1:19" s="18" customFormat="1" ht="32.25" hidden="1" customHeight="1">
      <c r="A153" s="16"/>
      <c r="B153" s="14"/>
      <c r="C153" s="15"/>
      <c r="D153" s="15"/>
      <c r="E153" s="15"/>
      <c r="F153" s="15"/>
      <c r="G153" s="69"/>
      <c r="H153" s="69"/>
      <c r="I153" s="170"/>
    </row>
    <row r="154" spans="1:19" s="18" customFormat="1" ht="106.5" customHeight="1">
      <c r="A154" s="16" t="s">
        <v>979</v>
      </c>
      <c r="B154" s="14">
        <v>793</v>
      </c>
      <c r="C154" s="15" t="s">
        <v>54</v>
      </c>
      <c r="D154" s="15" t="s">
        <v>123</v>
      </c>
      <c r="E154" s="15" t="s">
        <v>980</v>
      </c>
      <c r="F154" s="15"/>
      <c r="G154" s="69">
        <f>G155</f>
        <v>0</v>
      </c>
      <c r="H154" s="69">
        <f>H155</f>
        <v>0</v>
      </c>
      <c r="I154" s="171"/>
      <c r="J154" s="191"/>
      <c r="K154" s="191"/>
      <c r="L154" s="191"/>
      <c r="M154" s="191"/>
      <c r="N154" s="191"/>
      <c r="O154" s="191"/>
      <c r="P154" s="191"/>
      <c r="Q154" s="191"/>
    </row>
    <row r="155" spans="1:19" s="18" customFormat="1" ht="106.5" customHeight="1">
      <c r="A155" s="16" t="s">
        <v>955</v>
      </c>
      <c r="B155" s="14">
        <v>793</v>
      </c>
      <c r="C155" s="15" t="s">
        <v>54</v>
      </c>
      <c r="D155" s="15" t="s">
        <v>123</v>
      </c>
      <c r="E155" s="15" t="s">
        <v>978</v>
      </c>
      <c r="F155" s="15"/>
      <c r="G155" s="69">
        <f>G158+G156</f>
        <v>0</v>
      </c>
      <c r="H155" s="69">
        <f t="shared" ref="H155" si="36">H158</f>
        <v>0</v>
      </c>
      <c r="I155" s="171"/>
      <c r="J155" s="191"/>
      <c r="K155" s="191"/>
      <c r="L155" s="191"/>
      <c r="M155" s="191"/>
      <c r="N155" s="191"/>
      <c r="O155" s="191"/>
      <c r="P155" s="191"/>
      <c r="Q155" s="191"/>
    </row>
    <row r="156" spans="1:19" s="18" customFormat="1" ht="27.75" hidden="1" customHeight="1">
      <c r="A156" s="81" t="s">
        <v>323</v>
      </c>
      <c r="B156" s="145">
        <v>793</v>
      </c>
      <c r="C156" s="83" t="s">
        <v>54</v>
      </c>
      <c r="D156" s="83" t="s">
        <v>123</v>
      </c>
      <c r="E156" s="83" t="s">
        <v>978</v>
      </c>
      <c r="F156" s="83" t="s">
        <v>37</v>
      </c>
      <c r="G156" s="86">
        <f>G157</f>
        <v>0</v>
      </c>
      <c r="H156" s="86">
        <f t="shared" ref="H156" si="37">H157</f>
        <v>0</v>
      </c>
      <c r="I156" s="171"/>
      <c r="J156" s="191"/>
      <c r="K156" s="191"/>
      <c r="L156" s="191"/>
      <c r="M156" s="191"/>
      <c r="N156" s="191"/>
      <c r="O156" s="191"/>
      <c r="P156" s="191"/>
      <c r="Q156" s="191"/>
    </row>
    <row r="157" spans="1:19" s="18" customFormat="1" ht="31.5" hidden="1" customHeight="1">
      <c r="A157" s="81" t="s">
        <v>38</v>
      </c>
      <c r="B157" s="145">
        <v>793</v>
      </c>
      <c r="C157" s="83" t="s">
        <v>54</v>
      </c>
      <c r="D157" s="83" t="s">
        <v>123</v>
      </c>
      <c r="E157" s="83" t="s">
        <v>978</v>
      </c>
      <c r="F157" s="83" t="s">
        <v>39</v>
      </c>
      <c r="G157" s="86"/>
      <c r="H157" s="86">
        <v>0</v>
      </c>
      <c r="I157" s="171"/>
      <c r="J157" s="191"/>
      <c r="K157" s="191"/>
      <c r="L157" s="191"/>
      <c r="M157" s="191"/>
      <c r="N157" s="191"/>
      <c r="O157" s="191"/>
      <c r="P157" s="191"/>
      <c r="Q157" s="191"/>
    </row>
    <row r="158" spans="1:19" s="18" customFormat="1" ht="27.75" customHeight="1">
      <c r="A158" s="16" t="s">
        <v>96</v>
      </c>
      <c r="B158" s="14">
        <v>793</v>
      </c>
      <c r="C158" s="15" t="s">
        <v>54</v>
      </c>
      <c r="D158" s="15" t="s">
        <v>123</v>
      </c>
      <c r="E158" s="15" t="s">
        <v>978</v>
      </c>
      <c r="F158" s="15" t="s">
        <v>348</v>
      </c>
      <c r="G158" s="69">
        <f>G159</f>
        <v>0</v>
      </c>
      <c r="H158" s="69">
        <f t="shared" ref="H158" si="38">H159</f>
        <v>0</v>
      </c>
      <c r="I158" s="171"/>
      <c r="J158" s="191"/>
      <c r="K158" s="191"/>
      <c r="L158" s="191"/>
      <c r="M158" s="191"/>
      <c r="N158" s="191"/>
      <c r="O158" s="191"/>
      <c r="P158" s="191"/>
      <c r="Q158" s="191"/>
    </row>
    <row r="159" spans="1:19" s="18" customFormat="1" ht="15" customHeight="1">
      <c r="A159" s="16" t="s">
        <v>349</v>
      </c>
      <c r="B159" s="14">
        <v>793</v>
      </c>
      <c r="C159" s="15" t="s">
        <v>54</v>
      </c>
      <c r="D159" s="15" t="s">
        <v>123</v>
      </c>
      <c r="E159" s="15" t="s">
        <v>978</v>
      </c>
      <c r="F159" s="15" t="s">
        <v>350</v>
      </c>
      <c r="G159" s="69">
        <f>'прил 5,'!G1400</f>
        <v>0</v>
      </c>
      <c r="H159" s="69">
        <v>0</v>
      </c>
      <c r="I159" s="171"/>
      <c r="J159" s="191"/>
      <c r="K159" s="191"/>
      <c r="L159" s="191"/>
      <c r="M159" s="191"/>
      <c r="N159" s="191"/>
      <c r="O159" s="191"/>
      <c r="P159" s="191"/>
      <c r="Q159" s="191"/>
    </row>
    <row r="160" spans="1:19" s="46" customFormat="1" ht="18" customHeight="1">
      <c r="A160" s="16" t="s">
        <v>343</v>
      </c>
      <c r="B160" s="14">
        <v>793</v>
      </c>
      <c r="C160" s="15" t="s">
        <v>54</v>
      </c>
      <c r="D160" s="15" t="s">
        <v>44</v>
      </c>
      <c r="E160" s="15" t="s">
        <v>97</v>
      </c>
      <c r="F160" s="15"/>
      <c r="G160" s="86">
        <f>G161+G164+G167+G253</f>
        <v>7056128.1399999997</v>
      </c>
      <c r="H160" s="86">
        <f>H161+H164+H167+H253</f>
        <v>6817106.0199999996</v>
      </c>
      <c r="I160" s="107">
        <v>2835500</v>
      </c>
      <c r="O160" s="107"/>
      <c r="P160" s="107"/>
      <c r="Q160" s="107"/>
      <c r="R160" s="107"/>
      <c r="S160" s="107"/>
    </row>
    <row r="161" spans="1:19" s="46" customFormat="1" ht="44.25" customHeight="1">
      <c r="A161" s="16" t="s">
        <v>338</v>
      </c>
      <c r="B161" s="14">
        <v>793</v>
      </c>
      <c r="C161" s="15" t="s">
        <v>54</v>
      </c>
      <c r="D161" s="15" t="s">
        <v>44</v>
      </c>
      <c r="E161" s="15" t="s">
        <v>337</v>
      </c>
      <c r="F161" s="15"/>
      <c r="G161" s="86">
        <f t="shared" ref="G161:H162" si="39">G162</f>
        <v>1719320.76</v>
      </c>
      <c r="H161" s="86">
        <f t="shared" si="39"/>
        <v>1480434.5</v>
      </c>
      <c r="I161" s="107">
        <v>10491350</v>
      </c>
      <c r="O161" s="107"/>
      <c r="P161" s="107"/>
      <c r="Q161" s="107"/>
      <c r="R161" s="107"/>
      <c r="S161" s="107"/>
    </row>
    <row r="162" spans="1:19" s="46" customFormat="1" ht="15.75" customHeight="1">
      <c r="A162" s="16" t="s">
        <v>323</v>
      </c>
      <c r="B162" s="14">
        <v>793</v>
      </c>
      <c r="C162" s="15" t="s">
        <v>54</v>
      </c>
      <c r="D162" s="15" t="s">
        <v>44</v>
      </c>
      <c r="E162" s="15" t="s">
        <v>337</v>
      </c>
      <c r="F162" s="15" t="s">
        <v>37</v>
      </c>
      <c r="G162" s="86">
        <f t="shared" si="39"/>
        <v>1719320.76</v>
      </c>
      <c r="H162" s="86">
        <f t="shared" si="39"/>
        <v>1480434.5</v>
      </c>
      <c r="I162" s="107">
        <v>15028150</v>
      </c>
      <c r="O162" s="107"/>
      <c r="P162" s="107"/>
      <c r="Q162" s="107"/>
      <c r="R162" s="107"/>
      <c r="S162" s="107"/>
    </row>
    <row r="163" spans="1:19" s="46" customFormat="1" ht="44.25" customHeight="1">
      <c r="A163" s="16" t="s">
        <v>38</v>
      </c>
      <c r="B163" s="14">
        <v>793</v>
      </c>
      <c r="C163" s="15" t="s">
        <v>54</v>
      </c>
      <c r="D163" s="15" t="s">
        <v>44</v>
      </c>
      <c r="E163" s="15" t="s">
        <v>337</v>
      </c>
      <c r="F163" s="15" t="s">
        <v>39</v>
      </c>
      <c r="G163" s="69">
        <f>'прил 5,'!G1372</f>
        <v>1719320.76</v>
      </c>
      <c r="H163" s="69">
        <f>'прил 5,'!H1372</f>
        <v>1480434.5</v>
      </c>
      <c r="I163" s="107">
        <v>5548000</v>
      </c>
      <c r="O163" s="107"/>
      <c r="P163" s="107"/>
      <c r="Q163" s="107"/>
      <c r="R163" s="107"/>
      <c r="S163" s="107"/>
    </row>
    <row r="164" spans="1:19" s="46" customFormat="1" ht="75" hidden="1" customHeight="1">
      <c r="A164" s="81" t="s">
        <v>702</v>
      </c>
      <c r="B164" s="14">
        <v>793</v>
      </c>
      <c r="C164" s="15" t="s">
        <v>54</v>
      </c>
      <c r="D164" s="15" t="s">
        <v>44</v>
      </c>
      <c r="E164" s="15" t="s">
        <v>701</v>
      </c>
      <c r="F164" s="15"/>
      <c r="G164" s="69">
        <f t="shared" ref="G164:H165" si="40">G165</f>
        <v>0</v>
      </c>
      <c r="H164" s="69">
        <f t="shared" si="40"/>
        <v>0</v>
      </c>
      <c r="O164" s="107"/>
      <c r="P164" s="107"/>
      <c r="Q164" s="107"/>
      <c r="R164" s="107"/>
      <c r="S164" s="107"/>
    </row>
    <row r="165" spans="1:19" s="46" customFormat="1" ht="27.75" hidden="1" customHeight="1">
      <c r="A165" s="81" t="s">
        <v>452</v>
      </c>
      <c r="B165" s="14">
        <v>793</v>
      </c>
      <c r="C165" s="15" t="s">
        <v>54</v>
      </c>
      <c r="D165" s="15" t="s">
        <v>44</v>
      </c>
      <c r="E165" s="15" t="s">
        <v>701</v>
      </c>
      <c r="F165" s="15" t="s">
        <v>64</v>
      </c>
      <c r="G165" s="69">
        <f t="shared" si="40"/>
        <v>0</v>
      </c>
      <c r="H165" s="69">
        <f t="shared" si="40"/>
        <v>0</v>
      </c>
      <c r="O165" s="107"/>
      <c r="P165" s="107"/>
      <c r="Q165" s="107"/>
      <c r="R165" s="107"/>
      <c r="S165" s="107"/>
    </row>
    <row r="166" spans="1:19" s="46" customFormat="1" ht="31.5" hidden="1" customHeight="1">
      <c r="A166" s="81" t="s">
        <v>38</v>
      </c>
      <c r="B166" s="14">
        <v>793</v>
      </c>
      <c r="C166" s="15" t="s">
        <v>54</v>
      </c>
      <c r="D166" s="15" t="s">
        <v>44</v>
      </c>
      <c r="E166" s="15" t="s">
        <v>701</v>
      </c>
      <c r="F166" s="15" t="s">
        <v>341</v>
      </c>
      <c r="G166" s="69"/>
      <c r="H166" s="69">
        <v>0</v>
      </c>
      <c r="O166" s="107"/>
      <c r="P166" s="107"/>
      <c r="Q166" s="107"/>
      <c r="R166" s="107"/>
      <c r="S166" s="107"/>
    </row>
    <row r="167" spans="1:19" s="46" customFormat="1" ht="75" hidden="1" customHeight="1">
      <c r="A167" s="81" t="s">
        <v>776</v>
      </c>
      <c r="B167" s="14">
        <v>793</v>
      </c>
      <c r="C167" s="15" t="s">
        <v>54</v>
      </c>
      <c r="D167" s="15" t="s">
        <v>44</v>
      </c>
      <c r="E167" s="15" t="s">
        <v>775</v>
      </c>
      <c r="F167" s="15"/>
      <c r="G167" s="69">
        <f t="shared" ref="G167:H168" si="41">G168</f>
        <v>0</v>
      </c>
      <c r="H167" s="69">
        <f t="shared" si="41"/>
        <v>0</v>
      </c>
      <c r="O167" s="107"/>
      <c r="P167" s="107"/>
      <c r="Q167" s="107"/>
      <c r="R167" s="107"/>
      <c r="S167" s="107"/>
    </row>
    <row r="168" spans="1:19" s="46" customFormat="1" ht="27.75" hidden="1" customHeight="1">
      <c r="A168" s="81" t="s">
        <v>452</v>
      </c>
      <c r="B168" s="14">
        <v>793</v>
      </c>
      <c r="C168" s="15" t="s">
        <v>54</v>
      </c>
      <c r="D168" s="15" t="s">
        <v>44</v>
      </c>
      <c r="E168" s="15" t="s">
        <v>775</v>
      </c>
      <c r="F168" s="15" t="s">
        <v>37</v>
      </c>
      <c r="G168" s="69">
        <f t="shared" si="41"/>
        <v>0</v>
      </c>
      <c r="H168" s="69">
        <f t="shared" si="41"/>
        <v>0</v>
      </c>
      <c r="O168" s="107"/>
      <c r="P168" s="107"/>
      <c r="Q168" s="107"/>
      <c r="R168" s="107"/>
      <c r="S168" s="107"/>
    </row>
    <row r="169" spans="1:19" s="46" customFormat="1" ht="31.5" hidden="1" customHeight="1">
      <c r="A169" s="81" t="s">
        <v>38</v>
      </c>
      <c r="B169" s="14">
        <v>793</v>
      </c>
      <c r="C169" s="15" t="s">
        <v>54</v>
      </c>
      <c r="D169" s="15" t="s">
        <v>44</v>
      </c>
      <c r="E169" s="15" t="s">
        <v>775</v>
      </c>
      <c r="F169" s="15" t="s">
        <v>39</v>
      </c>
      <c r="G169" s="69"/>
      <c r="H169" s="69">
        <v>0</v>
      </c>
      <c r="O169" s="107"/>
      <c r="P169" s="107"/>
      <c r="Q169" s="107"/>
      <c r="R169" s="107"/>
      <c r="S169" s="107"/>
    </row>
    <row r="170" spans="1:19" s="3" customFormat="1" ht="20.25" hidden="1" customHeight="1">
      <c r="A170" s="76" t="s">
        <v>172</v>
      </c>
      <c r="B170" s="49">
        <v>795</v>
      </c>
      <c r="C170" s="15" t="s">
        <v>54</v>
      </c>
      <c r="D170" s="15" t="s">
        <v>123</v>
      </c>
      <c r="E170" s="15"/>
      <c r="F170" s="15"/>
      <c r="G170" s="125">
        <f>G130-G160</f>
        <v>44904972.259999998</v>
      </c>
      <c r="H170" s="125">
        <f>H130-H160</f>
        <v>41642346.359999999</v>
      </c>
      <c r="I170" s="108">
        <f>SUM(I130:I163)</f>
        <v>35403000</v>
      </c>
      <c r="O170" s="108"/>
      <c r="P170" s="108"/>
      <c r="Q170" s="108"/>
      <c r="R170" s="108"/>
      <c r="S170" s="108"/>
    </row>
    <row r="171" spans="1:19" s="18" customFormat="1" ht="27" hidden="1" customHeight="1">
      <c r="A171" s="16" t="s">
        <v>484</v>
      </c>
      <c r="B171" s="49">
        <v>795</v>
      </c>
      <c r="C171" s="15" t="s">
        <v>54</v>
      </c>
      <c r="D171" s="15" t="s">
        <v>123</v>
      </c>
      <c r="E171" s="15" t="s">
        <v>234</v>
      </c>
      <c r="F171" s="15"/>
      <c r="G171" s="86" t="e">
        <f>G178+G208+#REF!+#REF!+#REF!+#REF!+#REF!+G172+#REF!+#REF!+#REF!</f>
        <v>#REF!</v>
      </c>
      <c r="H171" s="86" t="e">
        <f>H178+H208+#REF!+#REF!+#REF!+#REF!+#REF!+H172+#REF!+#REF!</f>
        <v>#REF!</v>
      </c>
      <c r="I171" s="17"/>
      <c r="O171" s="17"/>
      <c r="P171" s="17"/>
      <c r="Q171" s="17"/>
      <c r="R171" s="17"/>
      <c r="S171" s="17"/>
    </row>
    <row r="172" spans="1:19" s="18" customFormat="1" ht="39.75" hidden="1" customHeight="1">
      <c r="A172" s="16" t="s">
        <v>398</v>
      </c>
      <c r="B172" s="49">
        <v>795</v>
      </c>
      <c r="C172" s="15" t="s">
        <v>54</v>
      </c>
      <c r="D172" s="15" t="s">
        <v>123</v>
      </c>
      <c r="E172" s="15" t="s">
        <v>397</v>
      </c>
      <c r="F172" s="15"/>
      <c r="G172" s="86">
        <f t="shared" ref="G172:H173" si="42">G173</f>
        <v>0</v>
      </c>
      <c r="H172" s="86">
        <f t="shared" si="42"/>
        <v>0</v>
      </c>
      <c r="I172" s="17"/>
      <c r="O172" s="17"/>
      <c r="P172" s="17"/>
      <c r="Q172" s="17"/>
      <c r="R172" s="17"/>
      <c r="S172" s="17"/>
    </row>
    <row r="173" spans="1:19" s="18" customFormat="1" ht="27" hidden="1" customHeight="1">
      <c r="A173" s="16" t="s">
        <v>156</v>
      </c>
      <c r="B173" s="49">
        <v>795</v>
      </c>
      <c r="C173" s="15" t="s">
        <v>54</v>
      </c>
      <c r="D173" s="15" t="s">
        <v>123</v>
      </c>
      <c r="E173" s="15" t="s">
        <v>397</v>
      </c>
      <c r="F173" s="15" t="s">
        <v>157</v>
      </c>
      <c r="G173" s="86">
        <f t="shared" si="42"/>
        <v>0</v>
      </c>
      <c r="H173" s="86">
        <f t="shared" si="42"/>
        <v>0</v>
      </c>
      <c r="I173" s="17"/>
      <c r="O173" s="17"/>
      <c r="P173" s="17"/>
      <c r="Q173" s="17"/>
      <c r="R173" s="17"/>
      <c r="S173" s="17"/>
    </row>
    <row r="174" spans="1:19" s="18" customFormat="1" ht="27" hidden="1" customHeight="1">
      <c r="A174" s="16" t="s">
        <v>170</v>
      </c>
      <c r="B174" s="49">
        <v>795</v>
      </c>
      <c r="C174" s="15" t="s">
        <v>54</v>
      </c>
      <c r="D174" s="15" t="s">
        <v>123</v>
      </c>
      <c r="E174" s="15" t="s">
        <v>397</v>
      </c>
      <c r="F174" s="15" t="s">
        <v>171</v>
      </c>
      <c r="G174" s="86"/>
      <c r="H174" s="86"/>
      <c r="I174" s="17"/>
      <c r="O174" s="17"/>
      <c r="P174" s="17"/>
      <c r="Q174" s="17"/>
      <c r="R174" s="17"/>
      <c r="S174" s="17"/>
    </row>
    <row r="175" spans="1:19" s="18" customFormat="1" ht="27" hidden="1" customHeight="1">
      <c r="A175" s="16"/>
      <c r="B175" s="49"/>
      <c r="C175" s="15"/>
      <c r="D175" s="15"/>
      <c r="E175" s="15"/>
      <c r="F175" s="15"/>
      <c r="G175" s="86"/>
      <c r="H175" s="86"/>
      <c r="I175" s="17"/>
      <c r="O175" s="17"/>
      <c r="P175" s="17"/>
      <c r="Q175" s="17"/>
      <c r="R175" s="17"/>
      <c r="S175" s="17"/>
    </row>
    <row r="176" spans="1:19" s="18" customFormat="1" ht="27" hidden="1" customHeight="1">
      <c r="A176" s="16"/>
      <c r="B176" s="49"/>
      <c r="C176" s="15"/>
      <c r="D176" s="15"/>
      <c r="E176" s="15"/>
      <c r="F176" s="15"/>
      <c r="G176" s="86"/>
      <c r="H176" s="86"/>
      <c r="I176" s="17"/>
      <c r="O176" s="17"/>
      <c r="P176" s="17"/>
      <c r="Q176" s="17"/>
      <c r="R176" s="17"/>
      <c r="S176" s="17"/>
    </row>
    <row r="177" spans="1:19" s="18" customFormat="1" ht="27" hidden="1" customHeight="1">
      <c r="A177" s="16"/>
      <c r="B177" s="49"/>
      <c r="C177" s="15"/>
      <c r="D177" s="15"/>
      <c r="E177" s="15"/>
      <c r="F177" s="15"/>
      <c r="G177" s="86"/>
      <c r="H177" s="86"/>
      <c r="I177" s="17"/>
      <c r="O177" s="17"/>
      <c r="P177" s="17"/>
      <c r="Q177" s="17"/>
      <c r="R177" s="17"/>
      <c r="S177" s="17"/>
    </row>
    <row r="178" spans="1:19" s="18" customFormat="1" ht="66" hidden="1" customHeight="1">
      <c r="A178" s="50" t="s">
        <v>103</v>
      </c>
      <c r="B178" s="14">
        <v>793</v>
      </c>
      <c r="C178" s="15" t="s">
        <v>54</v>
      </c>
      <c r="D178" s="15" t="s">
        <v>123</v>
      </c>
      <c r="E178" s="15" t="s">
        <v>101</v>
      </c>
      <c r="F178" s="15"/>
      <c r="G178" s="69">
        <f t="shared" ref="G178:H178" si="43">G182+G185+G198+G193+G190+G205+G179</f>
        <v>0</v>
      </c>
      <c r="H178" s="69">
        <f t="shared" si="43"/>
        <v>0</v>
      </c>
      <c r="I178" s="17"/>
      <c r="K178" s="17">
        <f>G189+G204+G213+G222+G228</f>
        <v>0</v>
      </c>
      <c r="O178" s="17"/>
      <c r="P178" s="17"/>
      <c r="Q178" s="17"/>
      <c r="R178" s="17"/>
      <c r="S178" s="17"/>
    </row>
    <row r="179" spans="1:19" s="18" customFormat="1" ht="76.5" hidden="1" customHeight="1">
      <c r="A179" s="50" t="s">
        <v>662</v>
      </c>
      <c r="B179" s="49">
        <v>795</v>
      </c>
      <c r="C179" s="15" t="s">
        <v>54</v>
      </c>
      <c r="D179" s="15" t="s">
        <v>123</v>
      </c>
      <c r="E179" s="15" t="s">
        <v>661</v>
      </c>
      <c r="F179" s="15"/>
      <c r="G179" s="69">
        <f t="shared" ref="G179:H180" si="44">G180</f>
        <v>0</v>
      </c>
      <c r="H179" s="69">
        <f t="shared" si="44"/>
        <v>0</v>
      </c>
      <c r="O179" s="17"/>
      <c r="P179" s="17"/>
      <c r="Q179" s="17"/>
      <c r="R179" s="17"/>
      <c r="S179" s="17"/>
    </row>
    <row r="180" spans="1:19" s="18" customFormat="1" ht="15" hidden="1" customHeight="1">
      <c r="A180" s="16" t="s">
        <v>323</v>
      </c>
      <c r="B180" s="49">
        <v>795</v>
      </c>
      <c r="C180" s="15" t="s">
        <v>54</v>
      </c>
      <c r="D180" s="15" t="s">
        <v>123</v>
      </c>
      <c r="E180" s="15" t="s">
        <v>661</v>
      </c>
      <c r="F180" s="15" t="s">
        <v>37</v>
      </c>
      <c r="G180" s="69">
        <f t="shared" si="44"/>
        <v>0</v>
      </c>
      <c r="H180" s="69">
        <f t="shared" si="44"/>
        <v>0</v>
      </c>
      <c r="O180" s="17"/>
      <c r="P180" s="17"/>
      <c r="Q180" s="17"/>
      <c r="R180" s="17"/>
      <c r="S180" s="17"/>
    </row>
    <row r="181" spans="1:19" s="18" customFormat="1" ht="32.25" hidden="1" customHeight="1">
      <c r="A181" s="16" t="s">
        <v>38</v>
      </c>
      <c r="B181" s="49">
        <v>795</v>
      </c>
      <c r="C181" s="15" t="s">
        <v>54</v>
      </c>
      <c r="D181" s="15" t="s">
        <v>123</v>
      </c>
      <c r="E181" s="15" t="s">
        <v>661</v>
      </c>
      <c r="F181" s="15" t="s">
        <v>39</v>
      </c>
      <c r="G181" s="69">
        <f>'прил 5,'!G1841</f>
        <v>0</v>
      </c>
      <c r="H181" s="69">
        <f>'прил 5,'!H1841</f>
        <v>0</v>
      </c>
      <c r="I181" s="18" t="s">
        <v>461</v>
      </c>
      <c r="K181" s="18">
        <v>26808448</v>
      </c>
      <c r="O181" s="17"/>
      <c r="P181" s="17"/>
      <c r="Q181" s="17"/>
      <c r="R181" s="17"/>
      <c r="S181" s="17"/>
    </row>
    <row r="182" spans="1:19" s="18" customFormat="1" ht="53.25" hidden="1" customHeight="1">
      <c r="A182" s="50" t="s">
        <v>104</v>
      </c>
      <c r="B182" s="49">
        <v>795</v>
      </c>
      <c r="C182" s="15" t="s">
        <v>54</v>
      </c>
      <c r="D182" s="15" t="s">
        <v>123</v>
      </c>
      <c r="E182" s="15" t="s">
        <v>102</v>
      </c>
      <c r="F182" s="15"/>
      <c r="G182" s="86">
        <f t="shared" ref="G182:H183" si="45">G183</f>
        <v>0</v>
      </c>
      <c r="H182" s="86">
        <f t="shared" si="45"/>
        <v>0</v>
      </c>
      <c r="I182" s="17"/>
      <c r="O182" s="17"/>
      <c r="P182" s="17"/>
      <c r="Q182" s="17"/>
      <c r="R182" s="17"/>
      <c r="S182" s="17"/>
    </row>
    <row r="183" spans="1:19" s="18" customFormat="1" ht="18" hidden="1" customHeight="1">
      <c r="A183" s="16" t="s">
        <v>323</v>
      </c>
      <c r="B183" s="49">
        <v>795</v>
      </c>
      <c r="C183" s="15" t="s">
        <v>54</v>
      </c>
      <c r="D183" s="15" t="s">
        <v>123</v>
      </c>
      <c r="E183" s="15" t="s">
        <v>102</v>
      </c>
      <c r="F183" s="15" t="s">
        <v>37</v>
      </c>
      <c r="G183" s="86">
        <f t="shared" si="45"/>
        <v>0</v>
      </c>
      <c r="H183" s="86">
        <f t="shared" si="45"/>
        <v>0</v>
      </c>
      <c r="I183" s="17"/>
      <c r="O183" s="17"/>
      <c r="P183" s="17"/>
      <c r="Q183" s="17"/>
      <c r="R183" s="17"/>
      <c r="S183" s="17"/>
    </row>
    <row r="184" spans="1:19" s="18" customFormat="1" ht="57.75" hidden="1" customHeight="1">
      <c r="A184" s="16" t="s">
        <v>38</v>
      </c>
      <c r="B184" s="49">
        <v>795</v>
      </c>
      <c r="C184" s="15" t="s">
        <v>54</v>
      </c>
      <c r="D184" s="15" t="s">
        <v>123</v>
      </c>
      <c r="E184" s="15" t="s">
        <v>102</v>
      </c>
      <c r="F184" s="15" t="s">
        <v>39</v>
      </c>
      <c r="G184" s="69">
        <f>'прил 5,'!G1844</f>
        <v>0</v>
      </c>
      <c r="H184" s="69">
        <f>'прил 5,'!H1844</f>
        <v>0</v>
      </c>
      <c r="I184" s="17"/>
      <c r="O184" s="17"/>
      <c r="P184" s="17"/>
      <c r="Q184" s="17"/>
      <c r="R184" s="17"/>
      <c r="S184" s="17"/>
    </row>
    <row r="185" spans="1:19" ht="80.25" hidden="1" customHeight="1">
      <c r="A185" s="50" t="s">
        <v>103</v>
      </c>
      <c r="B185" s="49">
        <v>795</v>
      </c>
      <c r="C185" s="15" t="s">
        <v>54</v>
      </c>
      <c r="D185" s="15" t="s">
        <v>123</v>
      </c>
      <c r="E185" s="15" t="s">
        <v>132</v>
      </c>
      <c r="F185" s="15"/>
      <c r="G185" s="69">
        <f>G188</f>
        <v>0</v>
      </c>
      <c r="H185" s="69">
        <f t="shared" ref="H185" si="46">H188</f>
        <v>0</v>
      </c>
    </row>
    <row r="186" spans="1:19" s="18" customFormat="1" ht="15.75" hidden="1" customHeight="1">
      <c r="A186" s="16" t="s">
        <v>63</v>
      </c>
      <c r="B186" s="49">
        <v>795</v>
      </c>
      <c r="C186" s="15" t="s">
        <v>54</v>
      </c>
      <c r="D186" s="15" t="s">
        <v>123</v>
      </c>
      <c r="E186" s="15" t="s">
        <v>130</v>
      </c>
      <c r="F186" s="15" t="s">
        <v>64</v>
      </c>
      <c r="G186" s="69" t="e">
        <f>G187</f>
        <v>#REF!</v>
      </c>
      <c r="H186" s="69" t="e">
        <f>H187</f>
        <v>#REF!</v>
      </c>
      <c r="I186" s="17"/>
      <c r="O186" s="17"/>
      <c r="P186" s="17"/>
      <c r="Q186" s="17"/>
      <c r="R186" s="17"/>
      <c r="S186" s="17"/>
    </row>
    <row r="187" spans="1:19" s="18" customFormat="1" ht="15.75" hidden="1" customHeight="1">
      <c r="A187" s="16" t="s">
        <v>180</v>
      </c>
      <c r="B187" s="49">
        <v>795</v>
      </c>
      <c r="C187" s="15" t="s">
        <v>54</v>
      </c>
      <c r="D187" s="15" t="s">
        <v>123</v>
      </c>
      <c r="E187" s="15" t="s">
        <v>130</v>
      </c>
      <c r="F187" s="15" t="s">
        <v>181</v>
      </c>
      <c r="G187" s="69" t="e">
        <f>'прил 5,'!#REF!</f>
        <v>#REF!</v>
      </c>
      <c r="H187" s="69" t="e">
        <f>'прил 5,'!#REF!</f>
        <v>#REF!</v>
      </c>
      <c r="I187" s="17"/>
      <c r="O187" s="17"/>
      <c r="P187" s="17"/>
      <c r="Q187" s="17"/>
      <c r="R187" s="17"/>
      <c r="S187" s="17"/>
    </row>
    <row r="188" spans="1:19" ht="15" hidden="1" customHeight="1">
      <c r="A188" s="16" t="s">
        <v>156</v>
      </c>
      <c r="B188" s="49">
        <v>795</v>
      </c>
      <c r="C188" s="15" t="s">
        <v>54</v>
      </c>
      <c r="D188" s="15" t="s">
        <v>123</v>
      </c>
      <c r="E188" s="15" t="s">
        <v>130</v>
      </c>
      <c r="F188" s="15" t="s">
        <v>157</v>
      </c>
      <c r="G188" s="69">
        <f>G189</f>
        <v>0</v>
      </c>
      <c r="H188" s="69">
        <f>H189</f>
        <v>0</v>
      </c>
    </row>
    <row r="189" spans="1:19" ht="15" hidden="1" customHeight="1">
      <c r="A189" s="16" t="s">
        <v>178</v>
      </c>
      <c r="B189" s="49">
        <v>795</v>
      </c>
      <c r="C189" s="15" t="s">
        <v>54</v>
      </c>
      <c r="D189" s="15" t="s">
        <v>123</v>
      </c>
      <c r="E189" s="15" t="s">
        <v>130</v>
      </c>
      <c r="F189" s="15" t="s">
        <v>179</v>
      </c>
      <c r="G189" s="69">
        <f>'прил 5,'!G1847</f>
        <v>0</v>
      </c>
      <c r="H189" s="69">
        <f>'прил 5,'!H1847</f>
        <v>0</v>
      </c>
    </row>
    <row r="190" spans="1:19" s="18" customFormat="1" ht="83.25" hidden="1" customHeight="1">
      <c r="A190" s="50" t="s">
        <v>420</v>
      </c>
      <c r="B190" s="49"/>
      <c r="C190" s="15"/>
      <c r="D190" s="15"/>
      <c r="E190" s="15" t="s">
        <v>133</v>
      </c>
      <c r="F190" s="15"/>
      <c r="G190" s="69">
        <f>G191</f>
        <v>0</v>
      </c>
      <c r="H190" s="69">
        <v>0</v>
      </c>
      <c r="I190" s="17"/>
      <c r="O190" s="17"/>
      <c r="P190" s="17"/>
      <c r="Q190" s="17"/>
      <c r="R190" s="17"/>
      <c r="S190" s="17"/>
    </row>
    <row r="191" spans="1:19" s="18" customFormat="1" ht="26.25" hidden="1" customHeight="1">
      <c r="A191" s="16" t="s">
        <v>323</v>
      </c>
      <c r="B191" s="49"/>
      <c r="C191" s="15"/>
      <c r="D191" s="15"/>
      <c r="E191" s="15" t="s">
        <v>131</v>
      </c>
      <c r="F191" s="15" t="s">
        <v>37</v>
      </c>
      <c r="G191" s="69">
        <f>G192</f>
        <v>0</v>
      </c>
      <c r="H191" s="69">
        <v>0</v>
      </c>
      <c r="I191" s="17"/>
      <c r="O191" s="17"/>
      <c r="P191" s="17"/>
      <c r="Q191" s="17"/>
      <c r="R191" s="17"/>
      <c r="S191" s="17"/>
    </row>
    <row r="192" spans="1:19" s="18" customFormat="1" ht="47.25" hidden="1" customHeight="1">
      <c r="A192" s="16" t="s">
        <v>38</v>
      </c>
      <c r="B192" s="49"/>
      <c r="C192" s="15"/>
      <c r="D192" s="15"/>
      <c r="E192" s="15" t="s">
        <v>131</v>
      </c>
      <c r="F192" s="15" t="s">
        <v>39</v>
      </c>
      <c r="G192" s="69">
        <f>'прил 5,'!G1850</f>
        <v>0</v>
      </c>
      <c r="H192" s="69">
        <v>0</v>
      </c>
      <c r="I192" s="17"/>
      <c r="O192" s="17"/>
      <c r="P192" s="17"/>
      <c r="Q192" s="17"/>
      <c r="R192" s="17"/>
      <c r="S192" s="17"/>
    </row>
    <row r="193" spans="1:19" ht="78" hidden="1" customHeight="1">
      <c r="A193" s="50" t="s">
        <v>525</v>
      </c>
      <c r="B193" s="49">
        <v>795</v>
      </c>
      <c r="C193" s="15" t="s">
        <v>54</v>
      </c>
      <c r="D193" s="15" t="s">
        <v>123</v>
      </c>
      <c r="E193" s="15" t="s">
        <v>524</v>
      </c>
      <c r="F193" s="15"/>
      <c r="G193" s="69">
        <f>G194+G196</f>
        <v>0</v>
      </c>
      <c r="H193" s="69">
        <v>0</v>
      </c>
      <c r="I193" s="1"/>
    </row>
    <row r="194" spans="1:19" ht="18" hidden="1" customHeight="1">
      <c r="A194" s="16" t="s">
        <v>323</v>
      </c>
      <c r="B194" s="49">
        <v>795</v>
      </c>
      <c r="C194" s="15" t="s">
        <v>54</v>
      </c>
      <c r="D194" s="15" t="s">
        <v>123</v>
      </c>
      <c r="E194" s="15" t="s">
        <v>523</v>
      </c>
      <c r="F194" s="15" t="s">
        <v>37</v>
      </c>
      <c r="G194" s="69">
        <f>G195</f>
        <v>0</v>
      </c>
      <c r="H194" s="69">
        <v>0</v>
      </c>
      <c r="I194" s="1"/>
    </row>
    <row r="195" spans="1:19" ht="15" hidden="1" customHeight="1">
      <c r="A195" s="16" t="s">
        <v>38</v>
      </c>
      <c r="B195" s="49">
        <v>795</v>
      </c>
      <c r="C195" s="15" t="s">
        <v>54</v>
      </c>
      <c r="D195" s="15" t="s">
        <v>123</v>
      </c>
      <c r="E195" s="15" t="s">
        <v>523</v>
      </c>
      <c r="F195" s="15" t="s">
        <v>39</v>
      </c>
      <c r="G195" s="69"/>
      <c r="H195" s="69">
        <v>0</v>
      </c>
      <c r="I195" s="1"/>
    </row>
    <row r="196" spans="1:19" ht="36.75" hidden="1" customHeight="1">
      <c r="A196" s="16" t="s">
        <v>96</v>
      </c>
      <c r="B196" s="49">
        <v>795</v>
      </c>
      <c r="C196" s="15" t="s">
        <v>54</v>
      </c>
      <c r="D196" s="15" t="s">
        <v>123</v>
      </c>
      <c r="E196" s="15" t="s">
        <v>523</v>
      </c>
      <c r="F196" s="15" t="s">
        <v>348</v>
      </c>
      <c r="G196" s="69">
        <f>G197</f>
        <v>0</v>
      </c>
      <c r="H196" s="69">
        <f t="shared" ref="H196" si="47">H197</f>
        <v>0</v>
      </c>
      <c r="I196" s="1"/>
    </row>
    <row r="197" spans="1:19" ht="27.75" hidden="1" customHeight="1">
      <c r="A197" s="16" t="s">
        <v>349</v>
      </c>
      <c r="B197" s="49">
        <v>795</v>
      </c>
      <c r="C197" s="15" t="s">
        <v>54</v>
      </c>
      <c r="D197" s="15" t="s">
        <v>123</v>
      </c>
      <c r="E197" s="15" t="s">
        <v>523</v>
      </c>
      <c r="F197" s="15" t="s">
        <v>350</v>
      </c>
      <c r="G197" s="69"/>
      <c r="H197" s="69">
        <v>0</v>
      </c>
      <c r="I197" s="1"/>
    </row>
    <row r="198" spans="1:19" s="18" customFormat="1" ht="62.25" hidden="1" customHeight="1">
      <c r="A198" s="16" t="s">
        <v>522</v>
      </c>
      <c r="B198" s="49">
        <v>795</v>
      </c>
      <c r="C198" s="15" t="s">
        <v>54</v>
      </c>
      <c r="D198" s="15" t="s">
        <v>123</v>
      </c>
      <c r="E198" s="15" t="s">
        <v>187</v>
      </c>
      <c r="F198" s="15"/>
      <c r="G198" s="69">
        <f>G199+G203+G201</f>
        <v>0</v>
      </c>
      <c r="H198" s="69">
        <v>0</v>
      </c>
      <c r="O198" s="17"/>
      <c r="P198" s="17"/>
      <c r="Q198" s="17"/>
      <c r="R198" s="17"/>
      <c r="S198" s="17"/>
    </row>
    <row r="199" spans="1:19" s="18" customFormat="1" ht="32.25" hidden="1" customHeight="1">
      <c r="A199" s="16" t="s">
        <v>323</v>
      </c>
      <c r="B199" s="49">
        <v>795</v>
      </c>
      <c r="C199" s="15" t="s">
        <v>54</v>
      </c>
      <c r="D199" s="15" t="s">
        <v>123</v>
      </c>
      <c r="E199" s="15" t="s">
        <v>187</v>
      </c>
      <c r="F199" s="15" t="s">
        <v>37</v>
      </c>
      <c r="G199" s="69">
        <f>G200</f>
        <v>0</v>
      </c>
      <c r="H199" s="69">
        <v>0</v>
      </c>
      <c r="O199" s="17"/>
      <c r="P199" s="17"/>
      <c r="Q199" s="17"/>
      <c r="R199" s="17"/>
      <c r="S199" s="17"/>
    </row>
    <row r="200" spans="1:19" s="18" customFormat="1" ht="32.25" hidden="1" customHeight="1">
      <c r="A200" s="16" t="s">
        <v>38</v>
      </c>
      <c r="B200" s="49">
        <v>795</v>
      </c>
      <c r="C200" s="15" t="s">
        <v>54</v>
      </c>
      <c r="D200" s="15" t="s">
        <v>123</v>
      </c>
      <c r="E200" s="15" t="s">
        <v>187</v>
      </c>
      <c r="F200" s="15" t="s">
        <v>39</v>
      </c>
      <c r="G200" s="69"/>
      <c r="H200" s="69">
        <v>0</v>
      </c>
      <c r="O200" s="17"/>
      <c r="P200" s="17"/>
      <c r="Q200" s="17"/>
      <c r="R200" s="17"/>
      <c r="S200" s="17"/>
    </row>
    <row r="201" spans="1:19" ht="18" hidden="1" customHeight="1">
      <c r="A201" s="16" t="s">
        <v>323</v>
      </c>
      <c r="B201" s="49">
        <v>795</v>
      </c>
      <c r="C201" s="15" t="s">
        <v>54</v>
      </c>
      <c r="D201" s="15" t="s">
        <v>123</v>
      </c>
      <c r="E201" s="15" t="s">
        <v>187</v>
      </c>
      <c r="F201" s="15" t="s">
        <v>37</v>
      </c>
      <c r="G201" s="69">
        <f>G202</f>
        <v>0</v>
      </c>
      <c r="H201" s="69">
        <v>0</v>
      </c>
      <c r="I201" s="1"/>
    </row>
    <row r="202" spans="1:19" ht="29.25" hidden="1" customHeight="1">
      <c r="A202" s="16" t="s">
        <v>38</v>
      </c>
      <c r="B202" s="49">
        <v>795</v>
      </c>
      <c r="C202" s="15" t="s">
        <v>54</v>
      </c>
      <c r="D202" s="15" t="s">
        <v>123</v>
      </c>
      <c r="E202" s="15" t="s">
        <v>187</v>
      </c>
      <c r="F202" s="15" t="s">
        <v>39</v>
      </c>
      <c r="G202" s="69"/>
      <c r="H202" s="69"/>
      <c r="I202" s="1"/>
    </row>
    <row r="203" spans="1:19" ht="18" hidden="1" customHeight="1">
      <c r="A203" s="16" t="s">
        <v>156</v>
      </c>
      <c r="B203" s="49">
        <v>795</v>
      </c>
      <c r="C203" s="15" t="s">
        <v>54</v>
      </c>
      <c r="D203" s="15" t="s">
        <v>123</v>
      </c>
      <c r="E203" s="15" t="s">
        <v>187</v>
      </c>
      <c r="F203" s="15" t="s">
        <v>157</v>
      </c>
      <c r="G203" s="69">
        <f>G204</f>
        <v>0</v>
      </c>
      <c r="H203" s="69">
        <v>0</v>
      </c>
      <c r="I203" s="1"/>
    </row>
    <row r="204" spans="1:19" ht="15" hidden="1" customHeight="1">
      <c r="A204" s="16" t="s">
        <v>178</v>
      </c>
      <c r="B204" s="49">
        <v>795</v>
      </c>
      <c r="C204" s="15" t="s">
        <v>54</v>
      </c>
      <c r="D204" s="15" t="s">
        <v>123</v>
      </c>
      <c r="E204" s="15" t="s">
        <v>187</v>
      </c>
      <c r="F204" s="15" t="s">
        <v>179</v>
      </c>
      <c r="G204" s="69">
        <f>'прил 5,'!G1862</f>
        <v>0</v>
      </c>
      <c r="H204" s="69">
        <v>0</v>
      </c>
      <c r="I204" s="1"/>
    </row>
    <row r="205" spans="1:19" ht="78" hidden="1" customHeight="1">
      <c r="A205" s="50" t="s">
        <v>652</v>
      </c>
      <c r="B205" s="49">
        <v>795</v>
      </c>
      <c r="C205" s="15" t="s">
        <v>54</v>
      </c>
      <c r="D205" s="15" t="s">
        <v>123</v>
      </c>
      <c r="E205" s="15" t="s">
        <v>654</v>
      </c>
      <c r="F205" s="15"/>
      <c r="G205" s="69">
        <f>G206</f>
        <v>0</v>
      </c>
      <c r="H205" s="69">
        <v>0</v>
      </c>
      <c r="I205" s="1"/>
    </row>
    <row r="206" spans="1:19" ht="18" hidden="1" customHeight="1">
      <c r="A206" s="16" t="s">
        <v>156</v>
      </c>
      <c r="B206" s="49">
        <v>795</v>
      </c>
      <c r="C206" s="15" t="s">
        <v>54</v>
      </c>
      <c r="D206" s="15" t="s">
        <v>123</v>
      </c>
      <c r="E206" s="15" t="s">
        <v>654</v>
      </c>
      <c r="F206" s="15" t="s">
        <v>157</v>
      </c>
      <c r="G206" s="69">
        <f>G207</f>
        <v>0</v>
      </c>
      <c r="H206" s="69">
        <v>0</v>
      </c>
      <c r="I206" s="1"/>
    </row>
    <row r="207" spans="1:19" ht="27.75" hidden="1" customHeight="1">
      <c r="A207" s="16" t="s">
        <v>178</v>
      </c>
      <c r="B207" s="49">
        <v>795</v>
      </c>
      <c r="C207" s="15" t="s">
        <v>54</v>
      </c>
      <c r="D207" s="15" t="s">
        <v>123</v>
      </c>
      <c r="E207" s="15" t="s">
        <v>654</v>
      </c>
      <c r="F207" s="15" t="s">
        <v>179</v>
      </c>
      <c r="G207" s="69">
        <f>'прил 5,'!G1865</f>
        <v>0</v>
      </c>
      <c r="H207" s="69">
        <v>0</v>
      </c>
      <c r="I207" s="1"/>
    </row>
    <row r="208" spans="1:19" ht="78.75" hidden="1" customHeight="1">
      <c r="A208" s="16" t="s">
        <v>107</v>
      </c>
      <c r="B208" s="49">
        <v>795</v>
      </c>
      <c r="C208" s="15" t="s">
        <v>54</v>
      </c>
      <c r="D208" s="15" t="s">
        <v>123</v>
      </c>
      <c r="E208" s="15" t="s">
        <v>105</v>
      </c>
      <c r="F208" s="15"/>
      <c r="G208" s="69">
        <f>G209+G216+G226+G210+G229+G232+G238+G223</f>
        <v>0</v>
      </c>
      <c r="H208" s="69">
        <f>H209+H216+H226+H210+H229+H232</f>
        <v>0</v>
      </c>
    </row>
    <row r="209" spans="1:19" ht="47.25" hidden="1" customHeight="1">
      <c r="A209" s="16" t="s">
        <v>108</v>
      </c>
      <c r="B209" s="49">
        <v>795</v>
      </c>
      <c r="C209" s="15" t="s">
        <v>54</v>
      </c>
      <c r="D209" s="15" t="s">
        <v>123</v>
      </c>
      <c r="E209" s="15" t="s">
        <v>106</v>
      </c>
      <c r="F209" s="15"/>
      <c r="G209" s="69">
        <f>G212+G214</f>
        <v>0</v>
      </c>
      <c r="H209" s="69">
        <f t="shared" ref="H209" si="48">H212+H214</f>
        <v>0</v>
      </c>
    </row>
    <row r="210" spans="1:19" s="18" customFormat="1" ht="15.75" hidden="1" customHeight="1">
      <c r="A210" s="16" t="s">
        <v>63</v>
      </c>
      <c r="B210" s="49">
        <v>795</v>
      </c>
      <c r="C210" s="15" t="s">
        <v>54</v>
      </c>
      <c r="D210" s="15" t="s">
        <v>123</v>
      </c>
      <c r="E210" s="15" t="s">
        <v>106</v>
      </c>
      <c r="F210" s="15" t="s">
        <v>64</v>
      </c>
      <c r="G210" s="69">
        <f>G211</f>
        <v>0</v>
      </c>
      <c r="H210" s="69">
        <v>0</v>
      </c>
      <c r="I210" s="113"/>
      <c r="O210" s="17"/>
      <c r="P210" s="17"/>
      <c r="Q210" s="17"/>
      <c r="R210" s="17"/>
      <c r="S210" s="17"/>
    </row>
    <row r="211" spans="1:19" s="18" customFormat="1" ht="15.75" hidden="1" customHeight="1">
      <c r="A211" s="16" t="s">
        <v>180</v>
      </c>
      <c r="B211" s="49">
        <v>795</v>
      </c>
      <c r="C211" s="15" t="s">
        <v>54</v>
      </c>
      <c r="D211" s="15" t="s">
        <v>123</v>
      </c>
      <c r="E211" s="15" t="s">
        <v>106</v>
      </c>
      <c r="F211" s="15" t="s">
        <v>181</v>
      </c>
      <c r="G211" s="69">
        <f>'прил 5,'!G1869</f>
        <v>0</v>
      </c>
      <c r="H211" s="69">
        <v>0</v>
      </c>
      <c r="I211" s="113"/>
      <c r="O211" s="17"/>
      <c r="P211" s="17"/>
      <c r="Q211" s="17"/>
      <c r="R211" s="17"/>
      <c r="S211" s="17"/>
    </row>
    <row r="212" spans="1:19" ht="16.5" hidden="1" customHeight="1">
      <c r="A212" s="16" t="s">
        <v>156</v>
      </c>
      <c r="B212" s="49">
        <v>795</v>
      </c>
      <c r="C212" s="15" t="s">
        <v>54</v>
      </c>
      <c r="D212" s="15" t="s">
        <v>123</v>
      </c>
      <c r="E212" s="15" t="s">
        <v>106</v>
      </c>
      <c r="F212" s="15" t="s">
        <v>157</v>
      </c>
      <c r="G212" s="69">
        <f>G213</f>
        <v>0</v>
      </c>
      <c r="H212" s="69">
        <f>H213</f>
        <v>0</v>
      </c>
    </row>
    <row r="213" spans="1:19" ht="19.5" hidden="1" customHeight="1">
      <c r="A213" s="16" t="s">
        <v>178</v>
      </c>
      <c r="B213" s="49">
        <v>795</v>
      </c>
      <c r="C213" s="15" t="s">
        <v>54</v>
      </c>
      <c r="D213" s="15" t="s">
        <v>123</v>
      </c>
      <c r="E213" s="15" t="s">
        <v>106</v>
      </c>
      <c r="F213" s="15" t="s">
        <v>179</v>
      </c>
      <c r="G213" s="69">
        <f>'прил 5,'!G1871</f>
        <v>0</v>
      </c>
      <c r="H213" s="69">
        <f>'прил 5,'!H1871</f>
        <v>0</v>
      </c>
    </row>
    <row r="214" spans="1:19" ht="22.5" hidden="1" customHeight="1">
      <c r="A214" s="16" t="s">
        <v>323</v>
      </c>
      <c r="B214" s="49">
        <v>795</v>
      </c>
      <c r="C214" s="15" t="s">
        <v>54</v>
      </c>
      <c r="D214" s="15" t="s">
        <v>123</v>
      </c>
      <c r="E214" s="15" t="s">
        <v>106</v>
      </c>
      <c r="F214" s="15" t="s">
        <v>37</v>
      </c>
      <c r="G214" s="69">
        <f>G215</f>
        <v>0</v>
      </c>
      <c r="H214" s="69">
        <f>H215</f>
        <v>0</v>
      </c>
      <c r="I214" s="1"/>
    </row>
    <row r="215" spans="1:19" ht="32.25" hidden="1" customHeight="1">
      <c r="A215" s="16" t="s">
        <v>38</v>
      </c>
      <c r="B215" s="49">
        <v>795</v>
      </c>
      <c r="C215" s="15" t="s">
        <v>54</v>
      </c>
      <c r="D215" s="15" t="s">
        <v>123</v>
      </c>
      <c r="E215" s="15" t="s">
        <v>106</v>
      </c>
      <c r="F215" s="15" t="s">
        <v>39</v>
      </c>
      <c r="G215" s="69">
        <f>'прил 5,'!G1873</f>
        <v>0</v>
      </c>
      <c r="H215" s="69">
        <f>'прил 5,'!H1873</f>
        <v>0</v>
      </c>
      <c r="I215" s="1"/>
    </row>
    <row r="216" spans="1:19" s="18" customFormat="1" ht="65.25" hidden="1" customHeight="1">
      <c r="A216" s="16" t="s">
        <v>521</v>
      </c>
      <c r="B216" s="49">
        <v>795</v>
      </c>
      <c r="C216" s="15" t="s">
        <v>54</v>
      </c>
      <c r="D216" s="15" t="s">
        <v>123</v>
      </c>
      <c r="E216" s="15" t="s">
        <v>46</v>
      </c>
      <c r="F216" s="15"/>
      <c r="G216" s="69">
        <f>G217+G221+G219</f>
        <v>0</v>
      </c>
      <c r="H216" s="27">
        <v>0</v>
      </c>
      <c r="I216" s="113"/>
      <c r="O216" s="17"/>
      <c r="P216" s="17"/>
      <c r="Q216" s="17"/>
      <c r="R216" s="17"/>
      <c r="S216" s="17"/>
    </row>
    <row r="217" spans="1:19" s="18" customFormat="1" ht="15.75" hidden="1" customHeight="1">
      <c r="A217" s="16" t="s">
        <v>323</v>
      </c>
      <c r="B217" s="49">
        <v>795</v>
      </c>
      <c r="C217" s="15" t="s">
        <v>54</v>
      </c>
      <c r="D217" s="15" t="s">
        <v>123</v>
      </c>
      <c r="E217" s="15" t="s">
        <v>46</v>
      </c>
      <c r="F217" s="15" t="s">
        <v>37</v>
      </c>
      <c r="G217" s="69">
        <f>G218</f>
        <v>0</v>
      </c>
      <c r="H217" s="27">
        <v>0</v>
      </c>
      <c r="I217" s="113"/>
      <c r="O217" s="17"/>
      <c r="P217" s="17"/>
      <c r="Q217" s="17"/>
      <c r="R217" s="17"/>
      <c r="S217" s="17"/>
    </row>
    <row r="218" spans="1:19" s="18" customFormat="1" ht="15.75" hidden="1" customHeight="1">
      <c r="A218" s="16" t="s">
        <v>38</v>
      </c>
      <c r="B218" s="49">
        <v>795</v>
      </c>
      <c r="C218" s="15" t="s">
        <v>54</v>
      </c>
      <c r="D218" s="15" t="s">
        <v>123</v>
      </c>
      <c r="E218" s="15" t="s">
        <v>46</v>
      </c>
      <c r="F218" s="15" t="s">
        <v>39</v>
      </c>
      <c r="G218" s="69">
        <f>'прил 5,'!G1876</f>
        <v>0</v>
      </c>
      <c r="H218" s="27">
        <v>0</v>
      </c>
      <c r="I218" s="113"/>
      <c r="O218" s="17"/>
      <c r="P218" s="17"/>
      <c r="Q218" s="17"/>
      <c r="R218" s="17"/>
      <c r="S218" s="17"/>
    </row>
    <row r="219" spans="1:19" ht="22.5" hidden="1" customHeight="1">
      <c r="A219" s="16" t="s">
        <v>323</v>
      </c>
      <c r="B219" s="49">
        <v>795</v>
      </c>
      <c r="C219" s="15" t="s">
        <v>54</v>
      </c>
      <c r="D219" s="15" t="s">
        <v>123</v>
      </c>
      <c r="E219" s="15" t="s">
        <v>46</v>
      </c>
      <c r="F219" s="15" t="s">
        <v>37</v>
      </c>
      <c r="G219" s="69">
        <f>G220</f>
        <v>0</v>
      </c>
      <c r="H219" s="69">
        <v>0</v>
      </c>
      <c r="I219" s="1"/>
    </row>
    <row r="220" spans="1:19" ht="16.5" hidden="1" customHeight="1">
      <c r="A220" s="16" t="s">
        <v>38</v>
      </c>
      <c r="B220" s="49">
        <v>795</v>
      </c>
      <c r="C220" s="15" t="s">
        <v>54</v>
      </c>
      <c r="D220" s="15" t="s">
        <v>123</v>
      </c>
      <c r="E220" s="15" t="s">
        <v>46</v>
      </c>
      <c r="F220" s="15" t="s">
        <v>39</v>
      </c>
      <c r="G220" s="69"/>
      <c r="H220" s="69"/>
      <c r="I220" s="1"/>
    </row>
    <row r="221" spans="1:19" ht="22.5" hidden="1" customHeight="1">
      <c r="A221" s="16" t="s">
        <v>156</v>
      </c>
      <c r="B221" s="49">
        <v>795</v>
      </c>
      <c r="C221" s="15" t="s">
        <v>54</v>
      </c>
      <c r="D221" s="15" t="s">
        <v>123</v>
      </c>
      <c r="E221" s="15" t="s">
        <v>46</v>
      </c>
      <c r="F221" s="15" t="s">
        <v>157</v>
      </c>
      <c r="G221" s="69">
        <f>G222</f>
        <v>0</v>
      </c>
      <c r="H221" s="27">
        <v>0</v>
      </c>
      <c r="I221" s="1"/>
    </row>
    <row r="222" spans="1:19" ht="16.5" hidden="1" customHeight="1">
      <c r="A222" s="16" t="s">
        <v>178</v>
      </c>
      <c r="B222" s="49">
        <v>795</v>
      </c>
      <c r="C222" s="15" t="s">
        <v>54</v>
      </c>
      <c r="D222" s="15" t="s">
        <v>123</v>
      </c>
      <c r="E222" s="15" t="s">
        <v>46</v>
      </c>
      <c r="F222" s="15" t="s">
        <v>179</v>
      </c>
      <c r="G222" s="69">
        <f>'прил 5,'!G1880</f>
        <v>0</v>
      </c>
      <c r="H222" s="27">
        <v>0</v>
      </c>
      <c r="I222" s="1"/>
    </row>
    <row r="223" spans="1:19" ht="62.25" hidden="1" customHeight="1">
      <c r="A223" s="16" t="s">
        <v>707</v>
      </c>
      <c r="B223" s="49">
        <v>795</v>
      </c>
      <c r="C223" s="15" t="s">
        <v>54</v>
      </c>
      <c r="D223" s="15" t="s">
        <v>123</v>
      </c>
      <c r="E223" s="15" t="s">
        <v>706</v>
      </c>
      <c r="F223" s="15"/>
      <c r="G223" s="69">
        <f>G224</f>
        <v>0</v>
      </c>
      <c r="H223" s="69">
        <f t="shared" ref="H223" si="49">H224+H226+H228</f>
        <v>0</v>
      </c>
      <c r="I223" s="1"/>
      <c r="K223" s="2" t="e">
        <f>#REF!+#REF!+#REF!</f>
        <v>#REF!</v>
      </c>
    </row>
    <row r="224" spans="1:19" s="18" customFormat="1" ht="15.75" hidden="1" customHeight="1">
      <c r="A224" s="16" t="s">
        <v>323</v>
      </c>
      <c r="B224" s="49">
        <v>795</v>
      </c>
      <c r="C224" s="15" t="s">
        <v>54</v>
      </c>
      <c r="D224" s="15" t="s">
        <v>123</v>
      </c>
      <c r="E224" s="15" t="s">
        <v>706</v>
      </c>
      <c r="F224" s="15" t="s">
        <v>37</v>
      </c>
      <c r="G224" s="69">
        <f>G225</f>
        <v>0</v>
      </c>
      <c r="H224" s="115">
        <v>0</v>
      </c>
      <c r="I224" s="113"/>
      <c r="O224" s="17"/>
      <c r="P224" s="17"/>
      <c r="Q224" s="17"/>
      <c r="R224" s="17"/>
      <c r="S224" s="17"/>
    </row>
    <row r="225" spans="1:19" s="18" customFormat="1" ht="35.25" hidden="1" customHeight="1">
      <c r="A225" s="16" t="s">
        <v>38</v>
      </c>
      <c r="B225" s="49">
        <v>795</v>
      </c>
      <c r="C225" s="15" t="s">
        <v>54</v>
      </c>
      <c r="D225" s="15" t="s">
        <v>123</v>
      </c>
      <c r="E225" s="15" t="s">
        <v>706</v>
      </c>
      <c r="F225" s="15" t="s">
        <v>39</v>
      </c>
      <c r="G225" s="69"/>
      <c r="H225" s="115"/>
      <c r="I225" s="113"/>
      <c r="O225" s="17"/>
      <c r="P225" s="17"/>
      <c r="Q225" s="17"/>
      <c r="R225" s="17"/>
      <c r="S225" s="17"/>
    </row>
    <row r="226" spans="1:19" ht="68.25" hidden="1" customHeight="1">
      <c r="A226" s="16" t="s">
        <v>421</v>
      </c>
      <c r="B226" s="49">
        <v>795</v>
      </c>
      <c r="C226" s="15" t="s">
        <v>54</v>
      </c>
      <c r="D226" s="15" t="s">
        <v>123</v>
      </c>
      <c r="E226" s="15" t="s">
        <v>10</v>
      </c>
      <c r="F226" s="15"/>
      <c r="G226" s="69">
        <f>G227</f>
        <v>0</v>
      </c>
      <c r="H226" s="27">
        <v>0</v>
      </c>
      <c r="I226" s="1"/>
    </row>
    <row r="227" spans="1:19" ht="22.5" hidden="1" customHeight="1">
      <c r="A227" s="16" t="s">
        <v>156</v>
      </c>
      <c r="B227" s="49">
        <v>795</v>
      </c>
      <c r="C227" s="15" t="s">
        <v>54</v>
      </c>
      <c r="D227" s="15" t="s">
        <v>123</v>
      </c>
      <c r="E227" s="15" t="s">
        <v>10</v>
      </c>
      <c r="F227" s="15" t="s">
        <v>157</v>
      </c>
      <c r="G227" s="69">
        <f>G228</f>
        <v>0</v>
      </c>
      <c r="H227" s="27">
        <v>0</v>
      </c>
      <c r="I227" s="1"/>
    </row>
    <row r="228" spans="1:19" ht="16.5" hidden="1" customHeight="1">
      <c r="A228" s="16" t="s">
        <v>178</v>
      </c>
      <c r="B228" s="49">
        <v>795</v>
      </c>
      <c r="C228" s="15" t="s">
        <v>54</v>
      </c>
      <c r="D228" s="15" t="s">
        <v>123</v>
      </c>
      <c r="E228" s="15" t="s">
        <v>10</v>
      </c>
      <c r="F228" s="15" t="s">
        <v>179</v>
      </c>
      <c r="G228" s="69">
        <f>'прил 5,'!G1886</f>
        <v>0</v>
      </c>
      <c r="H228" s="27">
        <v>0</v>
      </c>
      <c r="I228" s="1"/>
    </row>
    <row r="229" spans="1:19" ht="77.25" hidden="1" customHeight="1">
      <c r="A229" s="16" t="s">
        <v>586</v>
      </c>
      <c r="B229" s="49">
        <v>795</v>
      </c>
      <c r="C229" s="15" t="s">
        <v>54</v>
      </c>
      <c r="D229" s="15" t="s">
        <v>123</v>
      </c>
      <c r="E229" s="15" t="s">
        <v>585</v>
      </c>
      <c r="F229" s="15"/>
      <c r="G229" s="69">
        <f>G230</f>
        <v>0</v>
      </c>
      <c r="H229" s="27">
        <v>0</v>
      </c>
      <c r="I229" s="1"/>
    </row>
    <row r="230" spans="1:19" ht="22.5" hidden="1" customHeight="1">
      <c r="A230" s="16" t="s">
        <v>156</v>
      </c>
      <c r="B230" s="49">
        <v>795</v>
      </c>
      <c r="C230" s="15" t="s">
        <v>54</v>
      </c>
      <c r="D230" s="15" t="s">
        <v>123</v>
      </c>
      <c r="E230" s="15" t="s">
        <v>585</v>
      </c>
      <c r="F230" s="15" t="s">
        <v>157</v>
      </c>
      <c r="G230" s="69">
        <f>G231</f>
        <v>0</v>
      </c>
      <c r="H230" s="27">
        <v>0</v>
      </c>
      <c r="I230" s="1"/>
    </row>
    <row r="231" spans="1:19" ht="16.5" hidden="1" customHeight="1">
      <c r="A231" s="16" t="s">
        <v>170</v>
      </c>
      <c r="B231" s="49">
        <v>795</v>
      </c>
      <c r="C231" s="15" t="s">
        <v>54</v>
      </c>
      <c r="D231" s="15" t="s">
        <v>123</v>
      </c>
      <c r="E231" s="15" t="s">
        <v>585</v>
      </c>
      <c r="F231" s="15" t="s">
        <v>171</v>
      </c>
      <c r="G231" s="69"/>
      <c r="H231" s="27">
        <v>0</v>
      </c>
      <c r="I231" s="1"/>
    </row>
    <row r="232" spans="1:19" ht="48" hidden="1" customHeight="1">
      <c r="A232" s="16" t="s">
        <v>601</v>
      </c>
      <c r="B232" s="49">
        <v>795</v>
      </c>
      <c r="C232" s="15" t="s">
        <v>54</v>
      </c>
      <c r="D232" s="15" t="s">
        <v>123</v>
      </c>
      <c r="E232" s="83" t="s">
        <v>600</v>
      </c>
      <c r="F232" s="15"/>
      <c r="G232" s="69">
        <f>G233</f>
        <v>0</v>
      </c>
      <c r="H232" s="69">
        <v>0</v>
      </c>
      <c r="I232" s="1"/>
    </row>
    <row r="233" spans="1:19" ht="22.5" hidden="1" customHeight="1">
      <c r="A233" s="16" t="s">
        <v>156</v>
      </c>
      <c r="B233" s="49">
        <v>795</v>
      </c>
      <c r="C233" s="15" t="s">
        <v>54</v>
      </c>
      <c r="D233" s="15" t="s">
        <v>123</v>
      </c>
      <c r="E233" s="15" t="s">
        <v>600</v>
      </c>
      <c r="F233" s="15" t="s">
        <v>157</v>
      </c>
      <c r="G233" s="69">
        <f>G234</f>
        <v>0</v>
      </c>
      <c r="H233" s="69">
        <v>0</v>
      </c>
      <c r="I233" s="1"/>
    </row>
    <row r="234" spans="1:19" ht="16.5" hidden="1" customHeight="1">
      <c r="A234" s="16" t="s">
        <v>170</v>
      </c>
      <c r="B234" s="49">
        <v>795</v>
      </c>
      <c r="C234" s="15" t="s">
        <v>54</v>
      </c>
      <c r="D234" s="15" t="s">
        <v>123</v>
      </c>
      <c r="E234" s="15" t="s">
        <v>600</v>
      </c>
      <c r="F234" s="15" t="s">
        <v>171</v>
      </c>
      <c r="G234" s="69"/>
      <c r="H234" s="69">
        <v>0</v>
      </c>
      <c r="I234" s="1"/>
    </row>
    <row r="235" spans="1:19" ht="63" hidden="1" customHeight="1">
      <c r="A235" s="16" t="s">
        <v>653</v>
      </c>
      <c r="B235" s="49">
        <v>795</v>
      </c>
      <c r="C235" s="15" t="s">
        <v>54</v>
      </c>
      <c r="D235" s="15" t="s">
        <v>123</v>
      </c>
      <c r="E235" s="15" t="s">
        <v>299</v>
      </c>
      <c r="F235" s="15"/>
      <c r="G235" s="69">
        <f>G236</f>
        <v>0</v>
      </c>
      <c r="H235" s="69"/>
      <c r="I235" s="1"/>
    </row>
    <row r="236" spans="1:19" ht="16.5" hidden="1" customHeight="1">
      <c r="A236" s="16" t="s">
        <v>323</v>
      </c>
      <c r="B236" s="49">
        <v>795</v>
      </c>
      <c r="C236" s="15" t="s">
        <v>54</v>
      </c>
      <c r="D236" s="15" t="s">
        <v>123</v>
      </c>
      <c r="E236" s="15" t="s">
        <v>299</v>
      </c>
      <c r="F236" s="15" t="s">
        <v>37</v>
      </c>
      <c r="G236" s="69">
        <f>G237</f>
        <v>0</v>
      </c>
      <c r="H236" s="69"/>
      <c r="I236" s="1"/>
    </row>
    <row r="237" spans="1:19" ht="28.5" hidden="1" customHeight="1">
      <c r="A237" s="16" t="s">
        <v>38</v>
      </c>
      <c r="B237" s="49">
        <v>795</v>
      </c>
      <c r="C237" s="15" t="s">
        <v>54</v>
      </c>
      <c r="D237" s="15" t="s">
        <v>123</v>
      </c>
      <c r="E237" s="15" t="s">
        <v>299</v>
      </c>
      <c r="F237" s="15" t="s">
        <v>39</v>
      </c>
      <c r="G237" s="69">
        <f>'прил 5,'!G1889</f>
        <v>0</v>
      </c>
      <c r="H237" s="69"/>
      <c r="I237" s="1"/>
    </row>
    <row r="238" spans="1:19" s="18" customFormat="1" ht="76.5" hidden="1" customHeight="1">
      <c r="A238" s="50" t="s">
        <v>662</v>
      </c>
      <c r="B238" s="49">
        <v>795</v>
      </c>
      <c r="C238" s="15" t="s">
        <v>54</v>
      </c>
      <c r="D238" s="15" t="s">
        <v>123</v>
      </c>
      <c r="E238" s="15" t="s">
        <v>697</v>
      </c>
      <c r="F238" s="15"/>
      <c r="G238" s="69">
        <f t="shared" ref="G238:H239" si="50">G239</f>
        <v>0</v>
      </c>
      <c r="H238" s="69">
        <f t="shared" si="50"/>
        <v>0</v>
      </c>
      <c r="O238" s="17"/>
      <c r="P238" s="17"/>
      <c r="Q238" s="17"/>
      <c r="R238" s="17"/>
      <c r="S238" s="17"/>
    </row>
    <row r="239" spans="1:19" s="18" customFormat="1" ht="15" hidden="1" customHeight="1">
      <c r="A239" s="16" t="s">
        <v>323</v>
      </c>
      <c r="B239" s="49">
        <v>795</v>
      </c>
      <c r="C239" s="15" t="s">
        <v>54</v>
      </c>
      <c r="D239" s="15" t="s">
        <v>123</v>
      </c>
      <c r="E239" s="15" t="s">
        <v>697</v>
      </c>
      <c r="F239" s="15" t="s">
        <v>37</v>
      </c>
      <c r="G239" s="69">
        <f t="shared" si="50"/>
        <v>0</v>
      </c>
      <c r="H239" s="69">
        <f t="shared" si="50"/>
        <v>0</v>
      </c>
      <c r="O239" s="17"/>
      <c r="P239" s="17"/>
      <c r="Q239" s="17"/>
      <c r="R239" s="17"/>
      <c r="S239" s="17"/>
    </row>
    <row r="240" spans="1:19" s="18" customFormat="1" ht="32.25" hidden="1" customHeight="1">
      <c r="A240" s="16" t="s">
        <v>38</v>
      </c>
      <c r="B240" s="49">
        <v>795</v>
      </c>
      <c r="C240" s="15" t="s">
        <v>54</v>
      </c>
      <c r="D240" s="15" t="s">
        <v>123</v>
      </c>
      <c r="E240" s="15" t="s">
        <v>697</v>
      </c>
      <c r="F240" s="15" t="s">
        <v>39</v>
      </c>
      <c r="G240" s="69">
        <f>'прил 5,'!G1892</f>
        <v>0</v>
      </c>
      <c r="H240" s="69">
        <v>0</v>
      </c>
      <c r="I240" s="18" t="s">
        <v>461</v>
      </c>
      <c r="K240" s="18">
        <v>26808448</v>
      </c>
      <c r="O240" s="17"/>
      <c r="P240" s="17"/>
      <c r="Q240" s="17"/>
      <c r="R240" s="17"/>
      <c r="S240" s="17"/>
    </row>
    <row r="241" spans="1:19" ht="87" hidden="1" customHeight="1">
      <c r="A241" s="16" t="s">
        <v>667</v>
      </c>
      <c r="B241" s="49">
        <v>795</v>
      </c>
      <c r="C241" s="15" t="s">
        <v>54</v>
      </c>
      <c r="D241" s="15" t="s">
        <v>123</v>
      </c>
      <c r="E241" s="15" t="s">
        <v>11</v>
      </c>
      <c r="F241" s="15"/>
      <c r="G241" s="69">
        <f>G242+G245+G248</f>
        <v>0</v>
      </c>
      <c r="H241" s="69">
        <f t="shared" ref="H241" si="51">H242+H245+H248</f>
        <v>0</v>
      </c>
      <c r="I241" s="1"/>
    </row>
    <row r="242" spans="1:19" ht="91.5" hidden="1" customHeight="1">
      <c r="A242" s="16" t="s">
        <v>617</v>
      </c>
      <c r="B242" s="49">
        <v>795</v>
      </c>
      <c r="C242" s="15" t="s">
        <v>54</v>
      </c>
      <c r="D242" s="15" t="s">
        <v>123</v>
      </c>
      <c r="E242" s="15" t="s">
        <v>616</v>
      </c>
      <c r="F242" s="15"/>
      <c r="G242" s="69">
        <f>G243</f>
        <v>0</v>
      </c>
      <c r="H242" s="69">
        <v>0</v>
      </c>
      <c r="I242" s="1"/>
    </row>
    <row r="243" spans="1:19" ht="22.5" hidden="1" customHeight="1">
      <c r="A243" s="16" t="s">
        <v>156</v>
      </c>
      <c r="B243" s="49">
        <v>795</v>
      </c>
      <c r="C243" s="15" t="s">
        <v>54</v>
      </c>
      <c r="D243" s="15" t="s">
        <v>123</v>
      </c>
      <c r="E243" s="15" t="s">
        <v>616</v>
      </c>
      <c r="F243" s="15" t="s">
        <v>157</v>
      </c>
      <c r="G243" s="69">
        <f>G244</f>
        <v>0</v>
      </c>
      <c r="H243" s="69">
        <v>0</v>
      </c>
      <c r="I243" s="1"/>
    </row>
    <row r="244" spans="1:19" ht="16.5" hidden="1" customHeight="1">
      <c r="A244" s="16" t="s">
        <v>170</v>
      </c>
      <c r="B244" s="49">
        <v>795</v>
      </c>
      <c r="C244" s="15" t="s">
        <v>54</v>
      </c>
      <c r="D244" s="15" t="s">
        <v>123</v>
      </c>
      <c r="E244" s="15" t="s">
        <v>616</v>
      </c>
      <c r="F244" s="15" t="s">
        <v>171</v>
      </c>
      <c r="G244" s="69"/>
      <c r="H244" s="69">
        <v>0</v>
      </c>
      <c r="I244" s="1"/>
    </row>
    <row r="245" spans="1:19" ht="48" hidden="1" customHeight="1">
      <c r="A245" s="16" t="s">
        <v>601</v>
      </c>
      <c r="B245" s="49">
        <v>795</v>
      </c>
      <c r="C245" s="15" t="s">
        <v>54</v>
      </c>
      <c r="D245" s="15" t="s">
        <v>123</v>
      </c>
      <c r="E245" s="15" t="s">
        <v>405</v>
      </c>
      <c r="F245" s="15"/>
      <c r="G245" s="69">
        <f>G246</f>
        <v>0</v>
      </c>
      <c r="H245" s="69">
        <v>0</v>
      </c>
      <c r="I245" s="1"/>
    </row>
    <row r="246" spans="1:19" ht="22.5" hidden="1" customHeight="1">
      <c r="A246" s="16" t="s">
        <v>156</v>
      </c>
      <c r="B246" s="49">
        <v>795</v>
      </c>
      <c r="C246" s="15" t="s">
        <v>54</v>
      </c>
      <c r="D246" s="15" t="s">
        <v>123</v>
      </c>
      <c r="E246" s="15" t="s">
        <v>405</v>
      </c>
      <c r="F246" s="15" t="s">
        <v>157</v>
      </c>
      <c r="G246" s="69">
        <f>G247</f>
        <v>0</v>
      </c>
      <c r="H246" s="69">
        <v>0</v>
      </c>
      <c r="I246" s="1"/>
    </row>
    <row r="247" spans="1:19" ht="16.5" hidden="1" customHeight="1">
      <c r="A247" s="16" t="s">
        <v>170</v>
      </c>
      <c r="B247" s="49">
        <v>795</v>
      </c>
      <c r="C247" s="15" t="s">
        <v>54</v>
      </c>
      <c r="D247" s="15" t="s">
        <v>123</v>
      </c>
      <c r="E247" s="15" t="s">
        <v>405</v>
      </c>
      <c r="F247" s="15" t="s">
        <v>171</v>
      </c>
      <c r="G247" s="69"/>
      <c r="H247" s="69">
        <v>0</v>
      </c>
      <c r="I247" s="1"/>
    </row>
    <row r="248" spans="1:19" s="18" customFormat="1" ht="96" hidden="1" customHeight="1">
      <c r="A248" s="79" t="s">
        <v>668</v>
      </c>
      <c r="B248" s="49">
        <v>795</v>
      </c>
      <c r="C248" s="15" t="s">
        <v>54</v>
      </c>
      <c r="D248" s="15" t="s">
        <v>123</v>
      </c>
      <c r="E248" s="15" t="s">
        <v>618</v>
      </c>
      <c r="F248" s="15"/>
      <c r="G248" s="69">
        <f>G249+G251</f>
        <v>0</v>
      </c>
      <c r="H248" s="69">
        <f>H251+H249</f>
        <v>0</v>
      </c>
      <c r="O248" s="17"/>
      <c r="P248" s="17"/>
      <c r="Q248" s="17"/>
      <c r="R248" s="17"/>
      <c r="S248" s="17"/>
    </row>
    <row r="249" spans="1:19" s="18" customFormat="1" ht="24.75" hidden="1" customHeight="1">
      <c r="A249" s="16" t="s">
        <v>323</v>
      </c>
      <c r="B249" s="49">
        <v>795</v>
      </c>
      <c r="C249" s="15" t="s">
        <v>54</v>
      </c>
      <c r="D249" s="15" t="s">
        <v>123</v>
      </c>
      <c r="E249" s="15" t="s">
        <v>618</v>
      </c>
      <c r="F249" s="15" t="s">
        <v>37</v>
      </c>
      <c r="G249" s="69">
        <f t="shared" ref="G249:H249" si="52">G250</f>
        <v>0</v>
      </c>
      <c r="H249" s="69">
        <f t="shared" si="52"/>
        <v>0</v>
      </c>
      <c r="O249" s="17"/>
      <c r="P249" s="17"/>
      <c r="Q249" s="17"/>
      <c r="R249" s="17"/>
      <c r="S249" s="17"/>
    </row>
    <row r="250" spans="1:19" s="18" customFormat="1" ht="30.75" hidden="1" customHeight="1">
      <c r="A250" s="16" t="s">
        <v>38</v>
      </c>
      <c r="B250" s="49">
        <v>795</v>
      </c>
      <c r="C250" s="15" t="s">
        <v>54</v>
      </c>
      <c r="D250" s="15" t="s">
        <v>123</v>
      </c>
      <c r="E250" s="15" t="s">
        <v>618</v>
      </c>
      <c r="F250" s="15" t="s">
        <v>39</v>
      </c>
      <c r="G250" s="69"/>
      <c r="H250" s="69"/>
      <c r="O250" s="17"/>
      <c r="P250" s="17"/>
      <c r="Q250" s="17"/>
      <c r="R250" s="17"/>
      <c r="S250" s="17"/>
    </row>
    <row r="251" spans="1:19" s="89" customFormat="1" ht="22.5" hidden="1" customHeight="1">
      <c r="A251" s="81" t="s">
        <v>156</v>
      </c>
      <c r="B251" s="82">
        <v>795</v>
      </c>
      <c r="C251" s="83" t="s">
        <v>54</v>
      </c>
      <c r="D251" s="83" t="s">
        <v>123</v>
      </c>
      <c r="E251" s="83" t="s">
        <v>618</v>
      </c>
      <c r="F251" s="83" t="s">
        <v>157</v>
      </c>
      <c r="G251" s="86">
        <f>G252</f>
        <v>0</v>
      </c>
      <c r="H251" s="86">
        <f t="shared" ref="H251" si="53">H252</f>
        <v>0</v>
      </c>
      <c r="O251" s="122"/>
      <c r="P251" s="122"/>
      <c r="Q251" s="122"/>
      <c r="R251" s="122"/>
      <c r="S251" s="122"/>
    </row>
    <row r="252" spans="1:19" s="89" customFormat="1" ht="16.5" hidden="1" customHeight="1">
      <c r="A252" s="81" t="s">
        <v>178</v>
      </c>
      <c r="B252" s="82">
        <v>795</v>
      </c>
      <c r="C252" s="83" t="s">
        <v>54</v>
      </c>
      <c r="D252" s="83" t="s">
        <v>123</v>
      </c>
      <c r="E252" s="83" t="s">
        <v>618</v>
      </c>
      <c r="F252" s="83" t="s">
        <v>179</v>
      </c>
      <c r="G252" s="86">
        <f>'прил 5,'!G1904</f>
        <v>0</v>
      </c>
      <c r="H252" s="123">
        <f>'прил 5,'!H1904</f>
        <v>0</v>
      </c>
      <c r="O252" s="122"/>
      <c r="P252" s="122"/>
      <c r="Q252" s="122"/>
      <c r="R252" s="122"/>
      <c r="S252" s="122"/>
    </row>
    <row r="253" spans="1:19" s="89" customFormat="1" ht="47.45" customHeight="1">
      <c r="A253" s="16" t="s">
        <v>1038</v>
      </c>
      <c r="B253" s="82"/>
      <c r="C253" s="83"/>
      <c r="D253" s="83"/>
      <c r="E253" s="15" t="s">
        <v>1039</v>
      </c>
      <c r="F253" s="15"/>
      <c r="G253" s="86">
        <f>G254</f>
        <v>5336807.38</v>
      </c>
      <c r="H253" s="86">
        <f>H254</f>
        <v>5336671.5199999996</v>
      </c>
      <c r="O253" s="122"/>
      <c r="P253" s="122"/>
      <c r="Q253" s="122"/>
      <c r="R253" s="122"/>
      <c r="S253" s="122"/>
    </row>
    <row r="254" spans="1:19" s="89" customFormat="1" ht="16.5" customHeight="1">
      <c r="A254" s="81" t="s">
        <v>452</v>
      </c>
      <c r="B254" s="82"/>
      <c r="C254" s="83"/>
      <c r="D254" s="83"/>
      <c r="E254" s="15" t="s">
        <v>1039</v>
      </c>
      <c r="F254" s="15" t="s">
        <v>37</v>
      </c>
      <c r="G254" s="86">
        <f>G255</f>
        <v>5336807.38</v>
      </c>
      <c r="H254" s="86">
        <f>H255</f>
        <v>5336671.5199999996</v>
      </c>
      <c r="O254" s="122"/>
      <c r="P254" s="122"/>
      <c r="Q254" s="122"/>
      <c r="R254" s="122"/>
      <c r="S254" s="122"/>
    </row>
    <row r="255" spans="1:19" s="89" customFormat="1" ht="16.5" customHeight="1">
      <c r="A255" s="81" t="s">
        <v>38</v>
      </c>
      <c r="B255" s="82"/>
      <c r="C255" s="83"/>
      <c r="D255" s="83"/>
      <c r="E255" s="15" t="s">
        <v>1039</v>
      </c>
      <c r="F255" s="15" t="s">
        <v>39</v>
      </c>
      <c r="G255" s="86">
        <f>'прил 5,'!G1379</f>
        <v>5336807.38</v>
      </c>
      <c r="H255" s="86">
        <f>'прил 5,'!H1379</f>
        <v>5336671.5199999996</v>
      </c>
      <c r="O255" s="122"/>
      <c r="P255" s="122"/>
      <c r="Q255" s="122"/>
      <c r="R255" s="122"/>
      <c r="S255" s="122"/>
    </row>
    <row r="256" spans="1:19" s="18" customFormat="1" ht="86.25" customHeight="1">
      <c r="A256" s="16" t="s">
        <v>982</v>
      </c>
      <c r="B256" s="14">
        <v>793</v>
      </c>
      <c r="C256" s="15" t="s">
        <v>54</v>
      </c>
      <c r="D256" s="15" t="s">
        <v>123</v>
      </c>
      <c r="E256" s="15" t="s">
        <v>981</v>
      </c>
      <c r="F256" s="15"/>
      <c r="G256" s="69">
        <f>G257</f>
        <v>527146.93999999994</v>
      </c>
      <c r="H256" s="69">
        <f>H257</f>
        <v>488990.87</v>
      </c>
      <c r="I256" s="170"/>
      <c r="J256" s="176"/>
      <c r="K256" s="176"/>
      <c r="L256" s="176"/>
      <c r="M256" s="176"/>
      <c r="N256" s="176"/>
      <c r="O256" s="176"/>
      <c r="P256" s="176"/>
      <c r="Q256" s="176"/>
    </row>
    <row r="257" spans="1:17" s="18" customFormat="1" ht="76.5" customHeight="1">
      <c r="A257" s="16" t="s">
        <v>982</v>
      </c>
      <c r="B257" s="14">
        <v>793</v>
      </c>
      <c r="C257" s="15" t="s">
        <v>54</v>
      </c>
      <c r="D257" s="15" t="s">
        <v>123</v>
      </c>
      <c r="E257" s="15" t="s">
        <v>985</v>
      </c>
      <c r="F257" s="15"/>
      <c r="G257" s="69">
        <f>G260+G258</f>
        <v>527146.93999999994</v>
      </c>
      <c r="H257" s="69">
        <f>H260+H258</f>
        <v>488990.87</v>
      </c>
      <c r="I257" s="170"/>
      <c r="J257" s="176"/>
      <c r="K257" s="176"/>
      <c r="L257" s="176"/>
      <c r="M257" s="176"/>
      <c r="N257" s="176"/>
      <c r="O257" s="176"/>
      <c r="P257" s="176"/>
      <c r="Q257" s="176"/>
    </row>
    <row r="258" spans="1:17" s="18" customFormat="1" ht="15" customHeight="1">
      <c r="A258" s="16" t="s">
        <v>323</v>
      </c>
      <c r="B258" s="14">
        <v>793</v>
      </c>
      <c r="C258" s="15" t="s">
        <v>54</v>
      </c>
      <c r="D258" s="15" t="s">
        <v>123</v>
      </c>
      <c r="E258" s="15" t="s">
        <v>985</v>
      </c>
      <c r="F258" s="15" t="s">
        <v>37</v>
      </c>
      <c r="G258" s="69">
        <f>G259</f>
        <v>448906.07</v>
      </c>
      <c r="H258" s="69">
        <f>H259</f>
        <v>410750</v>
      </c>
      <c r="I258" s="170"/>
      <c r="J258" s="176"/>
      <c r="K258" s="176"/>
      <c r="L258" s="176"/>
      <c r="M258" s="176"/>
      <c r="N258" s="176"/>
      <c r="O258" s="176"/>
      <c r="P258" s="176"/>
      <c r="Q258" s="176"/>
    </row>
    <row r="259" spans="1:17" s="18" customFormat="1" ht="32.25" customHeight="1">
      <c r="A259" s="16" t="s">
        <v>38</v>
      </c>
      <c r="B259" s="14">
        <v>793</v>
      </c>
      <c r="C259" s="15" t="s">
        <v>54</v>
      </c>
      <c r="D259" s="15" t="s">
        <v>123</v>
      </c>
      <c r="E259" s="15" t="s">
        <v>985</v>
      </c>
      <c r="F259" s="15" t="s">
        <v>39</v>
      </c>
      <c r="G259" s="69">
        <v>448906.07</v>
      </c>
      <c r="H259" s="69">
        <v>410750</v>
      </c>
      <c r="I259" s="170"/>
      <c r="J259" s="176"/>
      <c r="K259" s="176"/>
      <c r="L259" s="176"/>
      <c r="M259" s="176"/>
      <c r="N259" s="176"/>
      <c r="O259" s="176"/>
      <c r="P259" s="176"/>
      <c r="Q259" s="176"/>
    </row>
    <row r="260" spans="1:17" s="18" customFormat="1" ht="15" customHeight="1">
      <c r="A260" s="16" t="s">
        <v>156</v>
      </c>
      <c r="B260" s="14">
        <v>793</v>
      </c>
      <c r="C260" s="15" t="s">
        <v>54</v>
      </c>
      <c r="D260" s="15" t="s">
        <v>123</v>
      </c>
      <c r="E260" s="15" t="s">
        <v>985</v>
      </c>
      <c r="F260" s="15" t="s">
        <v>157</v>
      </c>
      <c r="G260" s="69">
        <f t="shared" ref="G260:H260" si="54">G261</f>
        <v>78240.87</v>
      </c>
      <c r="H260" s="69">
        <f t="shared" si="54"/>
        <v>78240.87</v>
      </c>
      <c r="I260" s="170"/>
      <c r="J260" s="176"/>
      <c r="K260" s="176"/>
      <c r="L260" s="176"/>
      <c r="M260" s="176"/>
      <c r="N260" s="176"/>
      <c r="O260" s="176"/>
      <c r="P260" s="176"/>
      <c r="Q260" s="176"/>
    </row>
    <row r="261" spans="1:17" s="18" customFormat="1" ht="32.25" customHeight="1">
      <c r="A261" s="16" t="s">
        <v>178</v>
      </c>
      <c r="B261" s="14">
        <v>793</v>
      </c>
      <c r="C261" s="15" t="s">
        <v>54</v>
      </c>
      <c r="D261" s="15" t="s">
        <v>123</v>
      </c>
      <c r="E261" s="15" t="s">
        <v>985</v>
      </c>
      <c r="F261" s="15" t="s">
        <v>179</v>
      </c>
      <c r="G261" s="69">
        <v>78240.87</v>
      </c>
      <c r="H261" s="69">
        <v>78240.87</v>
      </c>
      <c r="I261" s="170"/>
      <c r="J261" s="176"/>
      <c r="K261" s="176"/>
      <c r="L261" s="176"/>
      <c r="M261" s="176"/>
      <c r="N261" s="176"/>
      <c r="O261" s="176"/>
      <c r="P261" s="176"/>
      <c r="Q261" s="176"/>
    </row>
    <row r="262" spans="1:17" s="18" customFormat="1" ht="86.25" customHeight="1">
      <c r="A262" s="16" t="s">
        <v>983</v>
      </c>
      <c r="B262" s="14">
        <v>793</v>
      </c>
      <c r="C262" s="15" t="s">
        <v>54</v>
      </c>
      <c r="D262" s="15" t="s">
        <v>123</v>
      </c>
      <c r="E262" s="15" t="s">
        <v>11</v>
      </c>
      <c r="F262" s="15"/>
      <c r="G262" s="69">
        <f>G263</f>
        <v>1024610.61</v>
      </c>
      <c r="H262" s="69">
        <f t="shared" ref="H262" si="55">H263</f>
        <v>1007747.56</v>
      </c>
      <c r="I262" s="170"/>
      <c r="J262" s="176"/>
      <c r="K262" s="176"/>
      <c r="L262" s="176"/>
      <c r="M262" s="176"/>
      <c r="N262" s="176"/>
      <c r="O262" s="176"/>
      <c r="P262" s="176"/>
      <c r="Q262" s="176"/>
    </row>
    <row r="263" spans="1:17" s="18" customFormat="1" ht="76.5" customHeight="1">
      <c r="A263" s="16" t="s">
        <v>983</v>
      </c>
      <c r="B263" s="14">
        <v>793</v>
      </c>
      <c r="C263" s="15" t="s">
        <v>54</v>
      </c>
      <c r="D263" s="15" t="s">
        <v>123</v>
      </c>
      <c r="E263" s="15" t="s">
        <v>984</v>
      </c>
      <c r="F263" s="15"/>
      <c r="G263" s="69">
        <f>G267+G265</f>
        <v>1024610.61</v>
      </c>
      <c r="H263" s="69">
        <f>H267+H265</f>
        <v>1007747.56</v>
      </c>
      <c r="I263" s="170"/>
      <c r="J263" s="176"/>
      <c r="K263" s="176"/>
      <c r="L263" s="176"/>
      <c r="M263" s="176"/>
      <c r="N263" s="176"/>
      <c r="O263" s="176"/>
      <c r="P263" s="176"/>
      <c r="Q263" s="176"/>
    </row>
    <row r="264" spans="1:17" s="18" customFormat="1" ht="15" customHeight="1">
      <c r="A264" s="16" t="s">
        <v>323</v>
      </c>
      <c r="B264" s="14">
        <v>793</v>
      </c>
      <c r="C264" s="15" t="s">
        <v>54</v>
      </c>
      <c r="D264" s="15" t="s">
        <v>123</v>
      </c>
      <c r="E264" s="15" t="s">
        <v>984</v>
      </c>
      <c r="F264" s="15" t="s">
        <v>37</v>
      </c>
      <c r="G264" s="69">
        <f t="shared" ref="G264:H264" si="56">G265</f>
        <v>597245.36</v>
      </c>
      <c r="H264" s="69">
        <f t="shared" si="56"/>
        <v>580382.31000000006</v>
      </c>
      <c r="I264" s="170"/>
      <c r="J264" s="176"/>
      <c r="K264" s="176"/>
      <c r="L264" s="176"/>
      <c r="M264" s="176"/>
      <c r="N264" s="176"/>
      <c r="O264" s="176"/>
      <c r="P264" s="176"/>
      <c r="Q264" s="176"/>
    </row>
    <row r="265" spans="1:17" s="18" customFormat="1" ht="32.25" customHeight="1">
      <c r="A265" s="16" t="s">
        <v>38</v>
      </c>
      <c r="B265" s="14">
        <v>793</v>
      </c>
      <c r="C265" s="15" t="s">
        <v>54</v>
      </c>
      <c r="D265" s="15" t="s">
        <v>123</v>
      </c>
      <c r="E265" s="15" t="s">
        <v>984</v>
      </c>
      <c r="F265" s="15" t="s">
        <v>39</v>
      </c>
      <c r="G265" s="69">
        <f>447043.05+150202.31</f>
        <v>597245.36</v>
      </c>
      <c r="H265" s="69">
        <v>580382.31000000006</v>
      </c>
      <c r="I265" s="170"/>
      <c r="J265" s="176"/>
      <c r="K265" s="176"/>
      <c r="L265" s="176"/>
      <c r="M265" s="176"/>
      <c r="N265" s="176"/>
      <c r="O265" s="176"/>
      <c r="P265" s="176"/>
      <c r="Q265" s="176"/>
    </row>
    <row r="266" spans="1:17" s="18" customFormat="1" ht="15" customHeight="1">
      <c r="A266" s="16" t="s">
        <v>156</v>
      </c>
      <c r="B266" s="14">
        <v>793</v>
      </c>
      <c r="C266" s="15" t="s">
        <v>54</v>
      </c>
      <c r="D266" s="15" t="s">
        <v>123</v>
      </c>
      <c r="E266" s="15" t="s">
        <v>984</v>
      </c>
      <c r="F266" s="15" t="s">
        <v>157</v>
      </c>
      <c r="G266" s="69">
        <f t="shared" ref="G266:H266" si="57">G267</f>
        <v>427365.25</v>
      </c>
      <c r="H266" s="69">
        <f t="shared" si="57"/>
        <v>427365.25</v>
      </c>
      <c r="I266" s="170"/>
      <c r="J266" s="176"/>
      <c r="K266" s="176"/>
      <c r="L266" s="176"/>
      <c r="M266" s="176"/>
      <c r="N266" s="176"/>
      <c r="O266" s="176"/>
      <c r="P266" s="176"/>
      <c r="Q266" s="176"/>
    </row>
    <row r="267" spans="1:17" s="18" customFormat="1" ht="32.25" customHeight="1">
      <c r="A267" s="16" t="s">
        <v>178</v>
      </c>
      <c r="B267" s="14">
        <v>793</v>
      </c>
      <c r="C267" s="15" t="s">
        <v>54</v>
      </c>
      <c r="D267" s="15" t="s">
        <v>123</v>
      </c>
      <c r="E267" s="15" t="s">
        <v>984</v>
      </c>
      <c r="F267" s="15" t="s">
        <v>179</v>
      </c>
      <c r="G267" s="69">
        <v>427365.25</v>
      </c>
      <c r="H267" s="69">
        <v>427365.25</v>
      </c>
      <c r="I267" s="170"/>
      <c r="J267" s="176"/>
      <c r="K267" s="176"/>
      <c r="L267" s="176"/>
      <c r="M267" s="176"/>
      <c r="N267" s="176"/>
      <c r="O267" s="176"/>
      <c r="P267" s="176"/>
      <c r="Q267" s="176"/>
    </row>
    <row r="268" spans="1:17" s="18" customFormat="1" ht="102" customHeight="1">
      <c r="A268" s="16" t="s">
        <v>987</v>
      </c>
      <c r="B268" s="14">
        <v>793</v>
      </c>
      <c r="C268" s="15" t="s">
        <v>54</v>
      </c>
      <c r="D268" s="15" t="s">
        <v>123</v>
      </c>
      <c r="E268" s="15" t="s">
        <v>986</v>
      </c>
      <c r="F268" s="15"/>
      <c r="G268" s="69">
        <f>G269</f>
        <v>28597</v>
      </c>
      <c r="H268" s="69">
        <f t="shared" ref="H268" si="58">H269+H286</f>
        <v>28597</v>
      </c>
      <c r="I268" s="170"/>
      <c r="J268" s="176"/>
      <c r="K268" s="176"/>
      <c r="L268" s="176"/>
      <c r="M268" s="176"/>
      <c r="N268" s="176"/>
      <c r="O268" s="176"/>
      <c r="P268" s="176"/>
      <c r="Q268" s="176"/>
    </row>
    <row r="269" spans="1:17" s="18" customFormat="1" ht="108" customHeight="1">
      <c r="A269" s="16" t="s">
        <v>987</v>
      </c>
      <c r="B269" s="14">
        <v>793</v>
      </c>
      <c r="C269" s="15" t="s">
        <v>54</v>
      </c>
      <c r="D269" s="15" t="s">
        <v>123</v>
      </c>
      <c r="E269" s="15" t="s">
        <v>988</v>
      </c>
      <c r="F269" s="15"/>
      <c r="G269" s="69">
        <f>G270+G281</f>
        <v>28597</v>
      </c>
      <c r="H269" s="69">
        <f t="shared" ref="G269:H270" si="59">H270</f>
        <v>28597</v>
      </c>
      <c r="I269" s="170"/>
      <c r="J269" s="176"/>
      <c r="K269" s="176"/>
      <c r="L269" s="176"/>
      <c r="M269" s="176"/>
      <c r="N269" s="176"/>
      <c r="O269" s="176"/>
      <c r="P269" s="176"/>
      <c r="Q269" s="176"/>
    </row>
    <row r="270" spans="1:17" s="18" customFormat="1" ht="15" customHeight="1">
      <c r="A270" s="16" t="s">
        <v>156</v>
      </c>
      <c r="B270" s="14">
        <v>793</v>
      </c>
      <c r="C270" s="15" t="s">
        <v>54</v>
      </c>
      <c r="D270" s="15" t="s">
        <v>123</v>
      </c>
      <c r="E270" s="15" t="s">
        <v>988</v>
      </c>
      <c r="F270" s="15" t="s">
        <v>157</v>
      </c>
      <c r="G270" s="69">
        <f t="shared" si="59"/>
        <v>28597</v>
      </c>
      <c r="H270" s="69">
        <f t="shared" si="59"/>
        <v>28597</v>
      </c>
      <c r="I270" s="170"/>
      <c r="J270" s="176"/>
      <c r="K270" s="176"/>
      <c r="L270" s="176"/>
      <c r="M270" s="176"/>
      <c r="N270" s="176"/>
      <c r="O270" s="176"/>
      <c r="P270" s="176"/>
      <c r="Q270" s="176"/>
    </row>
    <row r="271" spans="1:17" s="18" customFormat="1" ht="32.25" customHeight="1">
      <c r="A271" s="16" t="s">
        <v>178</v>
      </c>
      <c r="B271" s="14">
        <v>793</v>
      </c>
      <c r="C271" s="15" t="s">
        <v>54</v>
      </c>
      <c r="D271" s="15" t="s">
        <v>123</v>
      </c>
      <c r="E271" s="15" t="s">
        <v>988</v>
      </c>
      <c r="F271" s="15" t="s">
        <v>179</v>
      </c>
      <c r="G271" s="69">
        <v>28597</v>
      </c>
      <c r="H271" s="69">
        <v>28597</v>
      </c>
      <c r="I271" s="170"/>
      <c r="J271" s="176"/>
      <c r="K271" s="176"/>
      <c r="L271" s="176"/>
      <c r="M271" s="176"/>
      <c r="N271" s="176"/>
      <c r="O271" s="176"/>
      <c r="P271" s="176"/>
      <c r="Q271" s="176"/>
    </row>
    <row r="272" spans="1:17" s="18" customFormat="1" ht="32.25" customHeight="1">
      <c r="A272" s="81" t="s">
        <v>1005</v>
      </c>
      <c r="B272" s="14"/>
      <c r="C272" s="15"/>
      <c r="D272" s="15"/>
      <c r="E272" s="83" t="s">
        <v>1007</v>
      </c>
      <c r="F272" s="15"/>
      <c r="G272" s="69">
        <f t="shared" ref="G272:H274" si="60">G273</f>
        <v>6800600</v>
      </c>
      <c r="H272" s="69">
        <f t="shared" si="60"/>
        <v>6800600</v>
      </c>
      <c r="I272" s="170"/>
      <c r="J272" s="176"/>
      <c r="K272" s="176"/>
      <c r="L272" s="176"/>
      <c r="M272" s="176"/>
      <c r="N272" s="176"/>
      <c r="O272" s="176"/>
      <c r="P272" s="176"/>
      <c r="Q272" s="176"/>
    </row>
    <row r="273" spans="1:19" s="18" customFormat="1" ht="32.25" customHeight="1">
      <c r="A273" s="81" t="s">
        <v>1006</v>
      </c>
      <c r="B273" s="14"/>
      <c r="C273" s="15"/>
      <c r="D273" s="15"/>
      <c r="E273" s="83" t="s">
        <v>1008</v>
      </c>
      <c r="F273" s="15"/>
      <c r="G273" s="69">
        <f t="shared" si="60"/>
        <v>6800600</v>
      </c>
      <c r="H273" s="69">
        <f t="shared" si="60"/>
        <v>6800600</v>
      </c>
      <c r="I273" s="170"/>
      <c r="J273" s="176"/>
      <c r="K273" s="176"/>
      <c r="L273" s="176"/>
      <c r="M273" s="176"/>
      <c r="N273" s="176"/>
      <c r="O273" s="176"/>
      <c r="P273" s="176"/>
      <c r="Q273" s="176"/>
    </row>
    <row r="274" spans="1:19" s="18" customFormat="1" ht="32.25" customHeight="1">
      <c r="A274" s="16" t="s">
        <v>323</v>
      </c>
      <c r="B274" s="14"/>
      <c r="C274" s="15"/>
      <c r="D274" s="15"/>
      <c r="E274" s="83" t="s">
        <v>1008</v>
      </c>
      <c r="F274" s="15" t="s">
        <v>37</v>
      </c>
      <c r="G274" s="69">
        <f t="shared" si="60"/>
        <v>6800600</v>
      </c>
      <c r="H274" s="69">
        <f t="shared" si="60"/>
        <v>6800600</v>
      </c>
      <c r="I274" s="170"/>
      <c r="J274" s="176"/>
      <c r="K274" s="176"/>
      <c r="L274" s="176"/>
      <c r="M274" s="176"/>
      <c r="N274" s="176"/>
      <c r="O274" s="176"/>
      <c r="P274" s="176"/>
      <c r="Q274" s="176"/>
    </row>
    <row r="275" spans="1:19" s="18" customFormat="1" ht="32.25" customHeight="1">
      <c r="A275" s="16" t="s">
        <v>38</v>
      </c>
      <c r="B275" s="14"/>
      <c r="C275" s="15"/>
      <c r="D275" s="15"/>
      <c r="E275" s="83" t="s">
        <v>1008</v>
      </c>
      <c r="F275" s="15" t="s">
        <v>39</v>
      </c>
      <c r="G275" s="69">
        <f>'прил 5,'!G1410</f>
        <v>6800600</v>
      </c>
      <c r="H275" s="69">
        <f>'прил 5,'!H1410</f>
        <v>6800600</v>
      </c>
      <c r="I275" s="170"/>
      <c r="J275" s="176"/>
      <c r="K275" s="176"/>
      <c r="L275" s="176"/>
      <c r="M275" s="176"/>
      <c r="N275" s="176"/>
      <c r="O275" s="176"/>
      <c r="P275" s="176"/>
      <c r="Q275" s="176"/>
    </row>
    <row r="276" spans="1:19" s="18" customFormat="1" ht="32.25" customHeight="1">
      <c r="A276" s="81" t="s">
        <v>1003</v>
      </c>
      <c r="B276" s="14"/>
      <c r="C276" s="15"/>
      <c r="D276" s="15"/>
      <c r="E276" s="83" t="s">
        <v>1009</v>
      </c>
      <c r="F276" s="15"/>
      <c r="G276" s="69">
        <f t="shared" ref="G276:H278" si="61">G277</f>
        <v>1700000</v>
      </c>
      <c r="H276" s="69">
        <f t="shared" si="61"/>
        <v>1700000</v>
      </c>
      <c r="I276" s="170"/>
      <c r="J276" s="176"/>
      <c r="K276" s="176"/>
      <c r="L276" s="176"/>
      <c r="M276" s="176"/>
      <c r="N276" s="176"/>
      <c r="O276" s="176"/>
      <c r="P276" s="176"/>
      <c r="Q276" s="176"/>
    </row>
    <row r="277" spans="1:19" s="18" customFormat="1" ht="32.25" customHeight="1">
      <c r="A277" s="81" t="s">
        <v>1004</v>
      </c>
      <c r="B277" s="14"/>
      <c r="C277" s="15"/>
      <c r="D277" s="15"/>
      <c r="E277" s="83" t="s">
        <v>1010</v>
      </c>
      <c r="F277" s="15"/>
      <c r="G277" s="69">
        <f t="shared" si="61"/>
        <v>1700000</v>
      </c>
      <c r="H277" s="69">
        <f t="shared" si="61"/>
        <v>1700000</v>
      </c>
      <c r="I277" s="170"/>
      <c r="J277" s="176"/>
      <c r="K277" s="176"/>
      <c r="L277" s="176"/>
      <c r="M277" s="176"/>
      <c r="N277" s="176"/>
      <c r="O277" s="176"/>
      <c r="P277" s="176"/>
      <c r="Q277" s="176"/>
    </row>
    <row r="278" spans="1:19" s="18" customFormat="1" ht="32.25" customHeight="1">
      <c r="A278" s="16" t="s">
        <v>323</v>
      </c>
      <c r="B278" s="14"/>
      <c r="C278" s="15"/>
      <c r="D278" s="15"/>
      <c r="E278" s="83" t="s">
        <v>1010</v>
      </c>
      <c r="F278" s="15" t="s">
        <v>37</v>
      </c>
      <c r="G278" s="69">
        <f t="shared" si="61"/>
        <v>1700000</v>
      </c>
      <c r="H278" s="69">
        <f t="shared" si="61"/>
        <v>1700000</v>
      </c>
      <c r="I278" s="170"/>
      <c r="J278" s="176"/>
      <c r="K278" s="176"/>
      <c r="L278" s="176"/>
      <c r="M278" s="176"/>
      <c r="N278" s="176"/>
      <c r="O278" s="176"/>
      <c r="P278" s="176"/>
      <c r="Q278" s="176"/>
    </row>
    <row r="279" spans="1:19" s="18" customFormat="1" ht="32.25" customHeight="1">
      <c r="A279" s="16" t="s">
        <v>38</v>
      </c>
      <c r="B279" s="14"/>
      <c r="C279" s="15"/>
      <c r="D279" s="15"/>
      <c r="E279" s="83" t="s">
        <v>1010</v>
      </c>
      <c r="F279" s="15" t="s">
        <v>39</v>
      </c>
      <c r="G279" s="69">
        <f>'прил 5,'!G1414</f>
        <v>1700000</v>
      </c>
      <c r="H279" s="69">
        <f>'прил 5,'!H1414</f>
        <v>1700000</v>
      </c>
      <c r="I279" s="170"/>
      <c r="J279" s="176"/>
      <c r="K279" s="176"/>
      <c r="L279" s="176"/>
      <c r="M279" s="176"/>
      <c r="N279" s="176"/>
      <c r="O279" s="176"/>
      <c r="P279" s="176"/>
      <c r="Q279" s="176"/>
    </row>
    <row r="280" spans="1:19" s="226" customFormat="1" ht="63.75">
      <c r="A280" s="34" t="s">
        <v>508</v>
      </c>
      <c r="B280" s="36" t="s">
        <v>94</v>
      </c>
      <c r="C280" s="36" t="s">
        <v>26</v>
      </c>
      <c r="D280" s="36" t="s">
        <v>28</v>
      </c>
      <c r="E280" s="36" t="s">
        <v>214</v>
      </c>
      <c r="F280" s="36"/>
      <c r="G280" s="70">
        <f>G284+G287+G290+G295+G302+G319+G307+G320</f>
        <v>113288063.00000001</v>
      </c>
      <c r="H280" s="70">
        <f>H284+H287+H290+H295+H302+H319+H307+H320</f>
        <v>90596547.730000004</v>
      </c>
      <c r="O280" s="225"/>
      <c r="P280" s="225"/>
      <c r="Q280" s="225"/>
      <c r="R280" s="225"/>
      <c r="S280" s="225"/>
    </row>
    <row r="281" spans="1:19" s="18" customFormat="1" ht="38.25" hidden="1">
      <c r="A281" s="16" t="s">
        <v>598</v>
      </c>
      <c r="B281" s="14">
        <v>757</v>
      </c>
      <c r="C281" s="15" t="s">
        <v>26</v>
      </c>
      <c r="D281" s="15" t="s">
        <v>70</v>
      </c>
      <c r="E281" s="15" t="s">
        <v>579</v>
      </c>
      <c r="F281" s="15"/>
      <c r="G281" s="69">
        <f>G282</f>
        <v>0</v>
      </c>
      <c r="H281" s="69">
        <f t="shared" ref="H281:H282" si="62">H282</f>
        <v>0</v>
      </c>
      <c r="O281" s="17"/>
      <c r="P281" s="17"/>
      <c r="Q281" s="17"/>
      <c r="R281" s="17"/>
      <c r="S281" s="17"/>
    </row>
    <row r="282" spans="1:19" s="18" customFormat="1" ht="36" hidden="1" customHeight="1">
      <c r="A282" s="16" t="s">
        <v>96</v>
      </c>
      <c r="B282" s="14">
        <v>757</v>
      </c>
      <c r="C282" s="15" t="s">
        <v>26</v>
      </c>
      <c r="D282" s="15" t="s">
        <v>70</v>
      </c>
      <c r="E282" s="15" t="s">
        <v>579</v>
      </c>
      <c r="F282" s="15" t="s">
        <v>348</v>
      </c>
      <c r="G282" s="69">
        <f>G283</f>
        <v>0</v>
      </c>
      <c r="H282" s="69">
        <f t="shared" si="62"/>
        <v>0</v>
      </c>
      <c r="O282" s="17"/>
      <c r="P282" s="17"/>
      <c r="Q282" s="17"/>
      <c r="R282" s="17"/>
      <c r="S282" s="17"/>
    </row>
    <row r="283" spans="1:19" s="18" customFormat="1" ht="99" hidden="1" customHeight="1">
      <c r="A283" s="50" t="s">
        <v>419</v>
      </c>
      <c r="B283" s="14">
        <v>757</v>
      </c>
      <c r="C283" s="15" t="s">
        <v>26</v>
      </c>
      <c r="D283" s="15" t="s">
        <v>70</v>
      </c>
      <c r="E283" s="15" t="s">
        <v>579</v>
      </c>
      <c r="F283" s="15" t="s">
        <v>418</v>
      </c>
      <c r="G283" s="69">
        <v>0</v>
      </c>
      <c r="H283" s="69"/>
      <c r="O283" s="17"/>
      <c r="P283" s="17"/>
      <c r="Q283" s="17"/>
      <c r="R283" s="17"/>
      <c r="S283" s="17"/>
    </row>
    <row r="284" spans="1:19" s="18" customFormat="1" ht="25.5" hidden="1">
      <c r="A284" s="16" t="s">
        <v>500</v>
      </c>
      <c r="B284" s="15" t="s">
        <v>94</v>
      </c>
      <c r="C284" s="15" t="s">
        <v>26</v>
      </c>
      <c r="D284" s="15" t="s">
        <v>28</v>
      </c>
      <c r="E284" s="15" t="s">
        <v>499</v>
      </c>
      <c r="F284" s="15"/>
      <c r="G284" s="69">
        <f>G285</f>
        <v>0</v>
      </c>
      <c r="H284" s="69">
        <f t="shared" ref="H284:H285" si="63">H285</f>
        <v>0</v>
      </c>
      <c r="O284" s="17"/>
      <c r="P284" s="17"/>
      <c r="Q284" s="17"/>
      <c r="R284" s="17"/>
      <c r="S284" s="17"/>
    </row>
    <row r="285" spans="1:19" s="18" customFormat="1" ht="36" hidden="1" customHeight="1">
      <c r="A285" s="16" t="s">
        <v>96</v>
      </c>
      <c r="B285" s="15" t="s">
        <v>94</v>
      </c>
      <c r="C285" s="15" t="s">
        <v>26</v>
      </c>
      <c r="D285" s="15" t="s">
        <v>28</v>
      </c>
      <c r="E285" s="15" t="s">
        <v>499</v>
      </c>
      <c r="F285" s="15" t="s">
        <v>348</v>
      </c>
      <c r="G285" s="69">
        <f>G286</f>
        <v>0</v>
      </c>
      <c r="H285" s="69">
        <f t="shared" si="63"/>
        <v>0</v>
      </c>
      <c r="O285" s="17"/>
      <c r="P285" s="17"/>
      <c r="Q285" s="17"/>
      <c r="R285" s="17"/>
      <c r="S285" s="17"/>
    </row>
    <row r="286" spans="1:19" s="18" customFormat="1" ht="99" hidden="1" customHeight="1">
      <c r="A286" s="50" t="s">
        <v>419</v>
      </c>
      <c r="B286" s="15" t="s">
        <v>94</v>
      </c>
      <c r="C286" s="15" t="s">
        <v>26</v>
      </c>
      <c r="D286" s="15" t="s">
        <v>28</v>
      </c>
      <c r="E286" s="15" t="s">
        <v>499</v>
      </c>
      <c r="F286" s="15" t="s">
        <v>418</v>
      </c>
      <c r="G286" s="69">
        <v>0</v>
      </c>
      <c r="H286" s="69"/>
      <c r="O286" s="17"/>
      <c r="P286" s="17"/>
      <c r="Q286" s="17"/>
      <c r="R286" s="17"/>
      <c r="S286" s="17"/>
    </row>
    <row r="287" spans="1:19" s="18" customFormat="1" ht="25.5" hidden="1">
      <c r="A287" s="16" t="s">
        <v>502</v>
      </c>
      <c r="B287" s="15" t="s">
        <v>94</v>
      </c>
      <c r="C287" s="15" t="s">
        <v>26</v>
      </c>
      <c r="D287" s="15" t="s">
        <v>28</v>
      </c>
      <c r="E287" s="15" t="s">
        <v>501</v>
      </c>
      <c r="F287" s="15"/>
      <c r="G287" s="69">
        <f>G288</f>
        <v>0</v>
      </c>
      <c r="H287" s="69">
        <f t="shared" ref="H287:H288" si="64">H288</f>
        <v>0</v>
      </c>
      <c r="O287" s="17"/>
      <c r="P287" s="17"/>
      <c r="Q287" s="17"/>
      <c r="R287" s="17"/>
      <c r="S287" s="17"/>
    </row>
    <row r="288" spans="1:19" s="18" customFormat="1" ht="36" hidden="1" customHeight="1">
      <c r="A288" s="16" t="s">
        <v>96</v>
      </c>
      <c r="B288" s="15" t="s">
        <v>94</v>
      </c>
      <c r="C288" s="15" t="s">
        <v>26</v>
      </c>
      <c r="D288" s="15" t="s">
        <v>28</v>
      </c>
      <c r="E288" s="15" t="s">
        <v>501</v>
      </c>
      <c r="F288" s="15" t="s">
        <v>348</v>
      </c>
      <c r="G288" s="69">
        <f>G289</f>
        <v>0</v>
      </c>
      <c r="H288" s="69">
        <f t="shared" si="64"/>
        <v>0</v>
      </c>
      <c r="O288" s="17"/>
      <c r="P288" s="17"/>
      <c r="Q288" s="17"/>
      <c r="R288" s="17"/>
      <c r="S288" s="17"/>
    </row>
    <row r="289" spans="1:19" s="18" customFormat="1" ht="99" hidden="1" customHeight="1">
      <c r="A289" s="50" t="s">
        <v>419</v>
      </c>
      <c r="B289" s="15" t="s">
        <v>94</v>
      </c>
      <c r="C289" s="15" t="s">
        <v>26</v>
      </c>
      <c r="D289" s="15" t="s">
        <v>28</v>
      </c>
      <c r="E289" s="15" t="s">
        <v>501</v>
      </c>
      <c r="F289" s="15" t="s">
        <v>418</v>
      </c>
      <c r="G289" s="69">
        <v>0</v>
      </c>
      <c r="H289" s="69"/>
      <c r="O289" s="17"/>
      <c r="P289" s="17"/>
      <c r="Q289" s="17"/>
      <c r="R289" s="17"/>
      <c r="S289" s="17"/>
    </row>
    <row r="290" spans="1:19" s="18" customFormat="1" ht="89.25">
      <c r="A290" s="16" t="s">
        <v>436</v>
      </c>
      <c r="B290" s="49">
        <v>795</v>
      </c>
      <c r="C290" s="10" t="s">
        <v>173</v>
      </c>
      <c r="D290" s="10" t="s">
        <v>19</v>
      </c>
      <c r="E290" s="15" t="s">
        <v>519</v>
      </c>
      <c r="F290" s="15"/>
      <c r="G290" s="69">
        <f>G293+G291</f>
        <v>106473141.74000001</v>
      </c>
      <c r="H290" s="69">
        <f>H293+H291</f>
        <v>85573529.00999999</v>
      </c>
      <c r="O290" s="17"/>
      <c r="P290" s="17"/>
      <c r="Q290" s="17"/>
      <c r="R290" s="17"/>
      <c r="S290" s="17"/>
    </row>
    <row r="291" spans="1:19" s="18" customFormat="1" ht="31.15" customHeight="1">
      <c r="A291" s="16" t="s">
        <v>148</v>
      </c>
      <c r="B291" s="49">
        <v>793</v>
      </c>
      <c r="C291" s="10" t="s">
        <v>173</v>
      </c>
      <c r="D291" s="10" t="s">
        <v>19</v>
      </c>
      <c r="E291" s="15" t="s">
        <v>519</v>
      </c>
      <c r="F291" s="15" t="s">
        <v>149</v>
      </c>
      <c r="G291" s="69">
        <f>G292</f>
        <v>63353141.740000002</v>
      </c>
      <c r="H291" s="69">
        <f t="shared" ref="H291" si="65">H292</f>
        <v>48729316.710000001</v>
      </c>
      <c r="I291" s="170"/>
    </row>
    <row r="292" spans="1:19" s="18" customFormat="1" ht="31.15" customHeight="1">
      <c r="A292" s="16" t="s">
        <v>150</v>
      </c>
      <c r="B292" s="49">
        <v>793</v>
      </c>
      <c r="C292" s="10" t="s">
        <v>173</v>
      </c>
      <c r="D292" s="10" t="s">
        <v>19</v>
      </c>
      <c r="E292" s="15" t="s">
        <v>519</v>
      </c>
      <c r="F292" s="15" t="s">
        <v>151</v>
      </c>
      <c r="G292" s="69">
        <f>'прил 5,'!G1718</f>
        <v>63353141.740000002</v>
      </c>
      <c r="H292" s="69">
        <f>'прил 5,'!H1718</f>
        <v>48729316.710000001</v>
      </c>
      <c r="I292" s="170"/>
    </row>
    <row r="293" spans="1:19" s="18" customFormat="1" ht="20.25" customHeight="1">
      <c r="A293" s="16" t="s">
        <v>63</v>
      </c>
      <c r="B293" s="49">
        <v>795</v>
      </c>
      <c r="C293" s="10" t="s">
        <v>173</v>
      </c>
      <c r="D293" s="10" t="s">
        <v>19</v>
      </c>
      <c r="E293" s="15" t="s">
        <v>519</v>
      </c>
      <c r="F293" s="15" t="s">
        <v>64</v>
      </c>
      <c r="G293" s="69">
        <f>G294</f>
        <v>43120000</v>
      </c>
      <c r="H293" s="69">
        <f t="shared" ref="H293" si="66">H294</f>
        <v>36844212.299999997</v>
      </c>
      <c r="O293" s="17"/>
      <c r="P293" s="17"/>
      <c r="Q293" s="17"/>
      <c r="R293" s="17"/>
      <c r="S293" s="17"/>
    </row>
    <row r="294" spans="1:19" s="18" customFormat="1" ht="25.9" customHeight="1">
      <c r="A294" s="50" t="s">
        <v>144</v>
      </c>
      <c r="B294" s="49">
        <v>795</v>
      </c>
      <c r="C294" s="10" t="s">
        <v>173</v>
      </c>
      <c r="D294" s="10" t="s">
        <v>19</v>
      </c>
      <c r="E294" s="15" t="s">
        <v>519</v>
      </c>
      <c r="F294" s="15" t="s">
        <v>67</v>
      </c>
      <c r="G294" s="69">
        <f>'прил 5,'!G1503</f>
        <v>43120000</v>
      </c>
      <c r="H294" s="69">
        <f>'прил 5,'!H1503</f>
        <v>36844212.299999997</v>
      </c>
      <c r="O294" s="17"/>
      <c r="P294" s="17"/>
      <c r="Q294" s="17"/>
      <c r="R294" s="17"/>
      <c r="S294" s="17"/>
    </row>
    <row r="295" spans="1:19" s="18" customFormat="1" ht="99.75" customHeight="1">
      <c r="A295" s="16" t="s">
        <v>1081</v>
      </c>
      <c r="B295" s="49">
        <v>795</v>
      </c>
      <c r="C295" s="10" t="s">
        <v>173</v>
      </c>
      <c r="D295" s="10" t="s">
        <v>19</v>
      </c>
      <c r="E295" s="15" t="s">
        <v>520</v>
      </c>
      <c r="F295" s="15"/>
      <c r="G295" s="69">
        <f>G300+G296+G298</f>
        <v>2128921.2599999998</v>
      </c>
      <c r="H295" s="69">
        <f>H300+H296+H298</f>
        <v>1708802.4</v>
      </c>
      <c r="O295" s="17"/>
      <c r="P295" s="17"/>
      <c r="Q295" s="17"/>
      <c r="R295" s="17"/>
      <c r="S295" s="17"/>
    </row>
    <row r="296" spans="1:19" s="18" customFormat="1" ht="26.25" customHeight="1">
      <c r="A296" s="81" t="s">
        <v>96</v>
      </c>
      <c r="B296" s="49">
        <v>793</v>
      </c>
      <c r="C296" s="10" t="s">
        <v>173</v>
      </c>
      <c r="D296" s="10" t="s">
        <v>19</v>
      </c>
      <c r="E296" s="15" t="s">
        <v>520</v>
      </c>
      <c r="F296" s="15" t="s">
        <v>348</v>
      </c>
      <c r="G296" s="69">
        <f>G297</f>
        <v>0</v>
      </c>
      <c r="H296" s="69">
        <f t="shared" ref="H296" si="67">H297</f>
        <v>0</v>
      </c>
      <c r="I296" s="170"/>
    </row>
    <row r="297" spans="1:19" s="18" customFormat="1" ht="20.25" customHeight="1">
      <c r="A297" s="129" t="s">
        <v>349</v>
      </c>
      <c r="B297" s="49">
        <v>793</v>
      </c>
      <c r="C297" s="10" t="s">
        <v>173</v>
      </c>
      <c r="D297" s="10" t="s">
        <v>19</v>
      </c>
      <c r="E297" s="15" t="s">
        <v>520</v>
      </c>
      <c r="F297" s="15" t="s">
        <v>350</v>
      </c>
      <c r="G297" s="69">
        <f>'прил 5,'!G1506</f>
        <v>0</v>
      </c>
      <c r="H297" s="69">
        <f>'прил 5,'!H1506</f>
        <v>0</v>
      </c>
      <c r="I297" s="170"/>
    </row>
    <row r="298" spans="1:19" s="18" customFormat="1" ht="20.25" customHeight="1">
      <c r="A298" s="16" t="s">
        <v>148</v>
      </c>
      <c r="B298" s="14">
        <v>793</v>
      </c>
      <c r="C298" s="15" t="s">
        <v>69</v>
      </c>
      <c r="D298" s="15" t="s">
        <v>70</v>
      </c>
      <c r="E298" s="15" t="s">
        <v>520</v>
      </c>
      <c r="F298" s="15" t="s">
        <v>149</v>
      </c>
      <c r="G298" s="69">
        <f>G299</f>
        <v>1292921.26</v>
      </c>
      <c r="H298" s="69">
        <f>H299</f>
        <v>994475.84</v>
      </c>
      <c r="I298" s="170"/>
    </row>
    <row r="299" spans="1:19" s="18" customFormat="1" ht="25.15" customHeight="1">
      <c r="A299" s="16" t="s">
        <v>150</v>
      </c>
      <c r="B299" s="14">
        <v>793</v>
      </c>
      <c r="C299" s="15" t="s">
        <v>69</v>
      </c>
      <c r="D299" s="15" t="s">
        <v>70</v>
      </c>
      <c r="E299" s="15" t="s">
        <v>520</v>
      </c>
      <c r="F299" s="15" t="s">
        <v>151</v>
      </c>
      <c r="G299" s="69">
        <f>'прил 5,'!G1721</f>
        <v>1292921.26</v>
      </c>
      <c r="H299" s="69">
        <f>'прил 5,'!H1721</f>
        <v>994475.84</v>
      </c>
      <c r="I299" s="170"/>
    </row>
    <row r="300" spans="1:19" s="18" customFormat="1" ht="21.75" customHeight="1">
      <c r="A300" s="16" t="s">
        <v>63</v>
      </c>
      <c r="B300" s="49">
        <v>795</v>
      </c>
      <c r="C300" s="10" t="s">
        <v>173</v>
      </c>
      <c r="D300" s="10" t="s">
        <v>19</v>
      </c>
      <c r="E300" s="15" t="s">
        <v>520</v>
      </c>
      <c r="F300" s="15" t="s">
        <v>64</v>
      </c>
      <c r="G300" s="69">
        <f>G301</f>
        <v>836000</v>
      </c>
      <c r="H300" s="69">
        <f t="shared" ref="H300" si="68">H301</f>
        <v>714326.56</v>
      </c>
      <c r="O300" s="17"/>
      <c r="P300" s="17"/>
      <c r="Q300" s="17"/>
      <c r="R300" s="17"/>
      <c r="S300" s="17"/>
    </row>
    <row r="301" spans="1:19" s="18" customFormat="1" ht="23.25" customHeight="1">
      <c r="A301" s="50" t="s">
        <v>144</v>
      </c>
      <c r="B301" s="49">
        <v>795</v>
      </c>
      <c r="C301" s="10" t="s">
        <v>173</v>
      </c>
      <c r="D301" s="10" t="s">
        <v>19</v>
      </c>
      <c r="E301" s="15" t="s">
        <v>520</v>
      </c>
      <c r="F301" s="15" t="s">
        <v>67</v>
      </c>
      <c r="G301" s="69">
        <f>'прил 5,'!G1508</f>
        <v>836000</v>
      </c>
      <c r="H301" s="69">
        <f>'прил 5,'!H1508</f>
        <v>714326.56</v>
      </c>
      <c r="O301" s="17"/>
      <c r="P301" s="17"/>
      <c r="Q301" s="17"/>
      <c r="R301" s="17"/>
      <c r="S301" s="17"/>
    </row>
    <row r="302" spans="1:19" s="46" customFormat="1" ht="48.75" hidden="1" customHeight="1">
      <c r="A302" s="16" t="s">
        <v>422</v>
      </c>
      <c r="B302" s="49">
        <v>795</v>
      </c>
      <c r="C302" s="10" t="s">
        <v>173</v>
      </c>
      <c r="D302" s="10" t="s">
        <v>19</v>
      </c>
      <c r="E302" s="15" t="s">
        <v>377</v>
      </c>
      <c r="F302" s="15"/>
      <c r="G302" s="69">
        <f>G303+G305</f>
        <v>0</v>
      </c>
      <c r="H302" s="69">
        <f t="shared" ref="G302:H303" si="69">H303</f>
        <v>0</v>
      </c>
      <c r="O302" s="107"/>
      <c r="P302" s="107"/>
      <c r="Q302" s="107"/>
      <c r="R302" s="107"/>
      <c r="S302" s="107"/>
    </row>
    <row r="303" spans="1:19" s="46" customFormat="1" ht="28.5" hidden="1" customHeight="1">
      <c r="A303" s="16" t="s">
        <v>323</v>
      </c>
      <c r="B303" s="49">
        <v>795</v>
      </c>
      <c r="C303" s="10" t="s">
        <v>173</v>
      </c>
      <c r="D303" s="10" t="s">
        <v>19</v>
      </c>
      <c r="E303" s="15" t="s">
        <v>377</v>
      </c>
      <c r="F303" s="15" t="s">
        <v>37</v>
      </c>
      <c r="G303" s="69">
        <f t="shared" si="69"/>
        <v>0</v>
      </c>
      <c r="H303" s="69">
        <f t="shared" si="69"/>
        <v>0</v>
      </c>
      <c r="O303" s="107"/>
      <c r="P303" s="107"/>
      <c r="Q303" s="107"/>
      <c r="R303" s="107"/>
      <c r="S303" s="107"/>
    </row>
    <row r="304" spans="1:19" s="46" customFormat="1" ht="28.5" hidden="1" customHeight="1">
      <c r="A304" s="16" t="s">
        <v>38</v>
      </c>
      <c r="B304" s="49">
        <v>795</v>
      </c>
      <c r="C304" s="10" t="s">
        <v>173</v>
      </c>
      <c r="D304" s="10" t="s">
        <v>19</v>
      </c>
      <c r="E304" s="15" t="s">
        <v>377</v>
      </c>
      <c r="F304" s="15" t="s">
        <v>39</v>
      </c>
      <c r="G304" s="69"/>
      <c r="H304" s="69">
        <f>'прил 5,'!H1954</f>
        <v>0</v>
      </c>
      <c r="O304" s="107"/>
      <c r="P304" s="107"/>
      <c r="Q304" s="107"/>
      <c r="R304" s="107"/>
      <c r="S304" s="107"/>
    </row>
    <row r="305" spans="1:19" hidden="1">
      <c r="A305" s="81" t="s">
        <v>156</v>
      </c>
      <c r="B305" s="49">
        <v>795</v>
      </c>
      <c r="C305" s="15" t="s">
        <v>173</v>
      </c>
      <c r="D305" s="15" t="s">
        <v>28</v>
      </c>
      <c r="E305" s="15" t="s">
        <v>377</v>
      </c>
      <c r="F305" s="15" t="s">
        <v>157</v>
      </c>
      <c r="G305" s="69">
        <f>G306</f>
        <v>0</v>
      </c>
      <c r="H305" s="69">
        <f>H306</f>
        <v>0</v>
      </c>
      <c r="I305" s="1"/>
    </row>
    <row r="306" spans="1:19" hidden="1">
      <c r="A306" s="81" t="s">
        <v>178</v>
      </c>
      <c r="B306" s="49">
        <v>795</v>
      </c>
      <c r="C306" s="15" t="s">
        <v>173</v>
      </c>
      <c r="D306" s="15" t="s">
        <v>28</v>
      </c>
      <c r="E306" s="15" t="s">
        <v>377</v>
      </c>
      <c r="F306" s="15" t="s">
        <v>179</v>
      </c>
      <c r="G306" s="69"/>
      <c r="H306" s="69"/>
      <c r="I306" s="1"/>
    </row>
    <row r="307" spans="1:19" s="18" customFormat="1" ht="84.75" customHeight="1">
      <c r="A307" s="81" t="s">
        <v>990</v>
      </c>
      <c r="B307" s="49">
        <v>793</v>
      </c>
      <c r="C307" s="10" t="s">
        <v>173</v>
      </c>
      <c r="D307" s="10" t="s">
        <v>19</v>
      </c>
      <c r="E307" s="15" t="s">
        <v>989</v>
      </c>
      <c r="F307" s="15"/>
      <c r="G307" s="69">
        <f>G308</f>
        <v>40000</v>
      </c>
      <c r="H307" s="69">
        <f t="shared" ref="H307:H308" si="70">H308</f>
        <v>37596.14</v>
      </c>
      <c r="I307" s="171"/>
      <c r="J307" s="191"/>
      <c r="K307" s="191"/>
      <c r="L307" s="191"/>
      <c r="M307" s="191"/>
      <c r="N307" s="191"/>
      <c r="O307" s="191"/>
      <c r="P307" s="191"/>
      <c r="Q307" s="191"/>
    </row>
    <row r="308" spans="1:19" s="18" customFormat="1" ht="22.5" customHeight="1">
      <c r="A308" s="81" t="s">
        <v>63</v>
      </c>
      <c r="B308" s="49">
        <v>793</v>
      </c>
      <c r="C308" s="10" t="s">
        <v>173</v>
      </c>
      <c r="D308" s="10" t="s">
        <v>19</v>
      </c>
      <c r="E308" s="15" t="s">
        <v>989</v>
      </c>
      <c r="F308" s="15" t="s">
        <v>64</v>
      </c>
      <c r="G308" s="69">
        <f>G309</f>
        <v>40000</v>
      </c>
      <c r="H308" s="69">
        <f t="shared" si="70"/>
        <v>37596.14</v>
      </c>
      <c r="I308" s="171"/>
      <c r="J308" s="191"/>
      <c r="K308" s="191"/>
      <c r="L308" s="191"/>
      <c r="M308" s="191"/>
      <c r="N308" s="191"/>
      <c r="O308" s="191"/>
      <c r="P308" s="191"/>
      <c r="Q308" s="191"/>
    </row>
    <row r="309" spans="1:19" s="18" customFormat="1" ht="37.5" customHeight="1">
      <c r="A309" s="129" t="s">
        <v>144</v>
      </c>
      <c r="B309" s="49">
        <v>793</v>
      </c>
      <c r="C309" s="10" t="s">
        <v>173</v>
      </c>
      <c r="D309" s="10" t="s">
        <v>19</v>
      </c>
      <c r="E309" s="15" t="s">
        <v>989</v>
      </c>
      <c r="F309" s="15" t="s">
        <v>67</v>
      </c>
      <c r="G309" s="69">
        <f>'прил 5,'!G1511</f>
        <v>40000</v>
      </c>
      <c r="H309" s="69">
        <f>'прил 5,'!H1511</f>
        <v>37596.14</v>
      </c>
      <c r="I309" s="171"/>
      <c r="J309" s="191"/>
      <c r="K309" s="191"/>
      <c r="L309" s="191"/>
      <c r="M309" s="191"/>
      <c r="N309" s="191"/>
      <c r="O309" s="191"/>
      <c r="P309" s="191"/>
      <c r="Q309" s="191"/>
    </row>
    <row r="310" spans="1:19" s="18" customFormat="1" ht="51">
      <c r="A310" s="16" t="s">
        <v>508</v>
      </c>
      <c r="B310" s="49">
        <v>793</v>
      </c>
      <c r="C310" s="10" t="s">
        <v>173</v>
      </c>
      <c r="D310" s="10" t="s">
        <v>19</v>
      </c>
      <c r="E310" s="15" t="s">
        <v>214</v>
      </c>
      <c r="F310" s="15"/>
      <c r="G310" s="69">
        <f>G311+G317+G314</f>
        <v>4168000</v>
      </c>
      <c r="H310" s="69">
        <f>H311+H317+H314</f>
        <v>2798620.18</v>
      </c>
      <c r="O310" s="17"/>
      <c r="P310" s="17"/>
      <c r="Q310" s="17"/>
      <c r="R310" s="17"/>
      <c r="S310" s="17"/>
    </row>
    <row r="311" spans="1:19" s="18" customFormat="1" ht="89.25" hidden="1">
      <c r="A311" s="16" t="s">
        <v>436</v>
      </c>
      <c r="B311" s="49">
        <v>793</v>
      </c>
      <c r="C311" s="10" t="s">
        <v>173</v>
      </c>
      <c r="D311" s="10" t="s">
        <v>19</v>
      </c>
      <c r="E311" s="15" t="s">
        <v>519</v>
      </c>
      <c r="F311" s="15"/>
      <c r="G311" s="69">
        <f>G312</f>
        <v>0</v>
      </c>
      <c r="H311" s="69">
        <f t="shared" ref="H311:H315" si="71">H312</f>
        <v>0</v>
      </c>
      <c r="O311" s="17"/>
      <c r="P311" s="17"/>
      <c r="Q311" s="17"/>
      <c r="R311" s="17"/>
      <c r="S311" s="17"/>
    </row>
    <row r="312" spans="1:19" s="18" customFormat="1" ht="23.25" hidden="1" customHeight="1">
      <c r="A312" s="81" t="s">
        <v>63</v>
      </c>
      <c r="B312" s="49">
        <v>793</v>
      </c>
      <c r="C312" s="10" t="s">
        <v>173</v>
      </c>
      <c r="D312" s="10" t="s">
        <v>19</v>
      </c>
      <c r="E312" s="15" t="s">
        <v>519</v>
      </c>
      <c r="F312" s="15" t="s">
        <v>64</v>
      </c>
      <c r="G312" s="69">
        <f>G313</f>
        <v>0</v>
      </c>
      <c r="H312" s="69">
        <f t="shared" si="71"/>
        <v>0</v>
      </c>
      <c r="O312" s="17"/>
      <c r="P312" s="17"/>
      <c r="Q312" s="17"/>
      <c r="R312" s="17"/>
      <c r="S312" s="17"/>
    </row>
    <row r="313" spans="1:19" s="18" customFormat="1" ht="20.25" hidden="1" customHeight="1">
      <c r="A313" s="129" t="s">
        <v>144</v>
      </c>
      <c r="B313" s="49">
        <v>793</v>
      </c>
      <c r="C313" s="10" t="s">
        <v>173</v>
      </c>
      <c r="D313" s="10" t="s">
        <v>19</v>
      </c>
      <c r="E313" s="15" t="s">
        <v>519</v>
      </c>
      <c r="F313" s="15" t="s">
        <v>67</v>
      </c>
      <c r="G313" s="69"/>
      <c r="H313" s="69"/>
      <c r="O313" s="17"/>
      <c r="P313" s="17"/>
      <c r="Q313" s="17"/>
      <c r="R313" s="17"/>
      <c r="S313" s="17"/>
    </row>
    <row r="314" spans="1:19" s="18" customFormat="1" ht="76.5" hidden="1">
      <c r="A314" s="81" t="s">
        <v>437</v>
      </c>
      <c r="B314" s="49">
        <v>793</v>
      </c>
      <c r="C314" s="10" t="s">
        <v>173</v>
      </c>
      <c r="D314" s="10" t="s">
        <v>19</v>
      </c>
      <c r="E314" s="15" t="s">
        <v>520</v>
      </c>
      <c r="F314" s="15"/>
      <c r="G314" s="69">
        <f>G315</f>
        <v>0</v>
      </c>
      <c r="H314" s="69">
        <f t="shared" si="71"/>
        <v>0</v>
      </c>
      <c r="O314" s="17"/>
      <c r="P314" s="17"/>
      <c r="Q314" s="17"/>
      <c r="R314" s="17"/>
      <c r="S314" s="17"/>
    </row>
    <row r="315" spans="1:19" s="18" customFormat="1" ht="22.5" hidden="1" customHeight="1">
      <c r="A315" s="81" t="s">
        <v>63</v>
      </c>
      <c r="B315" s="49">
        <v>793</v>
      </c>
      <c r="C315" s="10" t="s">
        <v>173</v>
      </c>
      <c r="D315" s="10" t="s">
        <v>19</v>
      </c>
      <c r="E315" s="15" t="s">
        <v>520</v>
      </c>
      <c r="F315" s="15" t="s">
        <v>64</v>
      </c>
      <c r="G315" s="69">
        <f>G316</f>
        <v>0</v>
      </c>
      <c r="H315" s="69">
        <f t="shared" si="71"/>
        <v>0</v>
      </c>
      <c r="O315" s="17"/>
      <c r="P315" s="17"/>
      <c r="Q315" s="17"/>
      <c r="R315" s="17"/>
      <c r="S315" s="17"/>
    </row>
    <row r="316" spans="1:19" s="18" customFormat="1" ht="17.25" hidden="1" customHeight="1">
      <c r="A316" s="129" t="s">
        <v>144</v>
      </c>
      <c r="B316" s="49">
        <v>793</v>
      </c>
      <c r="C316" s="10" t="s">
        <v>173</v>
      </c>
      <c r="D316" s="10" t="s">
        <v>19</v>
      </c>
      <c r="E316" s="15" t="s">
        <v>520</v>
      </c>
      <c r="F316" s="15" t="s">
        <v>67</v>
      </c>
      <c r="G316" s="69"/>
      <c r="H316" s="69"/>
      <c r="O316" s="17"/>
      <c r="P316" s="17"/>
      <c r="Q316" s="17"/>
      <c r="R316" s="17"/>
      <c r="S316" s="17"/>
    </row>
    <row r="317" spans="1:19" s="46" customFormat="1" ht="48.75" customHeight="1">
      <c r="A317" s="16" t="s">
        <v>422</v>
      </c>
      <c r="B317" s="49">
        <v>793</v>
      </c>
      <c r="C317" s="10" t="s">
        <v>173</v>
      </c>
      <c r="D317" s="10" t="s">
        <v>19</v>
      </c>
      <c r="E317" s="15" t="s">
        <v>377</v>
      </c>
      <c r="F317" s="15"/>
      <c r="G317" s="69">
        <f>G318+G326</f>
        <v>4168000</v>
      </c>
      <c r="H317" s="69">
        <f t="shared" ref="G317:H318" si="72">H318</f>
        <v>2798620.18</v>
      </c>
      <c r="O317" s="107"/>
      <c r="P317" s="107"/>
      <c r="Q317" s="107"/>
      <c r="R317" s="107"/>
      <c r="S317" s="107"/>
    </row>
    <row r="318" spans="1:19" s="46" customFormat="1" ht="21" customHeight="1">
      <c r="A318" s="16" t="s">
        <v>323</v>
      </c>
      <c r="B318" s="49">
        <v>793</v>
      </c>
      <c r="C318" s="10" t="s">
        <v>173</v>
      </c>
      <c r="D318" s="10" t="s">
        <v>19</v>
      </c>
      <c r="E318" s="15" t="s">
        <v>377</v>
      </c>
      <c r="F318" s="15" t="s">
        <v>37</v>
      </c>
      <c r="G318" s="69">
        <f t="shared" si="72"/>
        <v>4168000</v>
      </c>
      <c r="H318" s="69">
        <f t="shared" si="72"/>
        <v>2798620.18</v>
      </c>
      <c r="O318" s="107"/>
      <c r="P318" s="107"/>
      <c r="Q318" s="107"/>
      <c r="R318" s="107"/>
      <c r="S318" s="107"/>
    </row>
    <row r="319" spans="1:19" s="46" customFormat="1" ht="28.5" customHeight="1">
      <c r="A319" s="16" t="s">
        <v>38</v>
      </c>
      <c r="B319" s="49">
        <v>793</v>
      </c>
      <c r="C319" s="10" t="s">
        <v>173</v>
      </c>
      <c r="D319" s="10" t="s">
        <v>19</v>
      </c>
      <c r="E319" s="15" t="s">
        <v>377</v>
      </c>
      <c r="F319" s="15" t="s">
        <v>39</v>
      </c>
      <c r="G319" s="69">
        <f>'прил 5,'!G2211+'прил 5,'!G1497</f>
        <v>4168000</v>
      </c>
      <c r="H319" s="69">
        <f>'прил 5,'!H2211+'прил 5,'!H1497</f>
        <v>2798620.18</v>
      </c>
      <c r="O319" s="107"/>
      <c r="P319" s="107"/>
      <c r="Q319" s="107"/>
      <c r="R319" s="107"/>
      <c r="S319" s="107"/>
    </row>
    <row r="320" spans="1:19" ht="41.25" customHeight="1">
      <c r="A320" s="131" t="s">
        <v>1103</v>
      </c>
      <c r="B320" s="83" t="s">
        <v>94</v>
      </c>
      <c r="C320" s="83" t="s">
        <v>26</v>
      </c>
      <c r="D320" s="83" t="s">
        <v>28</v>
      </c>
      <c r="E320" s="83" t="s">
        <v>1102</v>
      </c>
      <c r="F320" s="83"/>
      <c r="G320" s="86">
        <f>G321</f>
        <v>478000</v>
      </c>
      <c r="H320" s="86">
        <f t="shared" ref="H320:H321" si="73">H321</f>
        <v>478000</v>
      </c>
      <c r="I320" s="171"/>
      <c r="J320" s="177"/>
      <c r="K320" s="177"/>
      <c r="L320" s="177"/>
      <c r="M320" s="177"/>
      <c r="N320" s="177"/>
      <c r="O320" s="177"/>
      <c r="P320" s="177"/>
      <c r="Q320" s="177"/>
      <c r="R320" s="1"/>
      <c r="S320" s="1"/>
    </row>
    <row r="321" spans="1:19" ht="36" customHeight="1">
      <c r="A321" s="131" t="s">
        <v>96</v>
      </c>
      <c r="B321" s="83" t="s">
        <v>94</v>
      </c>
      <c r="C321" s="83" t="s">
        <v>26</v>
      </c>
      <c r="D321" s="83" t="s">
        <v>28</v>
      </c>
      <c r="E321" s="83" t="s">
        <v>1102</v>
      </c>
      <c r="F321" s="83" t="s">
        <v>348</v>
      </c>
      <c r="G321" s="86">
        <f>G322</f>
        <v>478000</v>
      </c>
      <c r="H321" s="86">
        <f t="shared" si="73"/>
        <v>478000</v>
      </c>
      <c r="I321" s="171"/>
      <c r="J321" s="177"/>
      <c r="K321" s="177"/>
      <c r="L321" s="177"/>
      <c r="M321" s="177"/>
      <c r="N321" s="177"/>
      <c r="O321" s="177"/>
      <c r="P321" s="177"/>
      <c r="Q321" s="177"/>
      <c r="R321" s="1"/>
      <c r="S321" s="1"/>
    </row>
    <row r="322" spans="1:19" ht="108" customHeight="1">
      <c r="A322" s="131" t="s">
        <v>419</v>
      </c>
      <c r="B322" s="83" t="s">
        <v>94</v>
      </c>
      <c r="C322" s="83" t="s">
        <v>26</v>
      </c>
      <c r="D322" s="83" t="s">
        <v>28</v>
      </c>
      <c r="E322" s="83" t="s">
        <v>1102</v>
      </c>
      <c r="F322" s="83" t="s">
        <v>418</v>
      </c>
      <c r="G322" s="86">
        <v>478000</v>
      </c>
      <c r="H322" s="86">
        <v>478000</v>
      </c>
      <c r="I322" s="171"/>
      <c r="J322" s="177"/>
      <c r="K322" s="177"/>
      <c r="L322" s="177"/>
      <c r="M322" s="177"/>
      <c r="N322" s="177"/>
      <c r="O322" s="177"/>
      <c r="P322" s="177"/>
      <c r="Q322" s="177"/>
      <c r="R322" s="1"/>
      <c r="S322" s="1"/>
    </row>
    <row r="323" spans="1:19" s="226" customFormat="1" ht="31.5" customHeight="1">
      <c r="A323" s="34" t="s">
        <v>473</v>
      </c>
      <c r="B323" s="35">
        <v>774</v>
      </c>
      <c r="C323" s="36" t="s">
        <v>26</v>
      </c>
      <c r="D323" s="36" t="s">
        <v>19</v>
      </c>
      <c r="E323" s="36" t="s">
        <v>189</v>
      </c>
      <c r="F323" s="36"/>
      <c r="G323" s="70">
        <f>G324+G487+G589+G640+G644+G664</f>
        <v>1249365484.9299998</v>
      </c>
      <c r="H323" s="70">
        <f>H324+H487+H589+H640+H644+H664</f>
        <v>1247874324.25</v>
      </c>
      <c r="I323" s="70">
        <f t="shared" ref="I323:N323" si="74">I324+I487+I589+I640+I644+I441</f>
        <v>18738720</v>
      </c>
      <c r="J323" s="70">
        <f t="shared" si="74"/>
        <v>0</v>
      </c>
      <c r="K323" s="70">
        <f t="shared" si="74"/>
        <v>0</v>
      </c>
      <c r="L323" s="70">
        <f t="shared" si="74"/>
        <v>0</v>
      </c>
      <c r="M323" s="70">
        <f t="shared" si="74"/>
        <v>0</v>
      </c>
      <c r="N323" s="70">
        <f t="shared" si="74"/>
        <v>0</v>
      </c>
      <c r="O323" s="225"/>
      <c r="P323" s="227"/>
      <c r="Q323" s="225"/>
      <c r="R323" s="225"/>
      <c r="S323" s="225"/>
    </row>
    <row r="324" spans="1:19" s="18" customFormat="1" ht="42.75" customHeight="1">
      <c r="A324" s="16" t="s">
        <v>90</v>
      </c>
      <c r="B324" s="14">
        <v>774</v>
      </c>
      <c r="C324" s="15" t="s">
        <v>26</v>
      </c>
      <c r="D324" s="15" t="s">
        <v>19</v>
      </c>
      <c r="E324" s="15" t="s">
        <v>215</v>
      </c>
      <c r="F324" s="15"/>
      <c r="G324" s="69">
        <f>G330+G336+G339+G345+G352+G355+G358+G367+G370+G373+G376+G379+G384+G393+G411+G422+G428+G443+G452+G453+G454+G456+G474+G477+G486+G361+G387+G396+G390+G402+G408+G403+G333</f>
        <v>1053096145.1899999</v>
      </c>
      <c r="H324" s="69">
        <f>H330+H336+H339+H345+H352+H355+H358+H367+H370+H373+H376+H379+H384+H393+H411+H422+H428+H443+H452+H453+H454+H456+H474+H477+H486+H361+H387+H396+H390+H402+H408+H403+H333</f>
        <v>1052185122.0699999</v>
      </c>
      <c r="I324" s="17">
        <v>18738720</v>
      </c>
      <c r="O324" s="17"/>
      <c r="P324" s="17"/>
      <c r="Q324" s="17"/>
      <c r="R324" s="17"/>
      <c r="S324" s="17"/>
    </row>
    <row r="325" spans="1:19" ht="50.25" hidden="1" customHeight="1">
      <c r="A325" s="16" t="s">
        <v>643</v>
      </c>
      <c r="B325" s="15" t="s">
        <v>94</v>
      </c>
      <c r="C325" s="15" t="s">
        <v>26</v>
      </c>
      <c r="D325" s="15" t="s">
        <v>28</v>
      </c>
      <c r="E325" s="15" t="s">
        <v>642</v>
      </c>
      <c r="F325" s="15"/>
      <c r="G325" s="69">
        <f t="shared" ref="G325:H326" si="75">G326</f>
        <v>0</v>
      </c>
      <c r="H325" s="69">
        <f t="shared" si="75"/>
        <v>0</v>
      </c>
      <c r="I325" s="1"/>
    </row>
    <row r="326" spans="1:19" s="18" customFormat="1" ht="25.5" hidden="1">
      <c r="A326" s="16" t="s">
        <v>30</v>
      </c>
      <c r="B326" s="15" t="s">
        <v>94</v>
      </c>
      <c r="C326" s="15" t="s">
        <v>26</v>
      </c>
      <c r="D326" s="15" t="s">
        <v>28</v>
      </c>
      <c r="E326" s="15" t="s">
        <v>642</v>
      </c>
      <c r="F326" s="15" t="s">
        <v>31</v>
      </c>
      <c r="G326" s="69">
        <f t="shared" si="75"/>
        <v>0</v>
      </c>
      <c r="H326" s="69">
        <f t="shared" si="75"/>
        <v>0</v>
      </c>
      <c r="K326" s="17" t="e">
        <f>#REF!+#REF!</f>
        <v>#REF!</v>
      </c>
      <c r="L326" s="17" t="e">
        <f>#REF!-K326</f>
        <v>#REF!</v>
      </c>
      <c r="O326" s="17"/>
      <c r="P326" s="17"/>
      <c r="Q326" s="17"/>
      <c r="R326" s="17"/>
      <c r="S326" s="17"/>
    </row>
    <row r="327" spans="1:19" s="18" customFormat="1" hidden="1">
      <c r="A327" s="16" t="s">
        <v>32</v>
      </c>
      <c r="B327" s="15" t="s">
        <v>94</v>
      </c>
      <c r="C327" s="15" t="s">
        <v>26</v>
      </c>
      <c r="D327" s="15" t="s">
        <v>28</v>
      </c>
      <c r="E327" s="15" t="s">
        <v>642</v>
      </c>
      <c r="F327" s="15" t="s">
        <v>33</v>
      </c>
      <c r="G327" s="69">
        <f>'прил 5,'!G558</f>
        <v>0</v>
      </c>
      <c r="H327" s="69">
        <f>'прил 5,'!H557</f>
        <v>0</v>
      </c>
      <c r="O327" s="17"/>
      <c r="P327" s="17"/>
      <c r="Q327" s="17"/>
      <c r="R327" s="17"/>
      <c r="S327" s="17"/>
    </row>
    <row r="328" spans="1:19" s="18" customFormat="1" ht="56.25" customHeight="1">
      <c r="A328" s="79" t="s">
        <v>65</v>
      </c>
      <c r="B328" s="15" t="s">
        <v>94</v>
      </c>
      <c r="C328" s="15" t="s">
        <v>26</v>
      </c>
      <c r="D328" s="15" t="s">
        <v>28</v>
      </c>
      <c r="E328" s="15" t="s">
        <v>434</v>
      </c>
      <c r="F328" s="15"/>
      <c r="G328" s="86">
        <f t="shared" ref="G328:H329" si="76">G329</f>
        <v>721420</v>
      </c>
      <c r="H328" s="86">
        <f t="shared" si="76"/>
        <v>612597.39</v>
      </c>
      <c r="I328" s="17">
        <v>188298123</v>
      </c>
      <c r="O328" s="17"/>
      <c r="P328" s="17"/>
      <c r="Q328" s="17"/>
      <c r="R328" s="17"/>
      <c r="S328" s="17"/>
    </row>
    <row r="329" spans="1:19" s="18" customFormat="1" ht="25.5">
      <c r="A329" s="16" t="s">
        <v>30</v>
      </c>
      <c r="B329" s="15" t="s">
        <v>94</v>
      </c>
      <c r="C329" s="15" t="s">
        <v>26</v>
      </c>
      <c r="D329" s="15" t="s">
        <v>28</v>
      </c>
      <c r="E329" s="15" t="s">
        <v>434</v>
      </c>
      <c r="F329" s="15" t="s">
        <v>31</v>
      </c>
      <c r="G329" s="86">
        <f t="shared" si="76"/>
        <v>721420</v>
      </c>
      <c r="H329" s="86">
        <f t="shared" si="76"/>
        <v>612597.39</v>
      </c>
      <c r="I329" s="17">
        <v>100473040</v>
      </c>
      <c r="O329" s="17"/>
      <c r="P329" s="17"/>
      <c r="Q329" s="17"/>
      <c r="R329" s="17"/>
      <c r="S329" s="17"/>
    </row>
    <row r="330" spans="1:19" s="18" customFormat="1">
      <c r="A330" s="16" t="s">
        <v>32</v>
      </c>
      <c r="B330" s="15" t="s">
        <v>94</v>
      </c>
      <c r="C330" s="15" t="s">
        <v>26</v>
      </c>
      <c r="D330" s="15" t="s">
        <v>28</v>
      </c>
      <c r="E330" s="15" t="s">
        <v>434</v>
      </c>
      <c r="F330" s="15" t="s">
        <v>33</v>
      </c>
      <c r="G330" s="69">
        <f>'прил 5,'!G1011</f>
        <v>721420</v>
      </c>
      <c r="H330" s="69">
        <f>'прил 5,'!H1011</f>
        <v>612597.39</v>
      </c>
      <c r="I330" s="17">
        <v>1481975</v>
      </c>
      <c r="O330" s="17"/>
      <c r="P330" s="17"/>
      <c r="Q330" s="17"/>
      <c r="R330" s="17"/>
      <c r="S330" s="17"/>
    </row>
    <row r="331" spans="1:19" s="28" customFormat="1" ht="62.25" customHeight="1">
      <c r="A331" s="131" t="s">
        <v>1084</v>
      </c>
      <c r="B331" s="83" t="s">
        <v>94</v>
      </c>
      <c r="C331" s="83" t="s">
        <v>69</v>
      </c>
      <c r="D331" s="83" t="s">
        <v>54</v>
      </c>
      <c r="E331" s="83" t="s">
        <v>1083</v>
      </c>
      <c r="F331" s="163"/>
      <c r="G331" s="86">
        <f t="shared" ref="G331:H332" si="77">G332</f>
        <v>172005</v>
      </c>
      <c r="H331" s="86">
        <f t="shared" si="77"/>
        <v>165370</v>
      </c>
      <c r="I331" s="171"/>
      <c r="J331" s="195"/>
      <c r="K331" s="195"/>
      <c r="L331" s="195"/>
      <c r="M331" s="195"/>
      <c r="N331" s="195"/>
      <c r="O331" s="195"/>
      <c r="P331" s="195"/>
      <c r="Q331" s="195"/>
    </row>
    <row r="332" spans="1:19" s="28" customFormat="1" ht="25.5">
      <c r="A332" s="81" t="s">
        <v>30</v>
      </c>
      <c r="B332" s="83" t="s">
        <v>94</v>
      </c>
      <c r="C332" s="83" t="s">
        <v>69</v>
      </c>
      <c r="D332" s="83" t="s">
        <v>54</v>
      </c>
      <c r="E332" s="83" t="s">
        <v>1083</v>
      </c>
      <c r="F332" s="83" t="s">
        <v>31</v>
      </c>
      <c r="G332" s="86">
        <f t="shared" si="77"/>
        <v>172005</v>
      </c>
      <c r="H332" s="86">
        <f t="shared" si="77"/>
        <v>165370</v>
      </c>
      <c r="I332" s="171"/>
      <c r="J332" s="195"/>
      <c r="K332" s="195"/>
      <c r="L332" s="195"/>
      <c r="M332" s="195"/>
      <c r="N332" s="195"/>
      <c r="O332" s="195"/>
      <c r="P332" s="195"/>
      <c r="Q332" s="195"/>
    </row>
    <row r="333" spans="1:19">
      <c r="A333" s="81" t="s">
        <v>32</v>
      </c>
      <c r="B333" s="83" t="s">
        <v>94</v>
      </c>
      <c r="C333" s="83" t="s">
        <v>69</v>
      </c>
      <c r="D333" s="83" t="s">
        <v>54</v>
      </c>
      <c r="E333" s="83" t="s">
        <v>1083</v>
      </c>
      <c r="F333" s="83" t="s">
        <v>33</v>
      </c>
      <c r="G333" s="86">
        <f>'прил 5,'!G1017</f>
        <v>172005</v>
      </c>
      <c r="H333" s="86">
        <f>'прил 5,'!H1017</f>
        <v>165370</v>
      </c>
      <c r="I333" s="171"/>
      <c r="J333" s="177"/>
      <c r="K333" s="177"/>
      <c r="L333" s="177"/>
      <c r="M333" s="177"/>
      <c r="N333" s="177"/>
      <c r="O333" s="177"/>
      <c r="P333" s="177"/>
      <c r="Q333" s="177"/>
      <c r="R333" s="1"/>
      <c r="S333" s="1"/>
    </row>
    <row r="334" spans="1:19" s="18" customFormat="1" ht="76.5">
      <c r="A334" s="79" t="s">
        <v>772</v>
      </c>
      <c r="B334" s="15" t="s">
        <v>94</v>
      </c>
      <c r="C334" s="15" t="s">
        <v>26</v>
      </c>
      <c r="D334" s="15" t="s">
        <v>28</v>
      </c>
      <c r="E334" s="15" t="s">
        <v>771</v>
      </c>
      <c r="F334" s="15"/>
      <c r="G334" s="69">
        <f t="shared" ref="G334:H335" si="78">G335</f>
        <v>1803468</v>
      </c>
      <c r="H334" s="69">
        <f t="shared" si="78"/>
        <v>1803468</v>
      </c>
      <c r="O334" s="17"/>
      <c r="P334" s="17"/>
      <c r="Q334" s="17"/>
      <c r="R334" s="17"/>
      <c r="S334" s="17"/>
    </row>
    <row r="335" spans="1:19" s="18" customFormat="1" ht="25.5">
      <c r="A335" s="16" t="s">
        <v>30</v>
      </c>
      <c r="B335" s="15" t="s">
        <v>94</v>
      </c>
      <c r="C335" s="15" t="s">
        <v>26</v>
      </c>
      <c r="D335" s="15" t="s">
        <v>28</v>
      </c>
      <c r="E335" s="15" t="s">
        <v>771</v>
      </c>
      <c r="F335" s="15" t="s">
        <v>31</v>
      </c>
      <c r="G335" s="69">
        <f t="shared" si="78"/>
        <v>1803468</v>
      </c>
      <c r="H335" s="69">
        <f t="shared" si="78"/>
        <v>1803468</v>
      </c>
      <c r="O335" s="17"/>
      <c r="P335" s="17"/>
      <c r="Q335" s="17"/>
      <c r="R335" s="17"/>
      <c r="S335" s="17"/>
    </row>
    <row r="336" spans="1:19" s="18" customFormat="1">
      <c r="A336" s="16" t="s">
        <v>32</v>
      </c>
      <c r="B336" s="15" t="s">
        <v>94</v>
      </c>
      <c r="C336" s="15" t="s">
        <v>26</v>
      </c>
      <c r="D336" s="15" t="s">
        <v>28</v>
      </c>
      <c r="E336" s="15" t="s">
        <v>771</v>
      </c>
      <c r="F336" s="15" t="s">
        <v>33</v>
      </c>
      <c r="G336" s="69">
        <f>'прил 5,'!G597</f>
        <v>1803468</v>
      </c>
      <c r="H336" s="69">
        <f>'прил 5,'!H597</f>
        <v>1803468</v>
      </c>
      <c r="O336" s="17"/>
      <c r="P336" s="17"/>
      <c r="Q336" s="17"/>
      <c r="R336" s="17"/>
      <c r="S336" s="17"/>
    </row>
    <row r="337" spans="1:19" s="18" customFormat="1" ht="60" customHeight="1">
      <c r="A337" s="16" t="s">
        <v>3</v>
      </c>
      <c r="B337" s="15"/>
      <c r="C337" s="15"/>
      <c r="D337" s="15"/>
      <c r="E337" s="15" t="s">
        <v>904</v>
      </c>
      <c r="F337" s="15"/>
      <c r="G337" s="69">
        <f t="shared" ref="G337:H338" si="79">G338</f>
        <v>66322571</v>
      </c>
      <c r="H337" s="69">
        <f t="shared" si="79"/>
        <v>66059849.530000001</v>
      </c>
      <c r="I337" s="17">
        <v>1277362</v>
      </c>
      <c r="O337" s="17"/>
      <c r="P337" s="17"/>
      <c r="Q337" s="17"/>
      <c r="R337" s="17"/>
      <c r="S337" s="17"/>
    </row>
    <row r="338" spans="1:19" s="18" customFormat="1" ht="25.5">
      <c r="A338" s="16" t="s">
        <v>30</v>
      </c>
      <c r="B338" s="15" t="s">
        <v>94</v>
      </c>
      <c r="C338" s="15" t="s">
        <v>26</v>
      </c>
      <c r="D338" s="15" t="s">
        <v>28</v>
      </c>
      <c r="E338" s="15" t="s">
        <v>904</v>
      </c>
      <c r="F338" s="15" t="s">
        <v>31</v>
      </c>
      <c r="G338" s="69">
        <f t="shared" si="79"/>
        <v>66322571</v>
      </c>
      <c r="H338" s="69">
        <f t="shared" si="79"/>
        <v>66059849.530000001</v>
      </c>
      <c r="I338" s="17">
        <v>442381</v>
      </c>
      <c r="O338" s="17"/>
      <c r="P338" s="17"/>
      <c r="Q338" s="17"/>
      <c r="R338" s="17"/>
      <c r="S338" s="17"/>
    </row>
    <row r="339" spans="1:19" s="18" customFormat="1">
      <c r="A339" s="16" t="s">
        <v>32</v>
      </c>
      <c r="B339" s="15" t="s">
        <v>94</v>
      </c>
      <c r="C339" s="15" t="s">
        <v>26</v>
      </c>
      <c r="D339" s="15" t="s">
        <v>28</v>
      </c>
      <c r="E339" s="15" t="s">
        <v>904</v>
      </c>
      <c r="F339" s="15" t="s">
        <v>33</v>
      </c>
      <c r="G339" s="69">
        <f>'прил 5,'!G561+'прил 5,'!G475+'прил 5,'!G798+'прил 5,'!G88</f>
        <v>66322571</v>
      </c>
      <c r="H339" s="69">
        <f>'прил 5,'!H561+'прил 5,'!H475+'прил 5,'!H798+'прил 5,'!H88</f>
        <v>66059849.530000001</v>
      </c>
      <c r="I339" s="17">
        <v>100000</v>
      </c>
      <c r="O339" s="17"/>
      <c r="P339" s="17"/>
      <c r="Q339" s="17"/>
      <c r="R339" s="17"/>
      <c r="S339" s="17"/>
    </row>
    <row r="340" spans="1:19" s="18" customFormat="1">
      <c r="A340" s="16" t="s">
        <v>91</v>
      </c>
      <c r="B340" s="15" t="s">
        <v>94</v>
      </c>
      <c r="C340" s="15" t="s">
        <v>26</v>
      </c>
      <c r="D340" s="15" t="s">
        <v>28</v>
      </c>
      <c r="E340" s="15" t="s">
        <v>134</v>
      </c>
      <c r="F340" s="15"/>
      <c r="G340" s="69">
        <f>G341+G343</f>
        <v>640934333.92999995</v>
      </c>
      <c r="H340" s="69">
        <f t="shared" ref="H340" si="80">H341+H343</f>
        <v>640934333.92999995</v>
      </c>
      <c r="I340" s="17">
        <v>1000000</v>
      </c>
      <c r="O340" s="17"/>
      <c r="P340" s="17"/>
      <c r="Q340" s="17"/>
      <c r="R340" s="17"/>
      <c r="S340" s="17"/>
    </row>
    <row r="341" spans="1:19" s="18" customFormat="1" hidden="1">
      <c r="A341" s="16" t="s">
        <v>63</v>
      </c>
      <c r="B341" s="15" t="s">
        <v>94</v>
      </c>
      <c r="C341" s="15" t="s">
        <v>26</v>
      </c>
      <c r="D341" s="15" t="s">
        <v>28</v>
      </c>
      <c r="E341" s="15" t="s">
        <v>134</v>
      </c>
      <c r="F341" s="15" t="s">
        <v>64</v>
      </c>
      <c r="G341" s="69">
        <f t="shared" ref="G341:H341" si="81">G342</f>
        <v>0</v>
      </c>
      <c r="H341" s="86">
        <f t="shared" si="81"/>
        <v>0</v>
      </c>
      <c r="I341" s="17">
        <v>28108080</v>
      </c>
      <c r="O341" s="17"/>
      <c r="P341" s="17"/>
      <c r="Q341" s="17"/>
      <c r="R341" s="17"/>
      <c r="S341" s="17"/>
    </row>
    <row r="342" spans="1:19" s="18" customFormat="1" hidden="1">
      <c r="A342" s="16" t="s">
        <v>180</v>
      </c>
      <c r="B342" s="15" t="s">
        <v>94</v>
      </c>
      <c r="C342" s="15" t="s">
        <v>26</v>
      </c>
      <c r="D342" s="15" t="s">
        <v>28</v>
      </c>
      <c r="E342" s="15" t="s">
        <v>134</v>
      </c>
      <c r="F342" s="15" t="s">
        <v>181</v>
      </c>
      <c r="G342" s="69">
        <f>'прил 5,'!G567</f>
        <v>0</v>
      </c>
      <c r="H342" s="86">
        <f>'прил 5,'!H567</f>
        <v>0</v>
      </c>
      <c r="I342" s="17">
        <v>346225581</v>
      </c>
      <c r="O342" s="17"/>
      <c r="P342" s="17"/>
      <c r="Q342" s="17"/>
      <c r="R342" s="17"/>
      <c r="S342" s="17"/>
    </row>
    <row r="343" spans="1:19" s="18" customFormat="1" ht="15" customHeight="1">
      <c r="A343" s="16" t="s">
        <v>91</v>
      </c>
      <c r="B343" s="14">
        <v>774</v>
      </c>
      <c r="C343" s="15" t="s">
        <v>26</v>
      </c>
      <c r="D343" s="15" t="s">
        <v>19</v>
      </c>
      <c r="E343" s="15" t="s">
        <v>134</v>
      </c>
      <c r="F343" s="15"/>
      <c r="G343" s="69">
        <f t="shared" ref="G343:H344" si="82">G344</f>
        <v>640934333.92999995</v>
      </c>
      <c r="H343" s="69">
        <f t="shared" si="82"/>
        <v>640934333.92999995</v>
      </c>
      <c r="I343" s="17"/>
      <c r="O343" s="17"/>
      <c r="P343" s="17"/>
      <c r="Q343" s="17"/>
      <c r="R343" s="17"/>
      <c r="S343" s="17"/>
    </row>
    <row r="344" spans="1:19" s="18" customFormat="1" ht="25.5">
      <c r="A344" s="16" t="s">
        <v>30</v>
      </c>
      <c r="B344" s="14">
        <v>774</v>
      </c>
      <c r="C344" s="15" t="s">
        <v>26</v>
      </c>
      <c r="D344" s="15" t="s">
        <v>19</v>
      </c>
      <c r="E344" s="15" t="s">
        <v>134</v>
      </c>
      <c r="F344" s="15" t="s">
        <v>31</v>
      </c>
      <c r="G344" s="69">
        <f t="shared" si="82"/>
        <v>640934333.92999995</v>
      </c>
      <c r="H344" s="69">
        <f t="shared" si="82"/>
        <v>640934333.92999995</v>
      </c>
      <c r="I344" s="17">
        <v>6074133</v>
      </c>
      <c r="O344" s="17"/>
      <c r="P344" s="17"/>
      <c r="Q344" s="17"/>
      <c r="R344" s="17"/>
      <c r="S344" s="17"/>
    </row>
    <row r="345" spans="1:19" s="18" customFormat="1">
      <c r="A345" s="16" t="s">
        <v>32</v>
      </c>
      <c r="B345" s="14">
        <v>774</v>
      </c>
      <c r="C345" s="15" t="s">
        <v>26</v>
      </c>
      <c r="D345" s="15" t="s">
        <v>19</v>
      </c>
      <c r="E345" s="15" t="s">
        <v>134</v>
      </c>
      <c r="F345" s="15" t="s">
        <v>33</v>
      </c>
      <c r="G345" s="69">
        <f>'прил 5,'!G478+'прил 5,'!G564+'прил 5,'!G801</f>
        <v>640934333.92999995</v>
      </c>
      <c r="H345" s="69">
        <f>'прил 5,'!H478+'прил 5,'!H564+'прил 5,'!H801</f>
        <v>640934333.92999995</v>
      </c>
      <c r="I345" s="17">
        <v>123332466</v>
      </c>
      <c r="O345" s="17"/>
      <c r="P345" s="17"/>
      <c r="Q345" s="17"/>
      <c r="R345" s="17"/>
      <c r="S345" s="17"/>
    </row>
    <row r="346" spans="1:19" s="18" customFormat="1" ht="15" hidden="1" customHeight="1">
      <c r="A346" s="16" t="s">
        <v>91</v>
      </c>
      <c r="B346" s="14">
        <v>774</v>
      </c>
      <c r="C346" s="15" t="s">
        <v>26</v>
      </c>
      <c r="D346" s="15" t="s">
        <v>19</v>
      </c>
      <c r="E346" s="15" t="s">
        <v>216</v>
      </c>
      <c r="F346" s="15"/>
      <c r="G346" s="69">
        <f t="shared" ref="G346:H347" si="83">G347</f>
        <v>0</v>
      </c>
      <c r="H346" s="86">
        <f t="shared" si="83"/>
        <v>0</v>
      </c>
      <c r="I346" s="17"/>
      <c r="O346" s="17"/>
      <c r="P346" s="17"/>
      <c r="Q346" s="17"/>
      <c r="R346" s="17"/>
      <c r="S346" s="17"/>
    </row>
    <row r="347" spans="1:19" s="18" customFormat="1" ht="25.5" hidden="1">
      <c r="A347" s="16" t="s">
        <v>30</v>
      </c>
      <c r="B347" s="14">
        <v>774</v>
      </c>
      <c r="C347" s="15" t="s">
        <v>26</v>
      </c>
      <c r="D347" s="15" t="s">
        <v>19</v>
      </c>
      <c r="E347" s="15" t="s">
        <v>216</v>
      </c>
      <c r="F347" s="15" t="s">
        <v>31</v>
      </c>
      <c r="G347" s="69">
        <f t="shared" si="83"/>
        <v>0</v>
      </c>
      <c r="H347" s="86">
        <f t="shared" si="83"/>
        <v>0</v>
      </c>
      <c r="I347" s="17"/>
      <c r="O347" s="17"/>
      <c r="P347" s="17"/>
      <c r="Q347" s="17"/>
      <c r="R347" s="17"/>
      <c r="S347" s="17"/>
    </row>
    <row r="348" spans="1:19" s="18" customFormat="1" hidden="1">
      <c r="A348" s="16" t="s">
        <v>32</v>
      </c>
      <c r="B348" s="14">
        <v>774</v>
      </c>
      <c r="C348" s="15" t="s">
        <v>26</v>
      </c>
      <c r="D348" s="15" t="s">
        <v>19</v>
      </c>
      <c r="E348" s="15" t="s">
        <v>216</v>
      </c>
      <c r="F348" s="15" t="s">
        <v>33</v>
      </c>
      <c r="G348" s="69"/>
      <c r="H348" s="86"/>
      <c r="I348" s="17"/>
      <c r="O348" s="17"/>
      <c r="P348" s="17"/>
      <c r="Q348" s="17"/>
      <c r="R348" s="17"/>
      <c r="S348" s="17"/>
    </row>
    <row r="349" spans="1:19" s="18" customFormat="1" ht="51" hidden="1">
      <c r="A349" s="16" t="s">
        <v>34</v>
      </c>
      <c r="B349" s="14">
        <v>774</v>
      </c>
      <c r="C349" s="15" t="s">
        <v>26</v>
      </c>
      <c r="D349" s="15" t="s">
        <v>19</v>
      </c>
      <c r="E349" s="15" t="s">
        <v>216</v>
      </c>
      <c r="F349" s="15" t="s">
        <v>92</v>
      </c>
      <c r="G349" s="69"/>
      <c r="H349" s="86"/>
      <c r="I349" s="17"/>
      <c r="O349" s="17"/>
      <c r="P349" s="17"/>
      <c r="Q349" s="17"/>
      <c r="R349" s="17"/>
      <c r="S349" s="17"/>
    </row>
    <row r="350" spans="1:19" s="18" customFormat="1" ht="53.25" customHeight="1">
      <c r="A350" s="16" t="s">
        <v>632</v>
      </c>
      <c r="B350" s="15" t="s">
        <v>94</v>
      </c>
      <c r="C350" s="15" t="s">
        <v>26</v>
      </c>
      <c r="D350" s="15" t="s">
        <v>70</v>
      </c>
      <c r="E350" s="15" t="s">
        <v>631</v>
      </c>
      <c r="F350" s="15"/>
      <c r="G350" s="69">
        <f t="shared" ref="G350:H351" si="84">G351</f>
        <v>10919566.07</v>
      </c>
      <c r="H350" s="69">
        <f t="shared" si="84"/>
        <v>10919566.07</v>
      </c>
      <c r="O350" s="17" t="s">
        <v>886</v>
      </c>
      <c r="P350" s="17"/>
      <c r="Q350" s="17"/>
      <c r="R350" s="17"/>
      <c r="S350" s="17"/>
    </row>
    <row r="351" spans="1:19" s="18" customFormat="1" ht="25.5">
      <c r="A351" s="16" t="s">
        <v>30</v>
      </c>
      <c r="B351" s="15" t="s">
        <v>94</v>
      </c>
      <c r="C351" s="15" t="s">
        <v>26</v>
      </c>
      <c r="D351" s="15" t="s">
        <v>70</v>
      </c>
      <c r="E351" s="15" t="s">
        <v>631</v>
      </c>
      <c r="F351" s="15" t="s">
        <v>31</v>
      </c>
      <c r="G351" s="69">
        <f t="shared" si="84"/>
        <v>10919566.07</v>
      </c>
      <c r="H351" s="69">
        <f t="shared" si="84"/>
        <v>10919566.07</v>
      </c>
      <c r="O351" s="17"/>
      <c r="P351" s="17"/>
      <c r="Q351" s="17"/>
      <c r="R351" s="17"/>
      <c r="S351" s="17"/>
    </row>
    <row r="352" spans="1:19" s="18" customFormat="1">
      <c r="A352" s="16" t="s">
        <v>32</v>
      </c>
      <c r="B352" s="15" t="s">
        <v>94</v>
      </c>
      <c r="C352" s="15" t="s">
        <v>26</v>
      </c>
      <c r="D352" s="15" t="s">
        <v>70</v>
      </c>
      <c r="E352" s="15" t="s">
        <v>631</v>
      </c>
      <c r="F352" s="15" t="s">
        <v>33</v>
      </c>
      <c r="G352" s="69">
        <f>'прил 5,'!G813</f>
        <v>10919566.07</v>
      </c>
      <c r="H352" s="69">
        <f>'прил 5,'!H813</f>
        <v>10919566.07</v>
      </c>
      <c r="O352" s="17"/>
      <c r="P352" s="17"/>
      <c r="Q352" s="17"/>
      <c r="R352" s="17"/>
      <c r="S352" s="17"/>
    </row>
    <row r="353" spans="1:19" s="18" customFormat="1" ht="25.5">
      <c r="A353" s="16" t="s">
        <v>93</v>
      </c>
      <c r="B353" s="14">
        <v>774</v>
      </c>
      <c r="C353" s="15" t="s">
        <v>26</v>
      </c>
      <c r="D353" s="15" t="s">
        <v>19</v>
      </c>
      <c r="E353" s="15" t="s">
        <v>217</v>
      </c>
      <c r="F353" s="15"/>
      <c r="G353" s="69">
        <f t="shared" ref="G353:H354" si="85">G354</f>
        <v>105878296.25</v>
      </c>
      <c r="H353" s="69">
        <f t="shared" si="85"/>
        <v>105878296.25</v>
      </c>
      <c r="I353" s="17">
        <v>100000</v>
      </c>
      <c r="O353" s="17"/>
      <c r="P353" s="17"/>
      <c r="Q353" s="17"/>
      <c r="R353" s="17"/>
      <c r="S353" s="17"/>
    </row>
    <row r="354" spans="1:19" s="18" customFormat="1" ht="25.5">
      <c r="A354" s="16" t="s">
        <v>30</v>
      </c>
      <c r="B354" s="14">
        <v>774</v>
      </c>
      <c r="C354" s="15" t="s">
        <v>26</v>
      </c>
      <c r="D354" s="15" t="s">
        <v>19</v>
      </c>
      <c r="E354" s="15" t="s">
        <v>217</v>
      </c>
      <c r="F354" s="15" t="s">
        <v>31</v>
      </c>
      <c r="G354" s="69">
        <f t="shared" si="85"/>
        <v>105878296.25</v>
      </c>
      <c r="H354" s="69">
        <f t="shared" si="85"/>
        <v>105878296.25</v>
      </c>
      <c r="I354" s="17">
        <v>1000000</v>
      </c>
      <c r="O354" s="17"/>
      <c r="P354" s="17"/>
      <c r="Q354" s="17"/>
      <c r="R354" s="17"/>
      <c r="S354" s="17"/>
    </row>
    <row r="355" spans="1:19" s="18" customFormat="1">
      <c r="A355" s="16" t="s">
        <v>32</v>
      </c>
      <c r="B355" s="14">
        <v>774</v>
      </c>
      <c r="C355" s="15" t="s">
        <v>26</v>
      </c>
      <c r="D355" s="15" t="s">
        <v>19</v>
      </c>
      <c r="E355" s="15" t="s">
        <v>217</v>
      </c>
      <c r="F355" s="15" t="s">
        <v>33</v>
      </c>
      <c r="G355" s="69">
        <f>'прил 5,'!G481</f>
        <v>105878296.25</v>
      </c>
      <c r="H355" s="69">
        <f>'прил 5,'!H481</f>
        <v>105878296.25</v>
      </c>
      <c r="I355" s="17">
        <v>3557619</v>
      </c>
      <c r="O355" s="17"/>
      <c r="P355" s="17"/>
      <c r="Q355" s="17"/>
      <c r="R355" s="17"/>
      <c r="S355" s="17"/>
    </row>
    <row r="356" spans="1:19" s="18" customFormat="1" ht="42.75" customHeight="1">
      <c r="A356" s="42" t="s">
        <v>870</v>
      </c>
      <c r="B356" s="15" t="s">
        <v>94</v>
      </c>
      <c r="C356" s="15" t="s">
        <v>26</v>
      </c>
      <c r="D356" s="15" t="s">
        <v>19</v>
      </c>
      <c r="E356" s="15" t="s">
        <v>611</v>
      </c>
      <c r="F356" s="15"/>
      <c r="G356" s="69">
        <f t="shared" ref="G356:H357" si="86">G357</f>
        <v>0</v>
      </c>
      <c r="H356" s="69">
        <f t="shared" si="86"/>
        <v>0</v>
      </c>
      <c r="O356" s="17"/>
      <c r="P356" s="17"/>
      <c r="Q356" s="17"/>
      <c r="R356" s="17"/>
      <c r="S356" s="17"/>
    </row>
    <row r="357" spans="1:19" s="18" customFormat="1" ht="25.5">
      <c r="A357" s="16" t="s">
        <v>30</v>
      </c>
      <c r="B357" s="15" t="s">
        <v>94</v>
      </c>
      <c r="C357" s="15" t="s">
        <v>26</v>
      </c>
      <c r="D357" s="15" t="s">
        <v>19</v>
      </c>
      <c r="E357" s="15" t="s">
        <v>611</v>
      </c>
      <c r="F357" s="15" t="s">
        <v>31</v>
      </c>
      <c r="G357" s="69">
        <f t="shared" si="86"/>
        <v>0</v>
      </c>
      <c r="H357" s="69">
        <f t="shared" si="86"/>
        <v>0</v>
      </c>
      <c r="O357" s="17"/>
      <c r="P357" s="17"/>
      <c r="Q357" s="17"/>
      <c r="R357" s="17"/>
      <c r="S357" s="17"/>
    </row>
    <row r="358" spans="1:19">
      <c r="A358" s="16" t="s">
        <v>32</v>
      </c>
      <c r="B358" s="15" t="s">
        <v>94</v>
      </c>
      <c r="C358" s="15" t="s">
        <v>26</v>
      </c>
      <c r="D358" s="15" t="s">
        <v>19</v>
      </c>
      <c r="E358" s="15" t="s">
        <v>611</v>
      </c>
      <c r="F358" s="15" t="s">
        <v>33</v>
      </c>
      <c r="G358" s="69">
        <f>'прил 5,'!G490</f>
        <v>0</v>
      </c>
      <c r="H358" s="69">
        <f>'прил 5,'!H490</f>
        <v>0</v>
      </c>
      <c r="I358" s="1"/>
    </row>
    <row r="359" spans="1:19" ht="43.5" customHeight="1">
      <c r="A359" s="16" t="s">
        <v>118</v>
      </c>
      <c r="B359" s="15" t="s">
        <v>94</v>
      </c>
      <c r="C359" s="15" t="s">
        <v>26</v>
      </c>
      <c r="D359" s="15" t="s">
        <v>28</v>
      </c>
      <c r="E359" s="15" t="s">
        <v>222</v>
      </c>
      <c r="F359" s="15"/>
      <c r="G359" s="69">
        <f>G360</f>
        <v>137433722.98000002</v>
      </c>
      <c r="H359" s="86">
        <f>H360</f>
        <v>137433722.97999999</v>
      </c>
      <c r="I359" s="17">
        <v>1832238</v>
      </c>
    </row>
    <row r="360" spans="1:19" ht="25.5">
      <c r="A360" s="16" t="s">
        <v>30</v>
      </c>
      <c r="B360" s="15" t="s">
        <v>94</v>
      </c>
      <c r="C360" s="15" t="s">
        <v>26</v>
      </c>
      <c r="D360" s="15" t="s">
        <v>28</v>
      </c>
      <c r="E360" s="15" t="s">
        <v>222</v>
      </c>
      <c r="F360" s="15" t="s">
        <v>31</v>
      </c>
      <c r="G360" s="69">
        <f t="shared" ref="G360:H360" si="87">G361</f>
        <v>137433722.98000002</v>
      </c>
      <c r="H360" s="86">
        <f t="shared" si="87"/>
        <v>137433722.97999999</v>
      </c>
      <c r="I360" s="17">
        <v>275000</v>
      </c>
    </row>
    <row r="361" spans="1:19">
      <c r="A361" s="16" t="s">
        <v>32</v>
      </c>
      <c r="B361" s="15" t="s">
        <v>94</v>
      </c>
      <c r="C361" s="15" t="s">
        <v>26</v>
      </c>
      <c r="D361" s="15" t="s">
        <v>28</v>
      </c>
      <c r="E361" s="15" t="s">
        <v>222</v>
      </c>
      <c r="F361" s="15" t="s">
        <v>33</v>
      </c>
      <c r="G361" s="69">
        <f>'прил 5,'!G572</f>
        <v>137433722.98000002</v>
      </c>
      <c r="H361" s="69">
        <f>'прил 5,'!H572</f>
        <v>137433722.97999999</v>
      </c>
      <c r="I361" s="17">
        <v>2097500</v>
      </c>
    </row>
    <row r="362" spans="1:19" ht="43.5" hidden="1" customHeight="1">
      <c r="A362" s="81" t="s">
        <v>736</v>
      </c>
      <c r="B362" s="83"/>
      <c r="C362" s="83"/>
      <c r="D362" s="83"/>
      <c r="E362" s="83" t="s">
        <v>730</v>
      </c>
      <c r="F362" s="83"/>
      <c r="G362" s="86">
        <f>G363</f>
        <v>0</v>
      </c>
      <c r="H362" s="86"/>
      <c r="I362" s="17"/>
    </row>
    <row r="363" spans="1:19" ht="25.5" hidden="1">
      <c r="A363" s="81" t="s">
        <v>96</v>
      </c>
      <c r="B363" s="83" t="s">
        <v>94</v>
      </c>
      <c r="C363" s="83" t="s">
        <v>26</v>
      </c>
      <c r="D363" s="83" t="s">
        <v>28</v>
      </c>
      <c r="E363" s="83" t="s">
        <v>730</v>
      </c>
      <c r="F363" s="83" t="s">
        <v>348</v>
      </c>
      <c r="G363" s="86">
        <f>G364</f>
        <v>0</v>
      </c>
      <c r="H363" s="69">
        <f>H364</f>
        <v>0</v>
      </c>
      <c r="I363" s="1"/>
    </row>
    <row r="364" spans="1:19" s="3" customFormat="1" ht="89.25" hidden="1">
      <c r="A364" s="81" t="s">
        <v>419</v>
      </c>
      <c r="B364" s="145">
        <v>774</v>
      </c>
      <c r="C364" s="83" t="s">
        <v>26</v>
      </c>
      <c r="D364" s="83" t="s">
        <v>28</v>
      </c>
      <c r="E364" s="83" t="s">
        <v>730</v>
      </c>
      <c r="F364" s="83" t="s">
        <v>418</v>
      </c>
      <c r="G364" s="86">
        <f>'прил 5,'!G575</f>
        <v>0</v>
      </c>
      <c r="H364" s="69">
        <v>0</v>
      </c>
      <c r="O364" s="108"/>
      <c r="P364" s="108"/>
      <c r="Q364" s="108"/>
      <c r="R364" s="108"/>
      <c r="S364" s="108"/>
    </row>
    <row r="365" spans="1:19" ht="25.5">
      <c r="A365" s="16" t="s">
        <v>29</v>
      </c>
      <c r="B365" s="15" t="s">
        <v>94</v>
      </c>
      <c r="C365" s="15" t="s">
        <v>26</v>
      </c>
      <c r="D365" s="15" t="s">
        <v>28</v>
      </c>
      <c r="E365" s="15" t="s">
        <v>223</v>
      </c>
      <c r="F365" s="15"/>
      <c r="G365" s="86">
        <f t="shared" ref="G365:H366" si="88">G366</f>
        <v>17494146</v>
      </c>
      <c r="H365" s="86">
        <f t="shared" si="88"/>
        <v>17494146</v>
      </c>
      <c r="I365" s="2">
        <v>66815463</v>
      </c>
    </row>
    <row r="366" spans="1:19" ht="25.5">
      <c r="A366" s="16" t="s">
        <v>30</v>
      </c>
      <c r="B366" s="15" t="s">
        <v>94</v>
      </c>
      <c r="C366" s="15" t="s">
        <v>26</v>
      </c>
      <c r="D366" s="15" t="s">
        <v>28</v>
      </c>
      <c r="E366" s="15" t="s">
        <v>223</v>
      </c>
      <c r="F366" s="15" t="s">
        <v>31</v>
      </c>
      <c r="G366" s="86">
        <f t="shared" si="88"/>
        <v>17494146</v>
      </c>
      <c r="H366" s="86">
        <f t="shared" si="88"/>
        <v>17494146</v>
      </c>
      <c r="I366" s="2">
        <v>11498996</v>
      </c>
    </row>
    <row r="367" spans="1:19">
      <c r="A367" s="16" t="s">
        <v>32</v>
      </c>
      <c r="B367" s="15" t="s">
        <v>94</v>
      </c>
      <c r="C367" s="15" t="s">
        <v>26</v>
      </c>
      <c r="D367" s="15" t="s">
        <v>28</v>
      </c>
      <c r="E367" s="15" t="s">
        <v>223</v>
      </c>
      <c r="F367" s="15" t="s">
        <v>33</v>
      </c>
      <c r="G367" s="69">
        <f>'прил 5,'!G804</f>
        <v>17494146</v>
      </c>
      <c r="H367" s="69">
        <f>'прил 5,'!H804</f>
        <v>17494146</v>
      </c>
      <c r="I367" s="2">
        <v>90400</v>
      </c>
    </row>
    <row r="368" spans="1:19" s="18" customFormat="1">
      <c r="A368" s="16" t="s">
        <v>851</v>
      </c>
      <c r="B368" s="14">
        <v>774</v>
      </c>
      <c r="C368" s="15" t="s">
        <v>26</v>
      </c>
      <c r="D368" s="15" t="s">
        <v>19</v>
      </c>
      <c r="E368" s="15" t="s">
        <v>869</v>
      </c>
      <c r="F368" s="15"/>
      <c r="G368" s="69">
        <f>G369</f>
        <v>1563047.51</v>
      </c>
      <c r="H368" s="69">
        <f t="shared" ref="G368:H369" si="89">H369</f>
        <v>1554227.61</v>
      </c>
      <c r="O368" s="17"/>
      <c r="P368" s="17"/>
      <c r="Q368" s="17"/>
      <c r="R368" s="17"/>
      <c r="S368" s="17"/>
    </row>
    <row r="369" spans="1:19" s="18" customFormat="1" ht="25.5">
      <c r="A369" s="16" t="s">
        <v>30</v>
      </c>
      <c r="B369" s="14">
        <v>774</v>
      </c>
      <c r="C369" s="15" t="s">
        <v>26</v>
      </c>
      <c r="D369" s="15" t="s">
        <v>19</v>
      </c>
      <c r="E369" s="15" t="s">
        <v>869</v>
      </c>
      <c r="F369" s="15" t="s">
        <v>31</v>
      </c>
      <c r="G369" s="69">
        <f t="shared" si="89"/>
        <v>1563047.51</v>
      </c>
      <c r="H369" s="69">
        <f t="shared" si="89"/>
        <v>1554227.61</v>
      </c>
      <c r="O369" s="17"/>
      <c r="P369" s="17"/>
      <c r="Q369" s="17"/>
      <c r="R369" s="17"/>
      <c r="S369" s="17"/>
    </row>
    <row r="370" spans="1:19" s="18" customFormat="1">
      <c r="A370" s="16" t="s">
        <v>32</v>
      </c>
      <c r="B370" s="14">
        <v>774</v>
      </c>
      <c r="C370" s="15" t="s">
        <v>26</v>
      </c>
      <c r="D370" s="15" t="s">
        <v>19</v>
      </c>
      <c r="E370" s="15" t="s">
        <v>869</v>
      </c>
      <c r="F370" s="15" t="s">
        <v>33</v>
      </c>
      <c r="G370" s="69">
        <f>'прил 5,'!G484+'прил 5,'!G807+'прил 5,'!G578</f>
        <v>1563047.51</v>
      </c>
      <c r="H370" s="69">
        <f>'прил 5,'!H484+'прил 5,'!H807+'прил 5,'!H578</f>
        <v>1554227.61</v>
      </c>
      <c r="O370" s="17"/>
      <c r="P370" s="17"/>
      <c r="Q370" s="17"/>
      <c r="R370" s="17"/>
      <c r="S370" s="17"/>
    </row>
    <row r="371" spans="1:19" s="18" customFormat="1" ht="54" customHeight="1">
      <c r="A371" s="174" t="s">
        <v>875</v>
      </c>
      <c r="B371" s="15" t="s">
        <v>94</v>
      </c>
      <c r="C371" s="15" t="s">
        <v>26</v>
      </c>
      <c r="D371" s="15" t="s">
        <v>19</v>
      </c>
      <c r="E371" s="15" t="s">
        <v>871</v>
      </c>
      <c r="F371" s="15"/>
      <c r="G371" s="69">
        <f t="shared" ref="G371:H372" si="90">G372</f>
        <v>2749897.1499999994</v>
      </c>
      <c r="H371" s="69">
        <f t="shared" si="90"/>
        <v>2733684.81</v>
      </c>
      <c r="O371" s="17"/>
      <c r="P371" s="17"/>
      <c r="Q371" s="17"/>
      <c r="R371" s="17"/>
      <c r="S371" s="17"/>
    </row>
    <row r="372" spans="1:19" s="18" customFormat="1" ht="25.5">
      <c r="A372" s="16" t="s">
        <v>30</v>
      </c>
      <c r="B372" s="15" t="s">
        <v>94</v>
      </c>
      <c r="C372" s="15" t="s">
        <v>26</v>
      </c>
      <c r="D372" s="15" t="s">
        <v>19</v>
      </c>
      <c r="E372" s="15" t="s">
        <v>871</v>
      </c>
      <c r="F372" s="15" t="s">
        <v>31</v>
      </c>
      <c r="G372" s="69">
        <f t="shared" si="90"/>
        <v>2749897.1499999994</v>
      </c>
      <c r="H372" s="69">
        <f t="shared" si="90"/>
        <v>2733684.81</v>
      </c>
      <c r="O372" s="17"/>
      <c r="P372" s="17"/>
      <c r="Q372" s="17"/>
      <c r="R372" s="17"/>
      <c r="S372" s="17"/>
    </row>
    <row r="373" spans="1:19">
      <c r="A373" s="16" t="s">
        <v>32</v>
      </c>
      <c r="B373" s="15" t="s">
        <v>94</v>
      </c>
      <c r="C373" s="15" t="s">
        <v>26</v>
      </c>
      <c r="D373" s="15" t="s">
        <v>19</v>
      </c>
      <c r="E373" s="15" t="s">
        <v>871</v>
      </c>
      <c r="F373" s="15" t="s">
        <v>33</v>
      </c>
      <c r="G373" s="69">
        <f>'прил 5,'!G495</f>
        <v>2749897.1499999994</v>
      </c>
      <c r="H373" s="69">
        <f>'прил 5,'!H495</f>
        <v>2733684.81</v>
      </c>
      <c r="I373" s="1"/>
    </row>
    <row r="374" spans="1:19" s="18" customFormat="1" ht="51" customHeight="1">
      <c r="A374" s="42" t="s">
        <v>872</v>
      </c>
      <c r="B374" s="15" t="s">
        <v>94</v>
      </c>
      <c r="C374" s="15" t="s">
        <v>26</v>
      </c>
      <c r="D374" s="15" t="s">
        <v>28</v>
      </c>
      <c r="E374" s="15" t="s">
        <v>876</v>
      </c>
      <c r="F374" s="15"/>
      <c r="G374" s="69">
        <f t="shared" ref="G374:H375" si="91">G375</f>
        <v>1646729.49</v>
      </c>
      <c r="H374" s="69">
        <f t="shared" si="91"/>
        <v>1646729.49</v>
      </c>
      <c r="O374" s="17"/>
      <c r="P374" s="17"/>
      <c r="Q374" s="17"/>
      <c r="R374" s="17"/>
      <c r="S374" s="17"/>
    </row>
    <row r="375" spans="1:19" s="18" customFormat="1" ht="25.5">
      <c r="A375" s="16" t="s">
        <v>30</v>
      </c>
      <c r="B375" s="15" t="s">
        <v>94</v>
      </c>
      <c r="C375" s="15" t="s">
        <v>26</v>
      </c>
      <c r="D375" s="15" t="s">
        <v>28</v>
      </c>
      <c r="E375" s="15" t="s">
        <v>876</v>
      </c>
      <c r="F375" s="15" t="s">
        <v>31</v>
      </c>
      <c r="G375" s="69">
        <f t="shared" si="91"/>
        <v>1646729.49</v>
      </c>
      <c r="H375" s="69">
        <f t="shared" si="91"/>
        <v>1646729.49</v>
      </c>
      <c r="O375" s="17"/>
      <c r="P375" s="17"/>
      <c r="Q375" s="17"/>
      <c r="R375" s="17"/>
      <c r="S375" s="17"/>
    </row>
    <row r="376" spans="1:19">
      <c r="A376" s="16" t="s">
        <v>32</v>
      </c>
      <c r="B376" s="15" t="s">
        <v>94</v>
      </c>
      <c r="C376" s="15" t="s">
        <v>26</v>
      </c>
      <c r="D376" s="15" t="s">
        <v>28</v>
      </c>
      <c r="E376" s="15" t="s">
        <v>876</v>
      </c>
      <c r="F376" s="15" t="s">
        <v>33</v>
      </c>
      <c r="G376" s="69">
        <f>'прил 5,'!G609</f>
        <v>1646729.49</v>
      </c>
      <c r="H376" s="69">
        <f>'прил 5,'!H609</f>
        <v>1646729.49</v>
      </c>
      <c r="I376" s="1"/>
    </row>
    <row r="377" spans="1:19" ht="16.5" hidden="1" customHeight="1">
      <c r="A377" s="16" t="s">
        <v>1</v>
      </c>
      <c r="B377" s="15" t="s">
        <v>94</v>
      </c>
      <c r="C377" s="15" t="s">
        <v>26</v>
      </c>
      <c r="D377" s="15" t="s">
        <v>28</v>
      </c>
      <c r="E377" s="15" t="s">
        <v>545</v>
      </c>
      <c r="F377" s="15"/>
      <c r="G377" s="69">
        <f t="shared" ref="G377:H377" si="92">G378</f>
        <v>0</v>
      </c>
      <c r="H377" s="69">
        <f t="shared" si="92"/>
        <v>0</v>
      </c>
      <c r="I377" s="1"/>
      <c r="O377" s="1"/>
      <c r="P377" s="1"/>
      <c r="Q377" s="1"/>
      <c r="R377" s="1"/>
      <c r="S377" s="1"/>
    </row>
    <row r="378" spans="1:19" ht="24.75" hidden="1" customHeight="1">
      <c r="A378" s="16" t="s">
        <v>30</v>
      </c>
      <c r="B378" s="15" t="s">
        <v>94</v>
      </c>
      <c r="C378" s="15" t="s">
        <v>26</v>
      </c>
      <c r="D378" s="15" t="s">
        <v>28</v>
      </c>
      <c r="E378" s="15" t="s">
        <v>545</v>
      </c>
      <c r="F378" s="15" t="s">
        <v>31</v>
      </c>
      <c r="G378" s="69">
        <f>G379</f>
        <v>0</v>
      </c>
      <c r="H378" s="69">
        <f>H379</f>
        <v>0</v>
      </c>
      <c r="I378" s="1"/>
      <c r="O378" s="1"/>
      <c r="P378" s="1"/>
      <c r="Q378" s="1"/>
      <c r="R378" s="1"/>
      <c r="S378" s="1"/>
    </row>
    <row r="379" spans="1:19" hidden="1">
      <c r="A379" s="16" t="s">
        <v>32</v>
      </c>
      <c r="B379" s="15" t="s">
        <v>94</v>
      </c>
      <c r="C379" s="15" t="s">
        <v>26</v>
      </c>
      <c r="D379" s="15" t="s">
        <v>28</v>
      </c>
      <c r="E379" s="15" t="s">
        <v>545</v>
      </c>
      <c r="F379" s="15" t="s">
        <v>33</v>
      </c>
      <c r="G379" s="69">
        <f>'прил 5,'!G829</f>
        <v>0</v>
      </c>
      <c r="H379" s="69">
        <f>'прил 5,'!H829</f>
        <v>0</v>
      </c>
      <c r="I379" s="1"/>
      <c r="O379" s="1"/>
      <c r="P379" s="1"/>
      <c r="Q379" s="1"/>
      <c r="R379" s="1"/>
      <c r="S379" s="1"/>
    </row>
    <row r="380" spans="1:19" ht="74.25" customHeight="1">
      <c r="A380" s="81" t="s">
        <v>757</v>
      </c>
      <c r="B380" s="83" t="s">
        <v>94</v>
      </c>
      <c r="C380" s="83" t="s">
        <v>26</v>
      </c>
      <c r="D380" s="83" t="s">
        <v>28</v>
      </c>
      <c r="E380" s="83" t="s">
        <v>755</v>
      </c>
      <c r="F380" s="15"/>
      <c r="G380" s="69">
        <f>G383+G381</f>
        <v>0</v>
      </c>
      <c r="H380" s="69">
        <f t="shared" ref="H380" si="93">H383+H381</f>
        <v>0</v>
      </c>
      <c r="I380" s="1"/>
    </row>
    <row r="381" spans="1:19" ht="25.5" hidden="1">
      <c r="A381" s="16" t="s">
        <v>96</v>
      </c>
      <c r="B381" s="15" t="s">
        <v>94</v>
      </c>
      <c r="C381" s="15" t="s">
        <v>26</v>
      </c>
      <c r="D381" s="15" t="s">
        <v>28</v>
      </c>
      <c r="E381" s="15" t="s">
        <v>730</v>
      </c>
      <c r="F381" s="15" t="s">
        <v>348</v>
      </c>
      <c r="G381" s="69">
        <f>G382</f>
        <v>0</v>
      </c>
      <c r="H381" s="69">
        <f>H382</f>
        <v>0</v>
      </c>
      <c r="I381" s="1"/>
    </row>
    <row r="382" spans="1:19" s="3" customFormat="1" ht="89.25" hidden="1">
      <c r="A382" s="16" t="s">
        <v>419</v>
      </c>
      <c r="B382" s="14">
        <v>774</v>
      </c>
      <c r="C382" s="15" t="s">
        <v>26</v>
      </c>
      <c r="D382" s="15" t="s">
        <v>28</v>
      </c>
      <c r="E382" s="15" t="s">
        <v>730</v>
      </c>
      <c r="F382" s="15" t="s">
        <v>418</v>
      </c>
      <c r="G382" s="159"/>
      <c r="H382" s="69">
        <v>0</v>
      </c>
      <c r="O382" s="108"/>
      <c r="P382" s="108"/>
      <c r="Q382" s="108"/>
      <c r="R382" s="108"/>
      <c r="S382" s="108"/>
    </row>
    <row r="383" spans="1:19" ht="25.5">
      <c r="A383" s="16" t="s">
        <v>30</v>
      </c>
      <c r="B383" s="15" t="s">
        <v>94</v>
      </c>
      <c r="C383" s="15" t="s">
        <v>26</v>
      </c>
      <c r="D383" s="15" t="s">
        <v>28</v>
      </c>
      <c r="E383" s="15" t="s">
        <v>755</v>
      </c>
      <c r="F383" s="15" t="s">
        <v>31</v>
      </c>
      <c r="G383" s="69">
        <f>G384</f>
        <v>0</v>
      </c>
      <c r="H383" s="69">
        <f t="shared" ref="H383" si="94">H384</f>
        <v>0</v>
      </c>
      <c r="I383" s="1"/>
    </row>
    <row r="384" spans="1:19">
      <c r="A384" s="16" t="s">
        <v>32</v>
      </c>
      <c r="B384" s="15" t="s">
        <v>94</v>
      </c>
      <c r="C384" s="15" t="s">
        <v>26</v>
      </c>
      <c r="D384" s="15" t="s">
        <v>28</v>
      </c>
      <c r="E384" s="15" t="s">
        <v>755</v>
      </c>
      <c r="F384" s="15" t="s">
        <v>33</v>
      </c>
      <c r="G384" s="69">
        <f>'прил 5,'!G583</f>
        <v>0</v>
      </c>
      <c r="H384" s="69">
        <f>'прил 5,'!H583</f>
        <v>0</v>
      </c>
      <c r="I384" s="1"/>
    </row>
    <row r="385" spans="1:19" ht="24.75" customHeight="1">
      <c r="A385" s="81" t="s">
        <v>932</v>
      </c>
      <c r="B385" s="83" t="s">
        <v>94</v>
      </c>
      <c r="C385" s="83" t="s">
        <v>26</v>
      </c>
      <c r="D385" s="83" t="s">
        <v>28</v>
      </c>
      <c r="E385" s="83" t="s">
        <v>931</v>
      </c>
      <c r="F385" s="15"/>
      <c r="G385" s="69">
        <f>G389+G386</f>
        <v>400000</v>
      </c>
      <c r="H385" s="69">
        <f t="shared" ref="H385" si="95">H389</f>
        <v>400000</v>
      </c>
      <c r="I385" s="1"/>
    </row>
    <row r="386" spans="1:19" ht="25.5">
      <c r="A386" s="16" t="s">
        <v>30</v>
      </c>
      <c r="B386" s="15" t="s">
        <v>94</v>
      </c>
      <c r="C386" s="15" t="s">
        <v>26</v>
      </c>
      <c r="D386" s="15" t="s">
        <v>28</v>
      </c>
      <c r="E386" s="15" t="s">
        <v>931</v>
      </c>
      <c r="F386" s="15" t="s">
        <v>31</v>
      </c>
      <c r="G386" s="69">
        <f>G387</f>
        <v>0</v>
      </c>
      <c r="H386" s="69">
        <f>H387</f>
        <v>0</v>
      </c>
      <c r="I386" s="1"/>
    </row>
    <row r="387" spans="1:19" s="3" customFormat="1">
      <c r="A387" s="16" t="s">
        <v>32</v>
      </c>
      <c r="B387" s="14">
        <v>774</v>
      </c>
      <c r="C387" s="15" t="s">
        <v>26</v>
      </c>
      <c r="D387" s="15" t="s">
        <v>28</v>
      </c>
      <c r="E387" s="15" t="s">
        <v>931</v>
      </c>
      <c r="F387" s="15" t="s">
        <v>33</v>
      </c>
      <c r="G387" s="69"/>
      <c r="H387" s="69">
        <v>0</v>
      </c>
      <c r="O387" s="108"/>
      <c r="P387" s="108"/>
      <c r="Q387" s="108"/>
      <c r="R387" s="108"/>
      <c r="S387" s="108"/>
    </row>
    <row r="388" spans="1:19" ht="57" customHeight="1">
      <c r="A388" s="81" t="s">
        <v>756</v>
      </c>
      <c r="B388" s="83" t="s">
        <v>94</v>
      </c>
      <c r="C388" s="15" t="s">
        <v>26</v>
      </c>
      <c r="D388" s="15" t="s">
        <v>28</v>
      </c>
      <c r="E388" s="83" t="s">
        <v>754</v>
      </c>
      <c r="F388" s="15"/>
      <c r="G388" s="69">
        <f>G389</f>
        <v>400000</v>
      </c>
      <c r="H388" s="69">
        <f t="shared" ref="H388" si="96">H389</f>
        <v>400000</v>
      </c>
      <c r="I388" s="171"/>
      <c r="J388" s="177"/>
      <c r="K388" s="177"/>
      <c r="L388" s="177"/>
      <c r="M388" s="177"/>
      <c r="N388" s="177"/>
      <c r="O388" s="177"/>
      <c r="P388" s="177"/>
      <c r="Q388" s="177"/>
      <c r="R388" s="1"/>
      <c r="S388" s="1"/>
    </row>
    <row r="389" spans="1:19" ht="25.5">
      <c r="A389" s="16" t="s">
        <v>30</v>
      </c>
      <c r="B389" s="15" t="s">
        <v>94</v>
      </c>
      <c r="C389" s="15" t="s">
        <v>26</v>
      </c>
      <c r="D389" s="15" t="s">
        <v>28</v>
      </c>
      <c r="E389" s="15" t="s">
        <v>754</v>
      </c>
      <c r="F389" s="15" t="s">
        <v>31</v>
      </c>
      <c r="G389" s="69">
        <f>G390</f>
        <v>400000</v>
      </c>
      <c r="H389" s="69">
        <f>H390</f>
        <v>400000</v>
      </c>
      <c r="I389" s="1"/>
    </row>
    <row r="390" spans="1:19">
      <c r="A390" s="16" t="s">
        <v>32</v>
      </c>
      <c r="B390" s="15" t="s">
        <v>94</v>
      </c>
      <c r="C390" s="15" t="s">
        <v>26</v>
      </c>
      <c r="D390" s="15" t="s">
        <v>28</v>
      </c>
      <c r="E390" s="15" t="s">
        <v>754</v>
      </c>
      <c r="F390" s="15" t="s">
        <v>33</v>
      </c>
      <c r="G390" s="69">
        <f>'прил 5,'!G588</f>
        <v>400000</v>
      </c>
      <c r="H390" s="69">
        <f>'прил 5,'!H588</f>
        <v>400000</v>
      </c>
      <c r="I390" s="1"/>
    </row>
    <row r="391" spans="1:19" ht="32.25" customHeight="1">
      <c r="A391" s="16" t="s">
        <v>142</v>
      </c>
      <c r="B391" s="15" t="s">
        <v>94</v>
      </c>
      <c r="C391" s="15" t="s">
        <v>26</v>
      </c>
      <c r="D391" s="15" t="s">
        <v>28</v>
      </c>
      <c r="E391" s="15" t="s">
        <v>710</v>
      </c>
      <c r="F391" s="15"/>
      <c r="G391" s="69">
        <f t="shared" ref="G391:H391" si="97">G392</f>
        <v>280242.99</v>
      </c>
      <c r="H391" s="69">
        <f t="shared" si="97"/>
        <v>280242.99</v>
      </c>
      <c r="I391" s="1"/>
    </row>
    <row r="392" spans="1:19" ht="25.5">
      <c r="A392" s="16" t="s">
        <v>30</v>
      </c>
      <c r="B392" s="15" t="s">
        <v>94</v>
      </c>
      <c r="C392" s="15" t="s">
        <v>26</v>
      </c>
      <c r="D392" s="15" t="s">
        <v>28</v>
      </c>
      <c r="E392" s="15" t="s">
        <v>710</v>
      </c>
      <c r="F392" s="15" t="s">
        <v>31</v>
      </c>
      <c r="G392" s="69">
        <f>G393</f>
        <v>280242.99</v>
      </c>
      <c r="H392" s="69">
        <f>H393</f>
        <v>280242.99</v>
      </c>
      <c r="I392" s="1"/>
    </row>
    <row r="393" spans="1:19">
      <c r="A393" s="16" t="s">
        <v>32</v>
      </c>
      <c r="B393" s="15" t="s">
        <v>94</v>
      </c>
      <c r="C393" s="15" t="s">
        <v>26</v>
      </c>
      <c r="D393" s="15" t="s">
        <v>28</v>
      </c>
      <c r="E393" s="15" t="s">
        <v>710</v>
      </c>
      <c r="F393" s="15" t="s">
        <v>33</v>
      </c>
      <c r="G393" s="69">
        <f>'прил 5,'!G591</f>
        <v>280242.99</v>
      </c>
      <c r="H393" s="69">
        <f>'прил 5,'!H591</f>
        <v>280242.99</v>
      </c>
      <c r="I393" s="1"/>
    </row>
    <row r="394" spans="1:19" ht="33" hidden="1" customHeight="1">
      <c r="A394" s="16" t="s">
        <v>945</v>
      </c>
      <c r="B394" s="15" t="s">
        <v>94</v>
      </c>
      <c r="C394" s="15" t="s">
        <v>26</v>
      </c>
      <c r="D394" s="15" t="s">
        <v>28</v>
      </c>
      <c r="E394" s="15" t="s">
        <v>944</v>
      </c>
      <c r="F394" s="15"/>
      <c r="G394" s="69">
        <f>G395</f>
        <v>0</v>
      </c>
      <c r="H394" s="69"/>
      <c r="I394" s="171"/>
      <c r="J394" s="177"/>
      <c r="K394" s="177"/>
      <c r="L394" s="177"/>
      <c r="M394" s="177"/>
      <c r="N394" s="177"/>
      <c r="O394" s="177"/>
      <c r="P394" s="177"/>
      <c r="Q394" s="177"/>
      <c r="R394" s="1"/>
      <c r="S394" s="1"/>
    </row>
    <row r="395" spans="1:19" ht="24.75" hidden="1" customHeight="1">
      <c r="A395" s="16" t="s">
        <v>30</v>
      </c>
      <c r="B395" s="15" t="s">
        <v>94</v>
      </c>
      <c r="C395" s="15" t="s">
        <v>26</v>
      </c>
      <c r="D395" s="15" t="s">
        <v>28</v>
      </c>
      <c r="E395" s="15" t="s">
        <v>944</v>
      </c>
      <c r="F395" s="15" t="s">
        <v>31</v>
      </c>
      <c r="G395" s="69">
        <f>G396</f>
        <v>0</v>
      </c>
      <c r="H395" s="69"/>
      <c r="I395" s="171"/>
      <c r="J395" s="177"/>
      <c r="K395" s="177"/>
      <c r="L395" s="177"/>
      <c r="M395" s="177"/>
      <c r="N395" s="177"/>
      <c r="O395" s="177"/>
      <c r="P395" s="177"/>
      <c r="Q395" s="177"/>
      <c r="R395" s="1"/>
      <c r="S395" s="1"/>
    </row>
    <row r="396" spans="1:19" ht="19.5" hidden="1" customHeight="1">
      <c r="A396" s="16" t="s">
        <v>32</v>
      </c>
      <c r="B396" s="15" t="s">
        <v>94</v>
      </c>
      <c r="C396" s="15" t="s">
        <v>26</v>
      </c>
      <c r="D396" s="15" t="s">
        <v>28</v>
      </c>
      <c r="E396" s="15" t="s">
        <v>944</v>
      </c>
      <c r="F396" s="15" t="s">
        <v>33</v>
      </c>
      <c r="G396" s="86"/>
      <c r="H396" s="69"/>
      <c r="I396" s="171"/>
      <c r="J396" s="177"/>
      <c r="K396" s="177"/>
      <c r="L396" s="177"/>
      <c r="M396" s="177"/>
      <c r="N396" s="177"/>
      <c r="O396" s="177"/>
      <c r="P396" s="177"/>
      <c r="Q396" s="177"/>
      <c r="R396" s="1"/>
      <c r="S396" s="1"/>
    </row>
    <row r="397" spans="1:19" ht="16.5" hidden="1" customHeight="1">
      <c r="A397" s="16" t="s">
        <v>1</v>
      </c>
      <c r="B397" s="15" t="s">
        <v>94</v>
      </c>
      <c r="C397" s="15" t="s">
        <v>26</v>
      </c>
      <c r="D397" s="15" t="s">
        <v>28</v>
      </c>
      <c r="E397" s="15" t="s">
        <v>545</v>
      </c>
      <c r="F397" s="15"/>
      <c r="G397" s="69">
        <f t="shared" ref="G397:H397" si="98">G398</f>
        <v>0</v>
      </c>
      <c r="H397" s="69">
        <f t="shared" si="98"/>
        <v>0</v>
      </c>
      <c r="I397" s="1"/>
    </row>
    <row r="398" spans="1:19" ht="24.75" hidden="1" customHeight="1">
      <c r="A398" s="16" t="s">
        <v>30</v>
      </c>
      <c r="B398" s="15" t="s">
        <v>94</v>
      </c>
      <c r="C398" s="15" t="s">
        <v>26</v>
      </c>
      <c r="D398" s="15" t="s">
        <v>28</v>
      </c>
      <c r="E398" s="15" t="s">
        <v>545</v>
      </c>
      <c r="F398" s="15" t="s">
        <v>31</v>
      </c>
      <c r="G398" s="69">
        <f>G399</f>
        <v>0</v>
      </c>
      <c r="H398" s="69">
        <f>H399</f>
        <v>0</v>
      </c>
      <c r="I398" s="1"/>
    </row>
    <row r="399" spans="1:19" hidden="1">
      <c r="A399" s="16" t="s">
        <v>32</v>
      </c>
      <c r="B399" s="15" t="s">
        <v>94</v>
      </c>
      <c r="C399" s="15" t="s">
        <v>26</v>
      </c>
      <c r="D399" s="15" t="s">
        <v>28</v>
      </c>
      <c r="E399" s="15" t="s">
        <v>545</v>
      </c>
      <c r="F399" s="15" t="s">
        <v>33</v>
      </c>
      <c r="G399" s="69">
        <f>'прил 5,'!G594</f>
        <v>0</v>
      </c>
      <c r="H399" s="69"/>
      <c r="I399" s="1"/>
    </row>
    <row r="400" spans="1:19" ht="33" customHeight="1">
      <c r="A400" s="16" t="s">
        <v>968</v>
      </c>
      <c r="B400" s="15" t="s">
        <v>94</v>
      </c>
      <c r="C400" s="15" t="s">
        <v>26</v>
      </c>
      <c r="D400" s="15" t="s">
        <v>123</v>
      </c>
      <c r="E400" s="15" t="s">
        <v>944</v>
      </c>
      <c r="F400" s="15"/>
      <c r="G400" s="69">
        <f>G401</f>
        <v>100000</v>
      </c>
      <c r="H400" s="69">
        <f t="shared" ref="H400:H401" si="99">H401</f>
        <v>100000</v>
      </c>
      <c r="I400" s="171"/>
      <c r="J400" s="177"/>
      <c r="K400" s="177"/>
      <c r="L400" s="177"/>
      <c r="M400" s="177"/>
      <c r="N400" s="177"/>
      <c r="O400" s="177"/>
      <c r="P400" s="177"/>
      <c r="Q400" s="177"/>
      <c r="R400" s="1"/>
      <c r="S400" s="1"/>
    </row>
    <row r="401" spans="1:19" ht="24.75" customHeight="1">
      <c r="A401" s="16" t="s">
        <v>36</v>
      </c>
      <c r="B401" s="15" t="s">
        <v>94</v>
      </c>
      <c r="C401" s="15" t="s">
        <v>26</v>
      </c>
      <c r="D401" s="15" t="s">
        <v>123</v>
      </c>
      <c r="E401" s="15" t="s">
        <v>944</v>
      </c>
      <c r="F401" s="15" t="s">
        <v>37</v>
      </c>
      <c r="G401" s="69">
        <f>G402</f>
        <v>100000</v>
      </c>
      <c r="H401" s="69">
        <f t="shared" si="99"/>
        <v>100000</v>
      </c>
      <c r="I401" s="171"/>
      <c r="J401" s="177"/>
      <c r="K401" s="177"/>
      <c r="L401" s="177"/>
      <c r="M401" s="177"/>
      <c r="N401" s="177"/>
      <c r="O401" s="177"/>
      <c r="P401" s="177"/>
      <c r="Q401" s="177"/>
      <c r="R401" s="1"/>
      <c r="S401" s="1"/>
    </row>
    <row r="402" spans="1:19" ht="19.5" customHeight="1">
      <c r="A402" s="16" t="s">
        <v>38</v>
      </c>
      <c r="B402" s="15" t="s">
        <v>94</v>
      </c>
      <c r="C402" s="15" t="s">
        <v>26</v>
      </c>
      <c r="D402" s="15" t="s">
        <v>123</v>
      </c>
      <c r="E402" s="15" t="s">
        <v>944</v>
      </c>
      <c r="F402" s="15" t="s">
        <v>39</v>
      </c>
      <c r="G402" s="86">
        <v>100000</v>
      </c>
      <c r="H402" s="86">
        <v>100000</v>
      </c>
      <c r="I402" s="171"/>
      <c r="J402" s="177"/>
      <c r="K402" s="177"/>
      <c r="L402" s="177"/>
      <c r="M402" s="177"/>
      <c r="N402" s="177"/>
      <c r="O402" s="177"/>
      <c r="P402" s="177"/>
      <c r="Q402" s="177"/>
      <c r="R402" s="1"/>
      <c r="S402" s="1"/>
    </row>
    <row r="403" spans="1:19" s="18" customFormat="1" ht="57.75" customHeight="1">
      <c r="A403" s="175" t="s">
        <v>1021</v>
      </c>
      <c r="B403" s="15" t="s">
        <v>94</v>
      </c>
      <c r="C403" s="15" t="s">
        <v>26</v>
      </c>
      <c r="D403" s="15" t="s">
        <v>123</v>
      </c>
      <c r="E403" s="15" t="s">
        <v>1020</v>
      </c>
      <c r="F403" s="15"/>
      <c r="G403" s="69">
        <f t="shared" ref="G403:H404" si="100">G404</f>
        <v>4524.1400000000003</v>
      </c>
      <c r="H403" s="69">
        <f t="shared" si="100"/>
        <v>0</v>
      </c>
      <c r="I403" s="171"/>
      <c r="J403" s="191"/>
      <c r="K403" s="191"/>
      <c r="L403" s="191"/>
      <c r="M403" s="191"/>
      <c r="N403" s="191"/>
      <c r="O403" s="191"/>
      <c r="P403" s="191"/>
      <c r="Q403" s="191"/>
    </row>
    <row r="404" spans="1:19" s="18" customFormat="1">
      <c r="A404" s="16" t="s">
        <v>148</v>
      </c>
      <c r="B404" s="15" t="s">
        <v>94</v>
      </c>
      <c r="C404" s="15" t="s">
        <v>26</v>
      </c>
      <c r="D404" s="15" t="s">
        <v>123</v>
      </c>
      <c r="E404" s="15" t="s">
        <v>1020</v>
      </c>
      <c r="F404" s="15" t="s">
        <v>149</v>
      </c>
      <c r="G404" s="69">
        <f t="shared" si="100"/>
        <v>4524.1400000000003</v>
      </c>
      <c r="H404" s="69">
        <f t="shared" si="100"/>
        <v>0</v>
      </c>
      <c r="I404" s="171"/>
      <c r="J404" s="191"/>
      <c r="K404" s="191"/>
      <c r="L404" s="191"/>
      <c r="M404" s="191"/>
      <c r="N404" s="191"/>
      <c r="O404" s="191"/>
      <c r="P404" s="191"/>
      <c r="Q404" s="191"/>
    </row>
    <row r="405" spans="1:19" s="18" customFormat="1">
      <c r="A405" s="16" t="s">
        <v>913</v>
      </c>
      <c r="B405" s="15" t="s">
        <v>94</v>
      </c>
      <c r="C405" s="15" t="s">
        <v>26</v>
      </c>
      <c r="D405" s="15" t="s">
        <v>123</v>
      </c>
      <c r="E405" s="15" t="s">
        <v>1020</v>
      </c>
      <c r="F405" s="15" t="s">
        <v>910</v>
      </c>
      <c r="G405" s="69">
        <f>'прил 5,'!G974</f>
        <v>4524.1400000000003</v>
      </c>
      <c r="H405" s="69">
        <f>'прил 5,'!H974</f>
        <v>0</v>
      </c>
      <c r="I405" s="171"/>
      <c r="J405" s="191"/>
      <c r="K405" s="191"/>
      <c r="L405" s="191"/>
      <c r="M405" s="191"/>
      <c r="N405" s="191"/>
      <c r="O405" s="191"/>
      <c r="P405" s="191"/>
      <c r="Q405" s="191"/>
    </row>
    <row r="406" spans="1:19" s="18" customFormat="1" ht="38.25">
      <c r="A406" s="175" t="s">
        <v>874</v>
      </c>
      <c r="B406" s="15" t="s">
        <v>94</v>
      </c>
      <c r="C406" s="15" t="s">
        <v>26</v>
      </c>
      <c r="D406" s="15" t="s">
        <v>123</v>
      </c>
      <c r="E406" s="15" t="s">
        <v>873</v>
      </c>
      <c r="F406" s="15"/>
      <c r="G406" s="69">
        <f t="shared" ref="G406:H407" si="101">G407</f>
        <v>144825.46</v>
      </c>
      <c r="H406" s="69">
        <f t="shared" si="101"/>
        <v>137928</v>
      </c>
      <c r="I406" s="171"/>
      <c r="J406" s="191"/>
      <c r="K406" s="191"/>
      <c r="L406" s="191"/>
      <c r="M406" s="191"/>
      <c r="N406" s="191"/>
      <c r="O406" s="191"/>
      <c r="P406" s="191"/>
      <c r="Q406" s="191"/>
    </row>
    <row r="407" spans="1:19" s="18" customFormat="1">
      <c r="A407" s="16" t="s">
        <v>148</v>
      </c>
      <c r="B407" s="15" t="s">
        <v>94</v>
      </c>
      <c r="C407" s="15" t="s">
        <v>26</v>
      </c>
      <c r="D407" s="15" t="s">
        <v>123</v>
      </c>
      <c r="E407" s="15" t="s">
        <v>873</v>
      </c>
      <c r="F407" s="15" t="s">
        <v>149</v>
      </c>
      <c r="G407" s="69">
        <f t="shared" si="101"/>
        <v>144825.46</v>
      </c>
      <c r="H407" s="69">
        <f t="shared" si="101"/>
        <v>137928</v>
      </c>
      <c r="I407" s="171"/>
      <c r="J407" s="191"/>
      <c r="K407" s="191"/>
      <c r="L407" s="191"/>
      <c r="M407" s="191"/>
      <c r="N407" s="191"/>
      <c r="O407" s="191"/>
      <c r="P407" s="191"/>
      <c r="Q407" s="191"/>
    </row>
    <row r="408" spans="1:19" s="18" customFormat="1">
      <c r="A408" s="16" t="s">
        <v>913</v>
      </c>
      <c r="B408" s="15" t="s">
        <v>94</v>
      </c>
      <c r="C408" s="15" t="s">
        <v>26</v>
      </c>
      <c r="D408" s="15" t="s">
        <v>123</v>
      </c>
      <c r="E408" s="15" t="s">
        <v>873</v>
      </c>
      <c r="F408" s="15" t="s">
        <v>1120</v>
      </c>
      <c r="G408" s="69">
        <f>'прил 5,'!G977</f>
        <v>144825.46</v>
      </c>
      <c r="H408" s="69">
        <f>'прил 5,'!H977</f>
        <v>137928</v>
      </c>
      <c r="I408" s="69">
        <f>'прил 5,'!I977</f>
        <v>0</v>
      </c>
      <c r="J408" s="69">
        <f>'прил 5,'!J977</f>
        <v>0</v>
      </c>
      <c r="K408" s="69">
        <f>'прил 5,'!K977</f>
        <v>0</v>
      </c>
      <c r="L408" s="69">
        <f>'прил 5,'!L977</f>
        <v>0</v>
      </c>
      <c r="M408" s="69">
        <f>'прил 5,'!M977</f>
        <v>0</v>
      </c>
      <c r="N408" s="69">
        <f>'прил 5,'!N977</f>
        <v>0</v>
      </c>
      <c r="O408" s="191"/>
      <c r="P408" s="191"/>
      <c r="Q408" s="191"/>
    </row>
    <row r="409" spans="1:19" s="18" customFormat="1" ht="31.5" customHeight="1">
      <c r="A409" s="42" t="s">
        <v>125</v>
      </c>
      <c r="B409" s="15" t="s">
        <v>94</v>
      </c>
      <c r="C409" s="15" t="s">
        <v>26</v>
      </c>
      <c r="D409" s="15" t="s">
        <v>123</v>
      </c>
      <c r="E409" s="15" t="s">
        <v>226</v>
      </c>
      <c r="F409" s="15"/>
      <c r="G409" s="69">
        <f t="shared" ref="G409:H410" si="102">G410</f>
        <v>888490</v>
      </c>
      <c r="H409" s="69">
        <f t="shared" si="102"/>
        <v>726816.96</v>
      </c>
      <c r="I409" s="107">
        <v>40000</v>
      </c>
      <c r="O409" s="17"/>
      <c r="P409" s="17"/>
      <c r="Q409" s="17"/>
      <c r="R409" s="17"/>
      <c r="S409" s="17"/>
    </row>
    <row r="410" spans="1:19" s="18" customFormat="1" ht="25.5">
      <c r="A410" s="16" t="s">
        <v>30</v>
      </c>
      <c r="B410" s="15" t="s">
        <v>94</v>
      </c>
      <c r="C410" s="15" t="s">
        <v>26</v>
      </c>
      <c r="D410" s="15" t="s">
        <v>123</v>
      </c>
      <c r="E410" s="15" t="s">
        <v>226</v>
      </c>
      <c r="F410" s="15" t="s">
        <v>31</v>
      </c>
      <c r="G410" s="69">
        <f t="shared" si="102"/>
        <v>888490</v>
      </c>
      <c r="H410" s="69">
        <f t="shared" si="102"/>
        <v>726816.96</v>
      </c>
      <c r="I410" s="107">
        <v>5480300</v>
      </c>
      <c r="O410" s="17"/>
      <c r="P410" s="17"/>
      <c r="Q410" s="17"/>
      <c r="R410" s="17"/>
      <c r="S410" s="17"/>
    </row>
    <row r="411" spans="1:19">
      <c r="A411" s="16" t="s">
        <v>32</v>
      </c>
      <c r="B411" s="15" t="s">
        <v>94</v>
      </c>
      <c r="C411" s="15" t="s">
        <v>26</v>
      </c>
      <c r="D411" s="15" t="s">
        <v>123</v>
      </c>
      <c r="E411" s="15" t="s">
        <v>226</v>
      </c>
      <c r="F411" s="15" t="s">
        <v>33</v>
      </c>
      <c r="G411" s="69">
        <f>'прил 5,'!G487</f>
        <v>888490</v>
      </c>
      <c r="H411" s="69">
        <f>'прил 5,'!H487</f>
        <v>726816.96</v>
      </c>
      <c r="I411" s="107">
        <v>500000</v>
      </c>
    </row>
    <row r="412" spans="1:19" s="3" customFormat="1" hidden="1">
      <c r="A412" s="16"/>
      <c r="B412" s="14">
        <v>774</v>
      </c>
      <c r="C412" s="15" t="s">
        <v>26</v>
      </c>
      <c r="D412" s="15" t="s">
        <v>28</v>
      </c>
      <c r="E412" s="83"/>
      <c r="F412" s="15"/>
      <c r="G412" s="69">
        <f t="shared" ref="G412:H413" si="103">G413</f>
        <v>0</v>
      </c>
      <c r="H412" s="69">
        <f t="shared" si="103"/>
        <v>0</v>
      </c>
      <c r="I412" s="108"/>
      <c r="O412" s="108"/>
      <c r="P412" s="108"/>
      <c r="Q412" s="108"/>
      <c r="R412" s="108"/>
      <c r="S412" s="108"/>
    </row>
    <row r="413" spans="1:19" s="3" customFormat="1" ht="25.5" hidden="1">
      <c r="A413" s="16" t="s">
        <v>30</v>
      </c>
      <c r="B413" s="14">
        <v>774</v>
      </c>
      <c r="C413" s="15" t="s">
        <v>26</v>
      </c>
      <c r="D413" s="15" t="s">
        <v>28</v>
      </c>
      <c r="E413" s="15" t="s">
        <v>545</v>
      </c>
      <c r="F413" s="15" t="s">
        <v>31</v>
      </c>
      <c r="G413" s="69">
        <f t="shared" si="103"/>
        <v>0</v>
      </c>
      <c r="H413" s="86">
        <f t="shared" si="103"/>
        <v>0</v>
      </c>
      <c r="I413" s="108"/>
      <c r="O413" s="108"/>
      <c r="P413" s="108"/>
      <c r="Q413" s="108"/>
      <c r="R413" s="108"/>
      <c r="S413" s="108"/>
    </row>
    <row r="414" spans="1:19" s="3" customFormat="1" hidden="1">
      <c r="A414" s="16" t="s">
        <v>32</v>
      </c>
      <c r="B414" s="14">
        <v>774</v>
      </c>
      <c r="C414" s="15" t="s">
        <v>26</v>
      </c>
      <c r="D414" s="15" t="s">
        <v>28</v>
      </c>
      <c r="E414" s="15" t="s">
        <v>545</v>
      </c>
      <c r="F414" s="15" t="s">
        <v>33</v>
      </c>
      <c r="G414" s="69">
        <f>'прил 5,'!G615</f>
        <v>0</v>
      </c>
      <c r="H414" s="69">
        <f>'прил 5,'!H615</f>
        <v>0</v>
      </c>
      <c r="I414" s="108"/>
      <c r="O414" s="108"/>
      <c r="P414" s="108"/>
      <c r="Q414" s="108"/>
      <c r="R414" s="108"/>
      <c r="S414" s="108"/>
    </row>
    <row r="415" spans="1:19" s="18" customFormat="1" ht="63.75" hidden="1">
      <c r="A415" s="16" t="s">
        <v>121</v>
      </c>
      <c r="B415" s="15" t="s">
        <v>94</v>
      </c>
      <c r="C415" s="15" t="s">
        <v>26</v>
      </c>
      <c r="D415" s="15" t="s">
        <v>28</v>
      </c>
      <c r="E415" s="15" t="s">
        <v>386</v>
      </c>
      <c r="F415" s="15"/>
      <c r="G415" s="69">
        <f t="shared" ref="G415:H416" si="104">G416</f>
        <v>0</v>
      </c>
      <c r="H415" s="86">
        <f t="shared" si="104"/>
        <v>0</v>
      </c>
      <c r="I415" s="17">
        <v>12965665</v>
      </c>
      <c r="O415" s="17"/>
      <c r="P415" s="17"/>
      <c r="Q415" s="17"/>
      <c r="R415" s="17"/>
      <c r="S415" s="17"/>
    </row>
    <row r="416" spans="1:19" s="18" customFormat="1" ht="25.5" hidden="1">
      <c r="A416" s="16" t="s">
        <v>30</v>
      </c>
      <c r="B416" s="15" t="s">
        <v>94</v>
      </c>
      <c r="C416" s="15" t="s">
        <v>26</v>
      </c>
      <c r="D416" s="15" t="s">
        <v>28</v>
      </c>
      <c r="E416" s="15" t="s">
        <v>386</v>
      </c>
      <c r="F416" s="15" t="s">
        <v>31</v>
      </c>
      <c r="G416" s="69">
        <f t="shared" si="104"/>
        <v>0</v>
      </c>
      <c r="H416" s="86">
        <f t="shared" si="104"/>
        <v>0</v>
      </c>
      <c r="I416" s="17">
        <v>685206</v>
      </c>
      <c r="O416" s="17"/>
      <c r="P416" s="17"/>
      <c r="Q416" s="17"/>
      <c r="R416" s="17"/>
      <c r="S416" s="17"/>
    </row>
    <row r="417" spans="1:19" s="18" customFormat="1" hidden="1">
      <c r="A417" s="16" t="s">
        <v>32</v>
      </c>
      <c r="B417" s="15" t="s">
        <v>94</v>
      </c>
      <c r="C417" s="15" t="s">
        <v>26</v>
      </c>
      <c r="D417" s="15" t="s">
        <v>28</v>
      </c>
      <c r="E417" s="15" t="s">
        <v>386</v>
      </c>
      <c r="F417" s="15" t="s">
        <v>33</v>
      </c>
      <c r="G417" s="69"/>
      <c r="H417" s="86"/>
      <c r="I417" s="17">
        <v>649200</v>
      </c>
      <c r="O417" s="17"/>
      <c r="P417" s="17"/>
      <c r="Q417" s="17"/>
      <c r="R417" s="17"/>
      <c r="S417" s="17"/>
    </row>
    <row r="418" spans="1:19" s="3" customFormat="1" hidden="1">
      <c r="A418" s="16" t="s">
        <v>428</v>
      </c>
      <c r="B418" s="14">
        <v>774</v>
      </c>
      <c r="C418" s="15" t="s">
        <v>26</v>
      </c>
      <c r="D418" s="15" t="s">
        <v>28</v>
      </c>
      <c r="E418" s="15" t="s">
        <v>544</v>
      </c>
      <c r="F418" s="15"/>
      <c r="G418" s="69">
        <f>G419</f>
        <v>1803468</v>
      </c>
      <c r="H418" s="69">
        <f>H419</f>
        <v>0</v>
      </c>
      <c r="O418" s="108"/>
      <c r="P418" s="108"/>
      <c r="Q418" s="108"/>
      <c r="R418" s="108"/>
      <c r="S418" s="108"/>
    </row>
    <row r="419" spans="1:19" s="3" customFormat="1" hidden="1">
      <c r="A419" s="16" t="s">
        <v>32</v>
      </c>
      <c r="B419" s="14">
        <v>774</v>
      </c>
      <c r="C419" s="15" t="s">
        <v>26</v>
      </c>
      <c r="D419" s="15" t="s">
        <v>28</v>
      </c>
      <c r="E419" s="15" t="s">
        <v>544</v>
      </c>
      <c r="F419" s="15" t="s">
        <v>33</v>
      </c>
      <c r="G419" s="69">
        <f>'прил 5,'!G597</f>
        <v>1803468</v>
      </c>
      <c r="H419" s="69"/>
      <c r="O419" s="108"/>
      <c r="P419" s="108"/>
      <c r="Q419" s="108"/>
      <c r="R419" s="108"/>
      <c r="S419" s="108"/>
    </row>
    <row r="420" spans="1:19" ht="54.75" customHeight="1">
      <c r="A420" s="16" t="s">
        <v>686</v>
      </c>
      <c r="B420" s="15" t="s">
        <v>94</v>
      </c>
      <c r="C420" s="15" t="s">
        <v>26</v>
      </c>
      <c r="D420" s="15" t="s">
        <v>28</v>
      </c>
      <c r="E420" s="15" t="s">
        <v>642</v>
      </c>
      <c r="F420" s="15"/>
      <c r="G420" s="69">
        <f t="shared" ref="G420:H421" si="105">G421</f>
        <v>31110050</v>
      </c>
      <c r="H420" s="69">
        <f t="shared" si="105"/>
        <v>31110050</v>
      </c>
      <c r="I420" s="1"/>
    </row>
    <row r="421" spans="1:19" ht="25.5">
      <c r="A421" s="16" t="s">
        <v>30</v>
      </c>
      <c r="B421" s="15" t="s">
        <v>94</v>
      </c>
      <c r="C421" s="15" t="s">
        <v>26</v>
      </c>
      <c r="D421" s="15" t="s">
        <v>28</v>
      </c>
      <c r="E421" s="15" t="s">
        <v>642</v>
      </c>
      <c r="F421" s="15" t="s">
        <v>31</v>
      </c>
      <c r="G421" s="69">
        <f>G422</f>
        <v>31110050</v>
      </c>
      <c r="H421" s="69">
        <f t="shared" si="105"/>
        <v>31110050</v>
      </c>
      <c r="I421" s="1"/>
    </row>
    <row r="422" spans="1:19">
      <c r="A422" s="16" t="s">
        <v>32</v>
      </c>
      <c r="B422" s="15" t="s">
        <v>94</v>
      </c>
      <c r="C422" s="15" t="s">
        <v>26</v>
      </c>
      <c r="D422" s="15" t="s">
        <v>28</v>
      </c>
      <c r="E422" s="15" t="s">
        <v>642</v>
      </c>
      <c r="F422" s="15" t="s">
        <v>33</v>
      </c>
      <c r="G422" s="69">
        <f>'прил 5,'!G627</f>
        <v>31110050</v>
      </c>
      <c r="H422" s="69">
        <f>'прил 5,'!H627</f>
        <v>31110050</v>
      </c>
      <c r="I422" s="1"/>
    </row>
    <row r="423" spans="1:19" ht="63" hidden="1" customHeight="1">
      <c r="A423" s="16" t="s">
        <v>413</v>
      </c>
      <c r="B423" s="15" t="s">
        <v>94</v>
      </c>
      <c r="C423" s="15" t="s">
        <v>26</v>
      </c>
      <c r="D423" s="15" t="s">
        <v>28</v>
      </c>
      <c r="E423" s="15" t="s">
        <v>770</v>
      </c>
      <c r="F423" s="15"/>
      <c r="G423" s="69">
        <f t="shared" ref="G423:H423" si="106">G424</f>
        <v>0</v>
      </c>
      <c r="H423" s="69">
        <f t="shared" si="106"/>
        <v>0</v>
      </c>
      <c r="I423" s="1"/>
    </row>
    <row r="424" spans="1:19" ht="25.5" hidden="1">
      <c r="A424" s="16" t="s">
        <v>30</v>
      </c>
      <c r="B424" s="15" t="s">
        <v>94</v>
      </c>
      <c r="C424" s="15" t="s">
        <v>26</v>
      </c>
      <c r="D424" s="15" t="s">
        <v>28</v>
      </c>
      <c r="E424" s="15" t="s">
        <v>770</v>
      </c>
      <c r="F424" s="15" t="s">
        <v>31</v>
      </c>
      <c r="G424" s="69">
        <f>G425</f>
        <v>0</v>
      </c>
      <c r="H424" s="69">
        <f>H425</f>
        <v>0</v>
      </c>
      <c r="I424" s="1"/>
    </row>
    <row r="425" spans="1:19" hidden="1">
      <c r="A425" s="16" t="s">
        <v>32</v>
      </c>
      <c r="B425" s="15" t="s">
        <v>94</v>
      </c>
      <c r="C425" s="15" t="s">
        <v>26</v>
      </c>
      <c r="D425" s="15" t="s">
        <v>28</v>
      </c>
      <c r="E425" s="15" t="s">
        <v>770</v>
      </c>
      <c r="F425" s="15" t="s">
        <v>33</v>
      </c>
      <c r="G425" s="69"/>
      <c r="H425" s="69"/>
      <c r="I425" s="1"/>
    </row>
    <row r="426" spans="1:19" s="28" customFormat="1" ht="54.75" customHeight="1">
      <c r="A426" s="13" t="s">
        <v>154</v>
      </c>
      <c r="B426" s="15" t="s">
        <v>94</v>
      </c>
      <c r="C426" s="15" t="s">
        <v>69</v>
      </c>
      <c r="D426" s="15" t="s">
        <v>54</v>
      </c>
      <c r="E426" s="15" t="s">
        <v>435</v>
      </c>
      <c r="F426" s="39"/>
      <c r="G426" s="69">
        <f t="shared" ref="G426:H427" si="107">G427</f>
        <v>12666889.92</v>
      </c>
      <c r="H426" s="69">
        <f t="shared" si="107"/>
        <v>12666889.92</v>
      </c>
      <c r="I426" s="106">
        <v>9188400</v>
      </c>
      <c r="O426" s="106"/>
      <c r="P426" s="106"/>
      <c r="Q426" s="106"/>
      <c r="R426" s="106"/>
      <c r="S426" s="106"/>
    </row>
    <row r="427" spans="1:19" s="28" customFormat="1" ht="25.5">
      <c r="A427" s="16" t="s">
        <v>30</v>
      </c>
      <c r="B427" s="15" t="s">
        <v>94</v>
      </c>
      <c r="C427" s="15" t="s">
        <v>69</v>
      </c>
      <c r="D427" s="15" t="s">
        <v>54</v>
      </c>
      <c r="E427" s="15" t="s">
        <v>435</v>
      </c>
      <c r="F427" s="15" t="s">
        <v>31</v>
      </c>
      <c r="G427" s="69">
        <f t="shared" si="107"/>
        <v>12666889.92</v>
      </c>
      <c r="H427" s="69">
        <f t="shared" si="107"/>
        <v>12666889.92</v>
      </c>
      <c r="I427" s="106">
        <f>SUM(I323:I426)</f>
        <v>951066568</v>
      </c>
      <c r="O427" s="106"/>
      <c r="P427" s="106"/>
      <c r="Q427" s="106"/>
      <c r="R427" s="106"/>
      <c r="S427" s="106"/>
    </row>
    <row r="428" spans="1:19">
      <c r="A428" s="16" t="s">
        <v>32</v>
      </c>
      <c r="B428" s="15" t="s">
        <v>94</v>
      </c>
      <c r="C428" s="15" t="s">
        <v>69</v>
      </c>
      <c r="D428" s="15" t="s">
        <v>54</v>
      </c>
      <c r="E428" s="15" t="s">
        <v>435</v>
      </c>
      <c r="F428" s="15" t="s">
        <v>33</v>
      </c>
      <c r="G428" s="69">
        <f>'прил 5,'!G1014</f>
        <v>12666889.92</v>
      </c>
      <c r="H428" s="69">
        <f>'прил 5,'!H1014</f>
        <v>12666889.92</v>
      </c>
    </row>
    <row r="429" spans="1:19" s="28" customFormat="1" ht="54.75" hidden="1" customHeight="1">
      <c r="A429" s="13" t="s">
        <v>584</v>
      </c>
      <c r="B429" s="15" t="s">
        <v>94</v>
      </c>
      <c r="C429" s="15" t="s">
        <v>69</v>
      </c>
      <c r="D429" s="15" t="s">
        <v>54</v>
      </c>
      <c r="E429" s="15" t="s">
        <v>583</v>
      </c>
      <c r="F429" s="39"/>
      <c r="G429" s="69">
        <f t="shared" ref="G429:H430" si="108">G430</f>
        <v>0</v>
      </c>
      <c r="H429" s="69">
        <f t="shared" si="108"/>
        <v>0</v>
      </c>
      <c r="O429" s="106"/>
      <c r="P429" s="106"/>
      <c r="Q429" s="106"/>
      <c r="R429" s="106"/>
      <c r="S429" s="106"/>
    </row>
    <row r="430" spans="1:19" s="28" customFormat="1" ht="33" hidden="1" customHeight="1">
      <c r="A430" s="16" t="s">
        <v>30</v>
      </c>
      <c r="B430" s="15" t="s">
        <v>94</v>
      </c>
      <c r="C430" s="15" t="s">
        <v>69</v>
      </c>
      <c r="D430" s="15" t="s">
        <v>54</v>
      </c>
      <c r="E430" s="15" t="s">
        <v>583</v>
      </c>
      <c r="F430" s="15" t="s">
        <v>31</v>
      </c>
      <c r="G430" s="69">
        <f t="shared" si="108"/>
        <v>0</v>
      </c>
      <c r="H430" s="69">
        <f t="shared" si="108"/>
        <v>0</v>
      </c>
      <c r="O430" s="106"/>
      <c r="P430" s="106"/>
      <c r="Q430" s="106"/>
      <c r="R430" s="106"/>
      <c r="S430" s="106"/>
    </row>
    <row r="431" spans="1:19" hidden="1">
      <c r="A431" s="16" t="s">
        <v>32</v>
      </c>
      <c r="B431" s="15" t="s">
        <v>94</v>
      </c>
      <c r="C431" s="15" t="s">
        <v>69</v>
      </c>
      <c r="D431" s="15" t="s">
        <v>54</v>
      </c>
      <c r="E431" s="15" t="s">
        <v>583</v>
      </c>
      <c r="F431" s="15" t="s">
        <v>33</v>
      </c>
      <c r="G431" s="69"/>
      <c r="H431" s="69">
        <v>0</v>
      </c>
      <c r="I431" s="1"/>
    </row>
    <row r="432" spans="1:19" s="3" customFormat="1" ht="45" hidden="1" customHeight="1">
      <c r="A432" s="16" t="s">
        <v>735</v>
      </c>
      <c r="B432" s="14">
        <v>774</v>
      </c>
      <c r="C432" s="15" t="s">
        <v>26</v>
      </c>
      <c r="D432" s="15" t="s">
        <v>19</v>
      </c>
      <c r="E432" s="15" t="s">
        <v>721</v>
      </c>
      <c r="F432" s="15"/>
      <c r="G432" s="69">
        <f>G433</f>
        <v>0</v>
      </c>
      <c r="H432" s="69">
        <f>H433</f>
        <v>0</v>
      </c>
      <c r="O432" s="108"/>
      <c r="P432" s="108"/>
      <c r="Q432" s="108"/>
      <c r="R432" s="108"/>
      <c r="S432" s="108"/>
    </row>
    <row r="433" spans="1:19" s="3" customFormat="1" hidden="1">
      <c r="A433" s="16" t="s">
        <v>32</v>
      </c>
      <c r="B433" s="14">
        <v>774</v>
      </c>
      <c r="C433" s="15" t="s">
        <v>26</v>
      </c>
      <c r="D433" s="15" t="s">
        <v>19</v>
      </c>
      <c r="E433" s="15" t="s">
        <v>721</v>
      </c>
      <c r="F433" s="15" t="s">
        <v>33</v>
      </c>
      <c r="G433" s="69">
        <f>'прил 5,'!G492</f>
        <v>0</v>
      </c>
      <c r="H433" s="69">
        <f>'прил 5,'!H492</f>
        <v>0</v>
      </c>
      <c r="O433" s="108"/>
      <c r="P433" s="108"/>
      <c r="Q433" s="108"/>
      <c r="R433" s="108"/>
      <c r="S433" s="108"/>
    </row>
    <row r="434" spans="1:19" s="18" customFormat="1" ht="45.75" hidden="1" customHeight="1">
      <c r="A434" s="42"/>
      <c r="B434" s="15"/>
      <c r="C434" s="15"/>
      <c r="D434" s="15"/>
      <c r="E434" s="15"/>
      <c r="F434" s="15"/>
      <c r="G434" s="69"/>
      <c r="H434" s="69"/>
      <c r="O434" s="17"/>
      <c r="P434" s="17"/>
      <c r="Q434" s="17"/>
      <c r="R434" s="17"/>
      <c r="S434" s="17"/>
    </row>
    <row r="435" spans="1:19" s="18" customFormat="1" hidden="1">
      <c r="A435" s="16"/>
      <c r="B435" s="15"/>
      <c r="C435" s="15"/>
      <c r="D435" s="15"/>
      <c r="E435" s="15"/>
      <c r="F435" s="15"/>
      <c r="G435" s="69"/>
      <c r="H435" s="69"/>
      <c r="O435" s="17"/>
      <c r="P435" s="17"/>
      <c r="Q435" s="17"/>
      <c r="R435" s="17"/>
      <c r="S435" s="17"/>
    </row>
    <row r="436" spans="1:19" hidden="1">
      <c r="A436" s="16"/>
      <c r="B436" s="15"/>
      <c r="C436" s="15"/>
      <c r="D436" s="15"/>
      <c r="E436" s="15"/>
      <c r="F436" s="15"/>
      <c r="G436" s="69"/>
      <c r="H436" s="69"/>
      <c r="I436" s="1"/>
    </row>
    <row r="437" spans="1:19" s="18" customFormat="1" ht="42.75" hidden="1" customHeight="1">
      <c r="A437" s="42"/>
      <c r="B437" s="15"/>
      <c r="C437" s="15"/>
      <c r="D437" s="15"/>
      <c r="E437" s="15"/>
      <c r="F437" s="15"/>
      <c r="G437" s="69"/>
      <c r="H437" s="69"/>
      <c r="O437" s="17"/>
      <c r="P437" s="17"/>
      <c r="Q437" s="17"/>
      <c r="R437" s="17"/>
      <c r="S437" s="17"/>
    </row>
    <row r="438" spans="1:19" s="18" customFormat="1" hidden="1">
      <c r="A438" s="16"/>
      <c r="B438" s="15"/>
      <c r="C438" s="15"/>
      <c r="D438" s="15"/>
      <c r="E438" s="15"/>
      <c r="F438" s="15"/>
      <c r="G438" s="69"/>
      <c r="H438" s="69"/>
      <c r="O438" s="17"/>
      <c r="P438" s="17"/>
      <c r="Q438" s="17"/>
      <c r="R438" s="17"/>
      <c r="S438" s="17"/>
    </row>
    <row r="439" spans="1:19" hidden="1">
      <c r="A439" s="16"/>
      <c r="B439" s="15"/>
      <c r="C439" s="15"/>
      <c r="D439" s="15"/>
      <c r="E439" s="15"/>
      <c r="F439" s="15"/>
      <c r="G439" s="69"/>
      <c r="H439" s="69"/>
      <c r="I439" s="1"/>
    </row>
    <row r="440" spans="1:19" s="3" customFormat="1" ht="42.75" customHeight="1">
      <c r="A440" s="16" t="s">
        <v>734</v>
      </c>
      <c r="B440" s="14">
        <v>774</v>
      </c>
      <c r="C440" s="15" t="s">
        <v>26</v>
      </c>
      <c r="D440" s="15" t="s">
        <v>19</v>
      </c>
      <c r="E440" s="15" t="s">
        <v>721</v>
      </c>
      <c r="F440" s="15"/>
      <c r="G440" s="69">
        <f>G441</f>
        <v>101833</v>
      </c>
      <c r="H440" s="69">
        <f t="shared" ref="H440" si="109">H441</f>
        <v>64099.8</v>
      </c>
      <c r="O440" s="108"/>
      <c r="P440" s="108"/>
      <c r="Q440" s="108"/>
      <c r="R440" s="108"/>
      <c r="S440" s="108"/>
    </row>
    <row r="441" spans="1:19" s="18" customFormat="1" ht="89.25">
      <c r="A441" s="79" t="s">
        <v>371</v>
      </c>
      <c r="B441" s="15" t="s">
        <v>94</v>
      </c>
      <c r="C441" s="15" t="s">
        <v>26</v>
      </c>
      <c r="D441" s="15" t="s">
        <v>28</v>
      </c>
      <c r="E441" s="15" t="s">
        <v>660</v>
      </c>
      <c r="F441" s="15"/>
      <c r="G441" s="69">
        <f t="shared" ref="G441:H442" si="110">G442</f>
        <v>101833</v>
      </c>
      <c r="H441" s="69">
        <f t="shared" si="110"/>
        <v>64099.8</v>
      </c>
      <c r="O441" s="17"/>
      <c r="P441" s="17"/>
      <c r="Q441" s="17"/>
      <c r="R441" s="17"/>
      <c r="S441" s="17"/>
    </row>
    <row r="442" spans="1:19" s="18" customFormat="1" ht="25.5">
      <c r="A442" s="16" t="s">
        <v>30</v>
      </c>
      <c r="B442" s="15" t="s">
        <v>94</v>
      </c>
      <c r="C442" s="15" t="s">
        <v>26</v>
      </c>
      <c r="D442" s="15" t="s">
        <v>28</v>
      </c>
      <c r="E442" s="15" t="s">
        <v>660</v>
      </c>
      <c r="F442" s="15" t="s">
        <v>31</v>
      </c>
      <c r="G442" s="69">
        <f t="shared" si="110"/>
        <v>101833</v>
      </c>
      <c r="H442" s="69">
        <f t="shared" si="110"/>
        <v>64099.8</v>
      </c>
      <c r="O442" s="17"/>
      <c r="P442" s="17"/>
      <c r="Q442" s="17"/>
      <c r="R442" s="17"/>
      <c r="S442" s="17"/>
    </row>
    <row r="443" spans="1:19" s="18" customFormat="1">
      <c r="A443" s="16" t="s">
        <v>32</v>
      </c>
      <c r="B443" s="15" t="s">
        <v>94</v>
      </c>
      <c r="C443" s="15" t="s">
        <v>26</v>
      </c>
      <c r="D443" s="15" t="s">
        <v>28</v>
      </c>
      <c r="E443" s="15" t="s">
        <v>660</v>
      </c>
      <c r="F443" s="15" t="s">
        <v>33</v>
      </c>
      <c r="G443" s="69">
        <f>'прил 5,'!G612</f>
        <v>101833</v>
      </c>
      <c r="H443" s="69">
        <f>'прил 5,'!H612</f>
        <v>64099.8</v>
      </c>
      <c r="O443" s="17"/>
      <c r="P443" s="17"/>
      <c r="Q443" s="17"/>
      <c r="R443" s="17"/>
      <c r="S443" s="17"/>
    </row>
    <row r="444" spans="1:19" s="3" customFormat="1" ht="63.75" hidden="1">
      <c r="A444" s="16" t="s">
        <v>885</v>
      </c>
      <c r="B444" s="14">
        <v>774</v>
      </c>
      <c r="C444" s="15" t="s">
        <v>26</v>
      </c>
      <c r="D444" s="15" t="s">
        <v>28</v>
      </c>
      <c r="E444" s="15" t="s">
        <v>771</v>
      </c>
      <c r="F444" s="15"/>
      <c r="G444" s="69">
        <f>G446</f>
        <v>0</v>
      </c>
      <c r="H444" s="69">
        <f t="shared" ref="H444" si="111">H446</f>
        <v>0</v>
      </c>
      <c r="O444" s="108"/>
      <c r="P444" s="108"/>
      <c r="Q444" s="108"/>
      <c r="R444" s="108"/>
      <c r="S444" s="108"/>
    </row>
    <row r="445" spans="1:19" ht="25.5" hidden="1">
      <c r="A445" s="16" t="s">
        <v>30</v>
      </c>
      <c r="B445" s="15" t="s">
        <v>94</v>
      </c>
      <c r="C445" s="15" t="s">
        <v>26</v>
      </c>
      <c r="D445" s="15" t="s">
        <v>28</v>
      </c>
      <c r="E445" s="15" t="s">
        <v>771</v>
      </c>
      <c r="F445" s="15" t="s">
        <v>31</v>
      </c>
      <c r="G445" s="69">
        <f>G446</f>
        <v>0</v>
      </c>
      <c r="H445" s="69">
        <f t="shared" ref="H445" si="112">H446</f>
        <v>0</v>
      </c>
      <c r="I445" s="1"/>
    </row>
    <row r="446" spans="1:19" s="3" customFormat="1" hidden="1">
      <c r="A446" s="16" t="s">
        <v>32</v>
      </c>
      <c r="B446" s="14">
        <v>774</v>
      </c>
      <c r="C446" s="15" t="s">
        <v>26</v>
      </c>
      <c r="D446" s="15" t="s">
        <v>28</v>
      </c>
      <c r="E446" s="15" t="s">
        <v>771</v>
      </c>
      <c r="F446" s="15" t="s">
        <v>33</v>
      </c>
      <c r="G446" s="160"/>
      <c r="H446" s="69"/>
      <c r="O446" s="108"/>
      <c r="P446" s="108"/>
      <c r="Q446" s="108"/>
      <c r="R446" s="108"/>
      <c r="S446" s="108"/>
    </row>
    <row r="447" spans="1:19" s="3" customFormat="1" ht="25.5" hidden="1">
      <c r="A447" s="16" t="s">
        <v>669</v>
      </c>
      <c r="B447" s="14">
        <v>774</v>
      </c>
      <c r="C447" s="15" t="s">
        <v>26</v>
      </c>
      <c r="D447" s="15" t="s">
        <v>70</v>
      </c>
      <c r="E447" s="83" t="s">
        <v>713</v>
      </c>
      <c r="F447" s="15"/>
      <c r="G447" s="69">
        <f t="shared" ref="G447:H448" si="113">G448</f>
        <v>0</v>
      </c>
      <c r="H447" s="69">
        <f t="shared" si="113"/>
        <v>0</v>
      </c>
      <c r="O447" s="108"/>
      <c r="P447" s="108"/>
      <c r="Q447" s="108"/>
      <c r="R447" s="108"/>
      <c r="S447" s="108"/>
    </row>
    <row r="448" spans="1:19" s="3" customFormat="1" ht="25.5" hidden="1">
      <c r="A448" s="16" t="s">
        <v>30</v>
      </c>
      <c r="B448" s="14">
        <v>774</v>
      </c>
      <c r="C448" s="15" t="s">
        <v>26</v>
      </c>
      <c r="D448" s="15" t="s">
        <v>70</v>
      </c>
      <c r="E448" s="83" t="s">
        <v>713</v>
      </c>
      <c r="F448" s="15" t="s">
        <v>31</v>
      </c>
      <c r="G448" s="69">
        <f t="shared" si="113"/>
        <v>0</v>
      </c>
      <c r="H448" s="69">
        <f t="shared" si="113"/>
        <v>0</v>
      </c>
      <c r="O448" s="108"/>
      <c r="P448" s="108"/>
      <c r="Q448" s="108"/>
      <c r="R448" s="108"/>
      <c r="S448" s="108"/>
    </row>
    <row r="449" spans="1:19" s="3" customFormat="1" hidden="1">
      <c r="A449" s="16" t="s">
        <v>32</v>
      </c>
      <c r="B449" s="14">
        <v>774</v>
      </c>
      <c r="C449" s="15" t="s">
        <v>26</v>
      </c>
      <c r="D449" s="15" t="s">
        <v>70</v>
      </c>
      <c r="E449" s="83" t="s">
        <v>713</v>
      </c>
      <c r="F449" s="15" t="s">
        <v>33</v>
      </c>
      <c r="G449" s="69">
        <f>'прил 5,'!G810</f>
        <v>0</v>
      </c>
      <c r="H449" s="69">
        <v>0</v>
      </c>
      <c r="O449" s="108"/>
      <c r="P449" s="108"/>
      <c r="Q449" s="108"/>
      <c r="R449" s="108"/>
      <c r="S449" s="108"/>
    </row>
    <row r="450" spans="1:19" ht="39.75" customHeight="1">
      <c r="A450" s="16" t="s">
        <v>630</v>
      </c>
      <c r="B450" s="14">
        <v>774</v>
      </c>
      <c r="C450" s="15" t="s">
        <v>26</v>
      </c>
      <c r="D450" s="15" t="s">
        <v>70</v>
      </c>
      <c r="E450" s="15" t="s">
        <v>644</v>
      </c>
      <c r="F450" s="15"/>
      <c r="G450" s="69">
        <f>G451+G455</f>
        <v>3245713.93</v>
      </c>
      <c r="H450" s="69">
        <f t="shared" ref="H450:N450" si="114">H451+H455</f>
        <v>2950299.37</v>
      </c>
      <c r="I450" s="69">
        <f t="shared" si="114"/>
        <v>0</v>
      </c>
      <c r="J450" s="69">
        <f t="shared" si="114"/>
        <v>0</v>
      </c>
      <c r="K450" s="69">
        <f t="shared" si="114"/>
        <v>0</v>
      </c>
      <c r="L450" s="69">
        <f t="shared" si="114"/>
        <v>0</v>
      </c>
      <c r="M450" s="69">
        <f t="shared" si="114"/>
        <v>0</v>
      </c>
      <c r="N450" s="69">
        <f t="shared" si="114"/>
        <v>0</v>
      </c>
    </row>
    <row r="451" spans="1:19" ht="34.5" customHeight="1">
      <c r="A451" s="16" t="s">
        <v>30</v>
      </c>
      <c r="B451" s="14">
        <v>774</v>
      </c>
      <c r="C451" s="15" t="s">
        <v>26</v>
      </c>
      <c r="D451" s="15" t="s">
        <v>70</v>
      </c>
      <c r="E451" s="15" t="s">
        <v>644</v>
      </c>
      <c r="F451" s="15" t="s">
        <v>31</v>
      </c>
      <c r="G451" s="69">
        <f>G452+G453+G454</f>
        <v>3171860.29</v>
      </c>
      <c r="H451" s="69">
        <f t="shared" ref="H451" si="115">H452+H453+H454</f>
        <v>2950299.37</v>
      </c>
      <c r="I451" s="1"/>
    </row>
    <row r="452" spans="1:19" ht="15" customHeight="1">
      <c r="A452" s="16" t="s">
        <v>32</v>
      </c>
      <c r="B452" s="14">
        <v>774</v>
      </c>
      <c r="C452" s="15" t="s">
        <v>26</v>
      </c>
      <c r="D452" s="15" t="s">
        <v>70</v>
      </c>
      <c r="E452" s="15" t="s">
        <v>644</v>
      </c>
      <c r="F452" s="15" t="s">
        <v>33</v>
      </c>
      <c r="G452" s="69">
        <f>'прил 5,'!G822</f>
        <v>3024153.01</v>
      </c>
      <c r="H452" s="69">
        <f>'прил 5,'!H822</f>
        <v>2950299.37</v>
      </c>
      <c r="I452" s="1"/>
    </row>
    <row r="453" spans="1:19" ht="15" customHeight="1">
      <c r="A453" s="16" t="s">
        <v>629</v>
      </c>
      <c r="B453" s="14">
        <v>774</v>
      </c>
      <c r="C453" s="15" t="s">
        <v>26</v>
      </c>
      <c r="D453" s="15" t="s">
        <v>70</v>
      </c>
      <c r="E453" s="15" t="s">
        <v>644</v>
      </c>
      <c r="F453" s="15" t="s">
        <v>628</v>
      </c>
      <c r="G453" s="69">
        <f>'прил 5,'!G823</f>
        <v>73853.64</v>
      </c>
      <c r="H453" s="69">
        <f>'прил 5,'!H823</f>
        <v>0</v>
      </c>
      <c r="I453" s="1"/>
    </row>
    <row r="454" spans="1:19" ht="36" customHeight="1">
      <c r="A454" s="16" t="s">
        <v>9</v>
      </c>
      <c r="B454" s="14">
        <v>774</v>
      </c>
      <c r="C454" s="15" t="s">
        <v>26</v>
      </c>
      <c r="D454" s="15" t="s">
        <v>70</v>
      </c>
      <c r="E454" s="15" t="s">
        <v>644</v>
      </c>
      <c r="F454" s="15" t="s">
        <v>8</v>
      </c>
      <c r="G454" s="69">
        <f>'прил 5,'!G824</f>
        <v>73853.64</v>
      </c>
      <c r="H454" s="69">
        <f>'прил 5,'!H824</f>
        <v>0</v>
      </c>
      <c r="I454" s="1"/>
    </row>
    <row r="455" spans="1:19" ht="15" customHeight="1">
      <c r="A455" s="16" t="s">
        <v>63</v>
      </c>
      <c r="B455" s="14">
        <v>774</v>
      </c>
      <c r="C455" s="15" t="s">
        <v>26</v>
      </c>
      <c r="D455" s="15" t="s">
        <v>70</v>
      </c>
      <c r="E455" s="15" t="s">
        <v>644</v>
      </c>
      <c r="F455" s="15" t="s">
        <v>64</v>
      </c>
      <c r="G455" s="69">
        <f>G456</f>
        <v>73853.64</v>
      </c>
      <c r="H455" s="69">
        <f t="shared" ref="H455" si="116">H456</f>
        <v>0</v>
      </c>
      <c r="I455" s="1"/>
    </row>
    <row r="456" spans="1:19" ht="51.75" customHeight="1">
      <c r="A456" s="16" t="s">
        <v>431</v>
      </c>
      <c r="B456" s="14">
        <v>774</v>
      </c>
      <c r="C456" s="15" t="s">
        <v>26</v>
      </c>
      <c r="D456" s="15" t="s">
        <v>70</v>
      </c>
      <c r="E456" s="15" t="s">
        <v>644</v>
      </c>
      <c r="F456" s="15" t="s">
        <v>341</v>
      </c>
      <c r="G456" s="69">
        <f>'прил 5,'!G826</f>
        <v>73853.64</v>
      </c>
      <c r="H456" s="69">
        <f>'прил 5,'!H826</f>
        <v>0</v>
      </c>
      <c r="I456" s="1"/>
    </row>
    <row r="457" spans="1:19" s="3" customFormat="1" ht="78.75" hidden="1" customHeight="1">
      <c r="A457" s="16" t="s">
        <v>732</v>
      </c>
      <c r="B457" s="14">
        <v>774</v>
      </c>
      <c r="C457" s="15" t="s">
        <v>26</v>
      </c>
      <c r="D457" s="15" t="s">
        <v>28</v>
      </c>
      <c r="E457" s="15" t="s">
        <v>703</v>
      </c>
      <c r="F457" s="15"/>
      <c r="G457" s="69">
        <f>G459</f>
        <v>0</v>
      </c>
      <c r="H457" s="69">
        <f>H459</f>
        <v>0</v>
      </c>
      <c r="O457" s="108"/>
      <c r="P457" s="108"/>
      <c r="Q457" s="108"/>
      <c r="R457" s="108"/>
      <c r="S457" s="108"/>
    </row>
    <row r="458" spans="1:19" ht="25.5" hidden="1">
      <c r="A458" s="16" t="s">
        <v>96</v>
      </c>
      <c r="B458" s="15" t="s">
        <v>94</v>
      </c>
      <c r="C458" s="15" t="s">
        <v>26</v>
      </c>
      <c r="D458" s="15" t="s">
        <v>28</v>
      </c>
      <c r="E458" s="15" t="s">
        <v>703</v>
      </c>
      <c r="F458" s="15" t="s">
        <v>348</v>
      </c>
      <c r="G458" s="69">
        <f>G459</f>
        <v>0</v>
      </c>
      <c r="H458" s="69">
        <f>H459</f>
        <v>0</v>
      </c>
      <c r="I458" s="1"/>
    </row>
    <row r="459" spans="1:19" s="3" customFormat="1" ht="89.25" hidden="1">
      <c r="A459" s="16" t="s">
        <v>419</v>
      </c>
      <c r="B459" s="14">
        <v>774</v>
      </c>
      <c r="C459" s="15" t="s">
        <v>26</v>
      </c>
      <c r="D459" s="15" t="s">
        <v>28</v>
      </c>
      <c r="E459" s="15" t="s">
        <v>703</v>
      </c>
      <c r="F459" s="15" t="s">
        <v>418</v>
      </c>
      <c r="G459" s="69"/>
      <c r="H459" s="69"/>
      <c r="O459" s="108"/>
      <c r="P459" s="108"/>
      <c r="Q459" s="108"/>
      <c r="R459" s="108"/>
      <c r="S459" s="108"/>
    </row>
    <row r="460" spans="1:19" s="3" customFormat="1" ht="25.5" hidden="1">
      <c r="A460" s="16" t="s">
        <v>705</v>
      </c>
      <c r="B460" s="14">
        <v>774</v>
      </c>
      <c r="C460" s="15" t="s">
        <v>26</v>
      </c>
      <c r="D460" s="15" t="s">
        <v>28</v>
      </c>
      <c r="E460" s="15" t="s">
        <v>704</v>
      </c>
      <c r="F460" s="15"/>
      <c r="G460" s="69">
        <f>G462</f>
        <v>0</v>
      </c>
      <c r="H460" s="69">
        <f>H462</f>
        <v>0</v>
      </c>
      <c r="O460" s="108"/>
      <c r="P460" s="108"/>
      <c r="Q460" s="108"/>
      <c r="R460" s="108"/>
      <c r="S460" s="108"/>
    </row>
    <row r="461" spans="1:19" ht="25.5" hidden="1">
      <c r="A461" s="16" t="s">
        <v>96</v>
      </c>
      <c r="B461" s="15" t="s">
        <v>94</v>
      </c>
      <c r="C461" s="15" t="s">
        <v>26</v>
      </c>
      <c r="D461" s="15" t="s">
        <v>28</v>
      </c>
      <c r="E461" s="15" t="s">
        <v>704</v>
      </c>
      <c r="F461" s="15" t="s">
        <v>348</v>
      </c>
      <c r="G461" s="69">
        <f>G462</f>
        <v>0</v>
      </c>
      <c r="H461" s="69">
        <f>H462</f>
        <v>0</v>
      </c>
      <c r="I461" s="1"/>
    </row>
    <row r="462" spans="1:19" s="3" customFormat="1" ht="89.25" hidden="1">
      <c r="A462" s="16" t="s">
        <v>419</v>
      </c>
      <c r="B462" s="14">
        <v>774</v>
      </c>
      <c r="C462" s="15" t="s">
        <v>26</v>
      </c>
      <c r="D462" s="15" t="s">
        <v>28</v>
      </c>
      <c r="E462" s="15" t="s">
        <v>704</v>
      </c>
      <c r="F462" s="15" t="s">
        <v>418</v>
      </c>
      <c r="G462" s="69"/>
      <c r="H462" s="69"/>
      <c r="O462" s="108"/>
      <c r="P462" s="108"/>
      <c r="Q462" s="108"/>
      <c r="R462" s="108"/>
      <c r="S462" s="108"/>
    </row>
    <row r="463" spans="1:19" s="18" customFormat="1" ht="53.25" hidden="1" customHeight="1">
      <c r="A463" s="16" t="s">
        <v>646</v>
      </c>
      <c r="B463" s="15" t="s">
        <v>94</v>
      </c>
      <c r="C463" s="15" t="s">
        <v>26</v>
      </c>
      <c r="D463" s="15" t="s">
        <v>70</v>
      </c>
      <c r="E463" s="15" t="s">
        <v>645</v>
      </c>
      <c r="F463" s="15"/>
      <c r="G463" s="69">
        <f t="shared" ref="G463:H464" si="117">G464</f>
        <v>0</v>
      </c>
      <c r="H463" s="69">
        <f t="shared" si="117"/>
        <v>0</v>
      </c>
      <c r="O463" s="17"/>
      <c r="P463" s="17"/>
      <c r="Q463" s="17"/>
      <c r="R463" s="17"/>
      <c r="S463" s="17"/>
    </row>
    <row r="464" spans="1:19" s="18" customFormat="1" ht="25.5" hidden="1">
      <c r="A464" s="16" t="s">
        <v>30</v>
      </c>
      <c r="B464" s="15" t="s">
        <v>94</v>
      </c>
      <c r="C464" s="15" t="s">
        <v>26</v>
      </c>
      <c r="D464" s="15" t="s">
        <v>70</v>
      </c>
      <c r="E464" s="15" t="s">
        <v>645</v>
      </c>
      <c r="F464" s="15" t="s">
        <v>31</v>
      </c>
      <c r="G464" s="69">
        <f t="shared" si="117"/>
        <v>0</v>
      </c>
      <c r="H464" s="69">
        <f t="shared" si="117"/>
        <v>0</v>
      </c>
      <c r="O464" s="17"/>
      <c r="P464" s="17"/>
      <c r="Q464" s="17"/>
      <c r="R464" s="17"/>
      <c r="S464" s="17"/>
    </row>
    <row r="465" spans="1:19" s="18" customFormat="1" hidden="1">
      <c r="A465" s="16" t="s">
        <v>32</v>
      </c>
      <c r="B465" s="15" t="s">
        <v>94</v>
      </c>
      <c r="C465" s="15" t="s">
        <v>26</v>
      </c>
      <c r="D465" s="15" t="s">
        <v>70</v>
      </c>
      <c r="E465" s="15" t="s">
        <v>645</v>
      </c>
      <c r="F465" s="15" t="s">
        <v>33</v>
      </c>
      <c r="G465" s="69">
        <f>'прил 5,'!G819</f>
        <v>0</v>
      </c>
      <c r="H465" s="69"/>
      <c r="O465" s="17"/>
      <c r="P465" s="17"/>
      <c r="Q465" s="17"/>
      <c r="R465" s="17"/>
      <c r="S465" s="17"/>
    </row>
    <row r="466" spans="1:19" s="3" customFormat="1" ht="52.5" hidden="1" customHeight="1">
      <c r="A466" s="16" t="s">
        <v>413</v>
      </c>
      <c r="B466" s="14">
        <v>774</v>
      </c>
      <c r="C466" s="15" t="s">
        <v>26</v>
      </c>
      <c r="D466" s="15" t="s">
        <v>28</v>
      </c>
      <c r="E466" s="15" t="s">
        <v>608</v>
      </c>
      <c r="F466" s="15"/>
      <c r="G466" s="69">
        <f t="shared" ref="G466:H467" si="118">G467</f>
        <v>0</v>
      </c>
      <c r="H466" s="69">
        <f t="shared" si="118"/>
        <v>0</v>
      </c>
      <c r="O466" s="108"/>
      <c r="P466" s="108"/>
      <c r="Q466" s="108"/>
      <c r="R466" s="108"/>
      <c r="S466" s="108"/>
    </row>
    <row r="467" spans="1:19" s="3" customFormat="1" ht="25.5" hidden="1">
      <c r="A467" s="16" t="s">
        <v>30</v>
      </c>
      <c r="B467" s="14">
        <v>774</v>
      </c>
      <c r="C467" s="15" t="s">
        <v>26</v>
      </c>
      <c r="D467" s="15" t="s">
        <v>28</v>
      </c>
      <c r="E467" s="15" t="s">
        <v>608</v>
      </c>
      <c r="F467" s="15" t="s">
        <v>31</v>
      </c>
      <c r="G467" s="69">
        <f t="shared" si="118"/>
        <v>0</v>
      </c>
      <c r="H467" s="69">
        <f t="shared" si="118"/>
        <v>0</v>
      </c>
      <c r="O467" s="108"/>
      <c r="P467" s="108"/>
      <c r="Q467" s="108"/>
      <c r="R467" s="108"/>
      <c r="S467" s="108"/>
    </row>
    <row r="468" spans="1:19" s="3" customFormat="1" hidden="1">
      <c r="A468" s="16" t="s">
        <v>32</v>
      </c>
      <c r="B468" s="14">
        <v>774</v>
      </c>
      <c r="C468" s="15" t="s">
        <v>26</v>
      </c>
      <c r="D468" s="15" t="s">
        <v>28</v>
      </c>
      <c r="E468" s="15" t="s">
        <v>608</v>
      </c>
      <c r="F468" s="15" t="s">
        <v>33</v>
      </c>
      <c r="G468" s="69">
        <f>'прил 5,'!G618</f>
        <v>0</v>
      </c>
      <c r="H468" s="69">
        <v>0</v>
      </c>
      <c r="O468" s="108"/>
      <c r="P468" s="108"/>
      <c r="Q468" s="108"/>
      <c r="R468" s="108"/>
      <c r="S468" s="108"/>
    </row>
    <row r="469" spans="1:19" s="28" customFormat="1" ht="61.5" hidden="1" customHeight="1">
      <c r="A469" s="13" t="s">
        <v>650</v>
      </c>
      <c r="B469" s="15" t="s">
        <v>94</v>
      </c>
      <c r="C469" s="15" t="s">
        <v>69</v>
      </c>
      <c r="D469" s="15" t="s">
        <v>54</v>
      </c>
      <c r="E469" s="15" t="s">
        <v>649</v>
      </c>
      <c r="F469" s="39"/>
      <c r="G469" s="69">
        <f t="shared" ref="G469:H470" si="119">G470</f>
        <v>172005</v>
      </c>
      <c r="H469" s="69">
        <f t="shared" si="119"/>
        <v>165370</v>
      </c>
      <c r="O469" s="106"/>
      <c r="P469" s="106"/>
      <c r="Q469" s="106"/>
      <c r="R469" s="106"/>
      <c r="S469" s="106"/>
    </row>
    <row r="470" spans="1:19" s="28" customFormat="1" ht="25.5" hidden="1">
      <c r="A470" s="16" t="s">
        <v>30</v>
      </c>
      <c r="B470" s="15" t="s">
        <v>94</v>
      </c>
      <c r="C470" s="15" t="s">
        <v>69</v>
      </c>
      <c r="D470" s="15" t="s">
        <v>54</v>
      </c>
      <c r="E470" s="15" t="s">
        <v>649</v>
      </c>
      <c r="F470" s="15" t="s">
        <v>31</v>
      </c>
      <c r="G470" s="69">
        <f t="shared" si="119"/>
        <v>172005</v>
      </c>
      <c r="H470" s="69">
        <f t="shared" si="119"/>
        <v>165370</v>
      </c>
      <c r="O470" s="106"/>
      <c r="P470" s="106"/>
      <c r="Q470" s="106"/>
      <c r="R470" s="106"/>
      <c r="S470" s="106"/>
    </row>
    <row r="471" spans="1:19" hidden="1">
      <c r="A471" s="16" t="s">
        <v>32</v>
      </c>
      <c r="B471" s="15" t="s">
        <v>94</v>
      </c>
      <c r="C471" s="15" t="s">
        <v>69</v>
      </c>
      <c r="D471" s="15" t="s">
        <v>54</v>
      </c>
      <c r="E471" s="15" t="s">
        <v>649</v>
      </c>
      <c r="F471" s="15" t="s">
        <v>33</v>
      </c>
      <c r="G471" s="69">
        <f>'прил 5,'!G1017</f>
        <v>172005</v>
      </c>
      <c r="H471" s="69">
        <f>'прил 5,'!H1017</f>
        <v>165370</v>
      </c>
      <c r="I471" s="1"/>
    </row>
    <row r="472" spans="1:19" s="28" customFormat="1" ht="61.5" customHeight="1">
      <c r="A472" s="13" t="s">
        <v>690</v>
      </c>
      <c r="B472" s="15" t="s">
        <v>94</v>
      </c>
      <c r="C472" s="15" t="s">
        <v>69</v>
      </c>
      <c r="D472" s="15" t="s">
        <v>54</v>
      </c>
      <c r="E472" s="15" t="s">
        <v>689</v>
      </c>
      <c r="F472" s="39"/>
      <c r="G472" s="69">
        <f t="shared" ref="G472:H473" si="120">G473</f>
        <v>16514372.369999999</v>
      </c>
      <c r="H472" s="69">
        <f t="shared" si="120"/>
        <v>16512802.970000001</v>
      </c>
      <c r="O472" s="106"/>
      <c r="P472" s="106"/>
      <c r="Q472" s="106"/>
      <c r="R472" s="106"/>
      <c r="S472" s="106"/>
    </row>
    <row r="473" spans="1:19" s="28" customFormat="1" ht="25.5">
      <c r="A473" s="16" t="s">
        <v>30</v>
      </c>
      <c r="B473" s="15" t="s">
        <v>94</v>
      </c>
      <c r="C473" s="15" t="s">
        <v>69</v>
      </c>
      <c r="D473" s="15" t="s">
        <v>54</v>
      </c>
      <c r="E473" s="15" t="s">
        <v>689</v>
      </c>
      <c r="F473" s="15" t="s">
        <v>31</v>
      </c>
      <c r="G473" s="69">
        <f t="shared" si="120"/>
        <v>16514372.369999999</v>
      </c>
      <c r="H473" s="69">
        <f t="shared" si="120"/>
        <v>16512802.970000001</v>
      </c>
      <c r="O473" s="106"/>
      <c r="P473" s="106"/>
      <c r="Q473" s="106"/>
      <c r="R473" s="106"/>
      <c r="S473" s="106"/>
    </row>
    <row r="474" spans="1:19">
      <c r="A474" s="16" t="s">
        <v>32</v>
      </c>
      <c r="B474" s="15" t="s">
        <v>94</v>
      </c>
      <c r="C474" s="15" t="s">
        <v>69</v>
      </c>
      <c r="D474" s="15" t="s">
        <v>54</v>
      </c>
      <c r="E474" s="15" t="s">
        <v>689</v>
      </c>
      <c r="F474" s="15" t="s">
        <v>33</v>
      </c>
      <c r="G474" s="69">
        <f>'прил 5,'!G1020</f>
        <v>16514372.369999999</v>
      </c>
      <c r="H474" s="69">
        <f>'прил 5,'!H1020</f>
        <v>16512802.970000001</v>
      </c>
      <c r="I474" s="1"/>
    </row>
    <row r="475" spans="1:19" s="3" customFormat="1">
      <c r="A475" s="16" t="s">
        <v>881</v>
      </c>
      <c r="B475" s="14">
        <v>774</v>
      </c>
      <c r="C475" s="15" t="s">
        <v>26</v>
      </c>
      <c r="D475" s="15" t="s">
        <v>28</v>
      </c>
      <c r="E475" s="83" t="s">
        <v>928</v>
      </c>
      <c r="F475" s="15"/>
      <c r="G475" s="69">
        <f t="shared" ref="G475:H476" si="121">G476</f>
        <v>0</v>
      </c>
      <c r="H475" s="69">
        <f t="shared" si="121"/>
        <v>0</v>
      </c>
      <c r="O475" s="108"/>
      <c r="P475" s="108"/>
      <c r="Q475" s="108"/>
      <c r="R475" s="108"/>
      <c r="S475" s="108"/>
    </row>
    <row r="476" spans="1:19" s="3" customFormat="1" ht="25.5">
      <c r="A476" s="16" t="s">
        <v>30</v>
      </c>
      <c r="B476" s="14">
        <v>774</v>
      </c>
      <c r="C476" s="15" t="s">
        <v>26</v>
      </c>
      <c r="D476" s="15" t="s">
        <v>28</v>
      </c>
      <c r="E476" s="83" t="s">
        <v>928</v>
      </c>
      <c r="F476" s="15" t="s">
        <v>31</v>
      </c>
      <c r="G476" s="69">
        <f t="shared" si="121"/>
        <v>0</v>
      </c>
      <c r="H476" s="69">
        <f t="shared" si="121"/>
        <v>0</v>
      </c>
      <c r="O476" s="108"/>
      <c r="P476" s="108"/>
      <c r="Q476" s="108"/>
      <c r="R476" s="108"/>
      <c r="S476" s="108"/>
    </row>
    <row r="477" spans="1:19" s="3" customFormat="1">
      <c r="A477" s="81" t="s">
        <v>32</v>
      </c>
      <c r="B477" s="14">
        <v>774</v>
      </c>
      <c r="C477" s="15" t="s">
        <v>26</v>
      </c>
      <c r="D477" s="15" t="s">
        <v>28</v>
      </c>
      <c r="E477" s="83" t="s">
        <v>928</v>
      </c>
      <c r="F477" s="15" t="s">
        <v>33</v>
      </c>
      <c r="G477" s="69">
        <f>'прил 5,'!G630</f>
        <v>0</v>
      </c>
      <c r="H477" s="69">
        <f>'прил 5,'!H630</f>
        <v>0</v>
      </c>
      <c r="O477" s="108"/>
      <c r="P477" s="108"/>
      <c r="Q477" s="108"/>
      <c r="R477" s="108"/>
      <c r="S477" s="108"/>
    </row>
    <row r="478" spans="1:19" ht="46.5" hidden="1" customHeight="1">
      <c r="A478" s="16" t="s">
        <v>712</v>
      </c>
      <c r="B478" s="15" t="s">
        <v>94</v>
      </c>
      <c r="C478" s="15" t="s">
        <v>26</v>
      </c>
      <c r="D478" s="15" t="s">
        <v>28</v>
      </c>
      <c r="E478" s="15" t="s">
        <v>711</v>
      </c>
      <c r="F478" s="15"/>
      <c r="G478" s="69">
        <f t="shared" ref="G478:H478" si="122">G479</f>
        <v>0</v>
      </c>
      <c r="H478" s="69">
        <f t="shared" si="122"/>
        <v>0</v>
      </c>
      <c r="I478" s="1"/>
    </row>
    <row r="479" spans="1:19" ht="39.75" hidden="1" customHeight="1">
      <c r="A479" s="16" t="s">
        <v>96</v>
      </c>
      <c r="B479" s="15" t="s">
        <v>94</v>
      </c>
      <c r="C479" s="15" t="s">
        <v>26</v>
      </c>
      <c r="D479" s="15" t="s">
        <v>28</v>
      </c>
      <c r="E479" s="15" t="s">
        <v>711</v>
      </c>
      <c r="F479" s="15" t="s">
        <v>31</v>
      </c>
      <c r="G479" s="69">
        <f>G480</f>
        <v>0</v>
      </c>
      <c r="H479" s="69">
        <f>H480</f>
        <v>0</v>
      </c>
      <c r="I479" s="1"/>
    </row>
    <row r="480" spans="1:19" ht="46.5" hidden="1" customHeight="1">
      <c r="A480" s="16" t="s">
        <v>419</v>
      </c>
      <c r="B480" s="15" t="s">
        <v>94</v>
      </c>
      <c r="C480" s="15" t="s">
        <v>26</v>
      </c>
      <c r="D480" s="15" t="s">
        <v>28</v>
      </c>
      <c r="E480" s="15" t="s">
        <v>711</v>
      </c>
      <c r="F480" s="15" t="s">
        <v>33</v>
      </c>
      <c r="G480" s="69">
        <f>'прил 5,'!G633</f>
        <v>0</v>
      </c>
      <c r="H480" s="69">
        <v>0</v>
      </c>
      <c r="I480" s="1"/>
    </row>
    <row r="481" spans="1:19" ht="57" hidden="1" customHeight="1">
      <c r="A481" s="16" t="s">
        <v>688</v>
      </c>
      <c r="B481" s="15" t="s">
        <v>94</v>
      </c>
      <c r="C481" s="15" t="s">
        <v>26</v>
      </c>
      <c r="D481" s="15" t="s">
        <v>28</v>
      </c>
      <c r="E481" s="15" t="s">
        <v>687</v>
      </c>
      <c r="F481" s="15"/>
      <c r="G481" s="69">
        <f t="shared" ref="G481:H481" si="123">G482</f>
        <v>0</v>
      </c>
      <c r="H481" s="69">
        <f t="shared" si="123"/>
        <v>0</v>
      </c>
      <c r="I481" s="1"/>
    </row>
    <row r="482" spans="1:19" ht="25.5" hidden="1">
      <c r="A482" s="16" t="s">
        <v>96</v>
      </c>
      <c r="B482" s="15" t="s">
        <v>94</v>
      </c>
      <c r="C482" s="15" t="s">
        <v>26</v>
      </c>
      <c r="D482" s="15" t="s">
        <v>28</v>
      </c>
      <c r="E482" s="15" t="s">
        <v>687</v>
      </c>
      <c r="F482" s="15" t="s">
        <v>348</v>
      </c>
      <c r="G482" s="69">
        <f>G483</f>
        <v>0</v>
      </c>
      <c r="H482" s="69">
        <f>H483</f>
        <v>0</v>
      </c>
      <c r="I482" s="1"/>
    </row>
    <row r="483" spans="1:19" ht="89.25" hidden="1">
      <c r="A483" s="16" t="s">
        <v>419</v>
      </c>
      <c r="B483" s="15" t="s">
        <v>94</v>
      </c>
      <c r="C483" s="15" t="s">
        <v>26</v>
      </c>
      <c r="D483" s="15" t="s">
        <v>28</v>
      </c>
      <c r="E483" s="15" t="s">
        <v>687</v>
      </c>
      <c r="F483" s="15" t="s">
        <v>418</v>
      </c>
      <c r="G483" s="69"/>
      <c r="H483" s="69"/>
      <c r="I483" s="1"/>
    </row>
    <row r="484" spans="1:19" s="18" customFormat="1" ht="38.25" hidden="1">
      <c r="A484" s="79" t="s">
        <v>874</v>
      </c>
      <c r="B484" s="15" t="s">
        <v>94</v>
      </c>
      <c r="C484" s="15" t="s">
        <v>26</v>
      </c>
      <c r="D484" s="15" t="s">
        <v>28</v>
      </c>
      <c r="E484" s="15" t="s">
        <v>873</v>
      </c>
      <c r="F484" s="15"/>
      <c r="G484" s="69">
        <f t="shared" ref="G484:H485" si="124">G485</f>
        <v>0</v>
      </c>
      <c r="H484" s="69">
        <f t="shared" si="124"/>
        <v>0</v>
      </c>
      <c r="O484" s="17"/>
      <c r="P484" s="17"/>
      <c r="Q484" s="17"/>
      <c r="R484" s="17"/>
      <c r="S484" s="17"/>
    </row>
    <row r="485" spans="1:19" s="18" customFormat="1" ht="25.5" hidden="1">
      <c r="A485" s="16" t="s">
        <v>36</v>
      </c>
      <c r="B485" s="15" t="s">
        <v>94</v>
      </c>
      <c r="C485" s="15" t="s">
        <v>26</v>
      </c>
      <c r="D485" s="15" t="s">
        <v>28</v>
      </c>
      <c r="E485" s="15" t="s">
        <v>873</v>
      </c>
      <c r="F485" s="15" t="s">
        <v>37</v>
      </c>
      <c r="G485" s="69">
        <f t="shared" si="124"/>
        <v>0</v>
      </c>
      <c r="H485" s="69">
        <f t="shared" si="124"/>
        <v>0</v>
      </c>
      <c r="O485" s="17"/>
      <c r="P485" s="17"/>
      <c r="Q485" s="17"/>
      <c r="R485" s="17"/>
      <c r="S485" s="17"/>
    </row>
    <row r="486" spans="1:19" s="18" customFormat="1" ht="25.5" hidden="1">
      <c r="A486" s="16" t="s">
        <v>38</v>
      </c>
      <c r="B486" s="15" t="s">
        <v>94</v>
      </c>
      <c r="C486" s="15" t="s">
        <v>26</v>
      </c>
      <c r="D486" s="15" t="s">
        <v>28</v>
      </c>
      <c r="E486" s="15" t="s">
        <v>873</v>
      </c>
      <c r="F486" s="15" t="s">
        <v>39</v>
      </c>
      <c r="G486" s="69"/>
      <c r="H486" s="69">
        <f>'прил 5,'!H967</f>
        <v>0</v>
      </c>
      <c r="O486" s="17"/>
      <c r="P486" s="17"/>
      <c r="Q486" s="17"/>
      <c r="R486" s="17"/>
      <c r="S486" s="17"/>
    </row>
    <row r="487" spans="1:19" ht="25.5">
      <c r="A487" s="16" t="s">
        <v>0</v>
      </c>
      <c r="B487" s="14">
        <v>774</v>
      </c>
      <c r="C487" s="15" t="s">
        <v>26</v>
      </c>
      <c r="D487" s="15" t="s">
        <v>28</v>
      </c>
      <c r="E487" s="15" t="s">
        <v>218</v>
      </c>
      <c r="F487" s="15"/>
      <c r="G487" s="8">
        <f>G498+G519+G529+G574+G585+G588+G530+G535+G538+G577+G488+G521+G505+G580+G511+G514+G539+G545+G499+G502+G524+G491+G542+G548+G551+G494+G554+G557+G560+G563+G566+G571+G508</f>
        <v>175908008.94999999</v>
      </c>
      <c r="H487" s="8">
        <f>H498+H519+H529+H574+H585+H588+H530+H535+H538+H577+H488+H521+H505+H580+H511+H514+H539+H545+H499+H502+H524+H491+H542+H548+H551+H494+H554+H557+H560+H563+H566+H571+H508</f>
        <v>175383008.94999999</v>
      </c>
      <c r="I487" s="1"/>
    </row>
    <row r="488" spans="1:19" ht="31.5" customHeight="1">
      <c r="A488" s="16" t="s">
        <v>942</v>
      </c>
      <c r="B488" s="15" t="s">
        <v>94</v>
      </c>
      <c r="C488" s="15" t="s">
        <v>26</v>
      </c>
      <c r="D488" s="15" t="s">
        <v>28</v>
      </c>
      <c r="E488" s="15" t="s">
        <v>941</v>
      </c>
      <c r="F488" s="15"/>
      <c r="G488" s="69">
        <f t="shared" ref="G488:H489" si="125">G489</f>
        <v>7405372.8799999999</v>
      </c>
      <c r="H488" s="69">
        <f t="shared" si="125"/>
        <v>7405372.8799999999</v>
      </c>
      <c r="I488" s="1"/>
    </row>
    <row r="489" spans="1:19" ht="25.5">
      <c r="A489" s="16" t="s">
        <v>30</v>
      </c>
      <c r="B489" s="15" t="s">
        <v>94</v>
      </c>
      <c r="C489" s="15" t="s">
        <v>26</v>
      </c>
      <c r="D489" s="15" t="s">
        <v>28</v>
      </c>
      <c r="E489" s="15" t="s">
        <v>941</v>
      </c>
      <c r="F489" s="15" t="s">
        <v>31</v>
      </c>
      <c r="G489" s="69">
        <f t="shared" si="125"/>
        <v>7405372.8799999999</v>
      </c>
      <c r="H489" s="69">
        <f t="shared" si="125"/>
        <v>7405372.8799999999</v>
      </c>
      <c r="I489" s="1"/>
    </row>
    <row r="490" spans="1:19">
      <c r="A490" s="16" t="s">
        <v>32</v>
      </c>
      <c r="B490" s="15" t="s">
        <v>94</v>
      </c>
      <c r="C490" s="15" t="s">
        <v>26</v>
      </c>
      <c r="D490" s="15" t="s">
        <v>28</v>
      </c>
      <c r="E490" s="15" t="s">
        <v>941</v>
      </c>
      <c r="F490" s="15" t="s">
        <v>33</v>
      </c>
      <c r="G490" s="69">
        <f>'прил 5,'!G640</f>
        <v>7405372.8799999999</v>
      </c>
      <c r="H490" s="69">
        <f>'прил 5,'!H640</f>
        <v>7405372.8799999999</v>
      </c>
      <c r="I490" s="1"/>
    </row>
    <row r="491" spans="1:19" ht="59.25" customHeight="1">
      <c r="A491" s="16" t="s">
        <v>1033</v>
      </c>
      <c r="B491" s="15" t="s">
        <v>94</v>
      </c>
      <c r="C491" s="15" t="s">
        <v>26</v>
      </c>
      <c r="D491" s="15" t="s">
        <v>28</v>
      </c>
      <c r="E491" s="15" t="s">
        <v>1032</v>
      </c>
      <c r="F491" s="15"/>
      <c r="G491" s="69">
        <f t="shared" ref="G491:H492" si="126">G492</f>
        <v>250000</v>
      </c>
      <c r="H491" s="69">
        <f t="shared" si="126"/>
        <v>250000</v>
      </c>
      <c r="I491" s="171"/>
      <c r="J491" s="177"/>
      <c r="K491" s="177"/>
      <c r="L491" s="177"/>
      <c r="M491" s="177"/>
      <c r="N491" s="177"/>
      <c r="O491" s="177"/>
      <c r="P491" s="177"/>
      <c r="Q491" s="177"/>
      <c r="R491" s="1"/>
      <c r="S491" s="1"/>
    </row>
    <row r="492" spans="1:19" ht="25.5">
      <c r="A492" s="16" t="s">
        <v>30</v>
      </c>
      <c r="B492" s="15" t="s">
        <v>94</v>
      </c>
      <c r="C492" s="15" t="s">
        <v>26</v>
      </c>
      <c r="D492" s="15" t="s">
        <v>28</v>
      </c>
      <c r="E492" s="15" t="s">
        <v>1032</v>
      </c>
      <c r="F492" s="15" t="s">
        <v>31</v>
      </c>
      <c r="G492" s="69">
        <f t="shared" si="126"/>
        <v>250000</v>
      </c>
      <c r="H492" s="69">
        <f t="shared" si="126"/>
        <v>250000</v>
      </c>
      <c r="I492" s="171"/>
      <c r="J492" s="177"/>
      <c r="K492" s="177"/>
      <c r="L492" s="177"/>
      <c r="M492" s="177"/>
      <c r="N492" s="177"/>
      <c r="O492" s="177"/>
      <c r="P492" s="177"/>
      <c r="Q492" s="177"/>
      <c r="R492" s="1"/>
      <c r="S492" s="1"/>
    </row>
    <row r="493" spans="1:19">
      <c r="A493" s="16" t="s">
        <v>32</v>
      </c>
      <c r="B493" s="15" t="s">
        <v>94</v>
      </c>
      <c r="C493" s="15" t="s">
        <v>26</v>
      </c>
      <c r="D493" s="15" t="s">
        <v>28</v>
      </c>
      <c r="E493" s="15" t="s">
        <v>1032</v>
      </c>
      <c r="F493" s="15" t="s">
        <v>33</v>
      </c>
      <c r="G493" s="69">
        <v>250000</v>
      </c>
      <c r="H493" s="69">
        <v>250000</v>
      </c>
      <c r="I493" s="171"/>
      <c r="J493" s="177"/>
      <c r="K493" s="177"/>
      <c r="L493" s="177"/>
      <c r="M493" s="177"/>
      <c r="N493" s="177"/>
      <c r="O493" s="177"/>
      <c r="P493" s="177"/>
      <c r="Q493" s="177"/>
      <c r="R493" s="1"/>
      <c r="S493" s="1"/>
    </row>
    <row r="494" spans="1:19" ht="59.25" customHeight="1">
      <c r="A494" s="81" t="s">
        <v>1054</v>
      </c>
      <c r="B494" s="83" t="s">
        <v>94</v>
      </c>
      <c r="C494" s="83" t="s">
        <v>26</v>
      </c>
      <c r="D494" s="83" t="s">
        <v>28</v>
      </c>
      <c r="E494" s="83" t="s">
        <v>1053</v>
      </c>
      <c r="F494" s="83"/>
      <c r="G494" s="86">
        <f t="shared" ref="G494:H495" si="127">G495</f>
        <v>1737958.8</v>
      </c>
      <c r="H494" s="86">
        <f t="shared" si="127"/>
        <v>1737958.8</v>
      </c>
      <c r="I494" s="171"/>
      <c r="J494" s="177"/>
      <c r="K494" s="177"/>
      <c r="L494" s="177"/>
      <c r="M494" s="177"/>
      <c r="N494" s="177"/>
      <c r="O494" s="177"/>
      <c r="P494" s="177"/>
      <c r="Q494" s="177"/>
      <c r="R494" s="1"/>
      <c r="S494" s="1"/>
    </row>
    <row r="495" spans="1:19" ht="25.5">
      <c r="A495" s="81" t="s">
        <v>30</v>
      </c>
      <c r="B495" s="83" t="s">
        <v>94</v>
      </c>
      <c r="C495" s="83" t="s">
        <v>26</v>
      </c>
      <c r="D495" s="83" t="s">
        <v>28</v>
      </c>
      <c r="E495" s="83" t="s">
        <v>1053</v>
      </c>
      <c r="F495" s="83" t="s">
        <v>31</v>
      </c>
      <c r="G495" s="86">
        <f t="shared" si="127"/>
        <v>1737958.8</v>
      </c>
      <c r="H495" s="86">
        <f t="shared" si="127"/>
        <v>1737958.8</v>
      </c>
      <c r="I495" s="171"/>
      <c r="J495" s="177"/>
      <c r="K495" s="177"/>
      <c r="L495" s="177"/>
      <c r="M495" s="177"/>
      <c r="N495" s="177"/>
      <c r="O495" s="177"/>
      <c r="P495" s="177"/>
      <c r="Q495" s="177"/>
      <c r="R495" s="1"/>
      <c r="S495" s="1"/>
    </row>
    <row r="496" spans="1:19">
      <c r="A496" s="81" t="s">
        <v>32</v>
      </c>
      <c r="B496" s="83" t="s">
        <v>94</v>
      </c>
      <c r="C496" s="83" t="s">
        <v>26</v>
      </c>
      <c r="D496" s="83" t="s">
        <v>28</v>
      </c>
      <c r="E496" s="83" t="s">
        <v>1053</v>
      </c>
      <c r="F496" s="83" t="s">
        <v>33</v>
      </c>
      <c r="G496" s="86">
        <f>'прил 5,'!G646</f>
        <v>1737958.8</v>
      </c>
      <c r="H496" s="86">
        <f>'прил 5,'!H646</f>
        <v>1737958.8</v>
      </c>
      <c r="I496" s="171"/>
      <c r="J496" s="177"/>
      <c r="K496" s="177"/>
      <c r="L496" s="177"/>
      <c r="M496" s="177"/>
      <c r="N496" s="177"/>
      <c r="O496" s="177"/>
      <c r="P496" s="177"/>
      <c r="Q496" s="177"/>
      <c r="R496" s="1"/>
      <c r="S496" s="1"/>
    </row>
    <row r="497" spans="1:19" s="3" customFormat="1" ht="44.25" customHeight="1">
      <c r="A497" s="16" t="s">
        <v>814</v>
      </c>
      <c r="B497" s="14">
        <v>774</v>
      </c>
      <c r="C497" s="15" t="s">
        <v>26</v>
      </c>
      <c r="D497" s="15" t="s">
        <v>19</v>
      </c>
      <c r="E497" s="15" t="s">
        <v>442</v>
      </c>
      <c r="F497" s="15"/>
      <c r="G497" s="69">
        <f>G498</f>
        <v>360000</v>
      </c>
      <c r="H497" s="69">
        <f t="shared" ref="H497" si="128">H498</f>
        <v>360000</v>
      </c>
      <c r="I497" s="108"/>
      <c r="O497" s="108"/>
      <c r="P497" s="108"/>
      <c r="Q497" s="108"/>
      <c r="R497" s="108"/>
      <c r="S497" s="108"/>
    </row>
    <row r="498" spans="1:19" s="3" customFormat="1">
      <c r="A498" s="16" t="s">
        <v>32</v>
      </c>
      <c r="B498" s="14">
        <v>774</v>
      </c>
      <c r="C498" s="15" t="s">
        <v>26</v>
      </c>
      <c r="D498" s="15" t="s">
        <v>19</v>
      </c>
      <c r="E498" s="15" t="s">
        <v>442</v>
      </c>
      <c r="F498" s="15" t="s">
        <v>33</v>
      </c>
      <c r="G498" s="69">
        <f>'прил 5,'!G534+'прил 5,'!G649</f>
        <v>360000</v>
      </c>
      <c r="H498" s="69">
        <f>'прил 5,'!H534+'прил 5,'!H649</f>
        <v>360000</v>
      </c>
      <c r="I498" s="108"/>
      <c r="O498" s="108"/>
      <c r="P498" s="108"/>
      <c r="Q498" s="108"/>
      <c r="R498" s="108"/>
      <c r="S498" s="108"/>
    </row>
    <row r="499" spans="1:19" s="3" customFormat="1" ht="38.25">
      <c r="A499" s="16" t="s">
        <v>894</v>
      </c>
      <c r="B499" s="14">
        <v>774</v>
      </c>
      <c r="C499" s="15" t="s">
        <v>26</v>
      </c>
      <c r="D499" s="15" t="s">
        <v>19</v>
      </c>
      <c r="E499" s="15" t="s">
        <v>893</v>
      </c>
      <c r="F499" s="15"/>
      <c r="G499" s="69">
        <f>G500</f>
        <v>0</v>
      </c>
      <c r="H499" s="69">
        <f t="shared" ref="H499:H500" si="129">H500</f>
        <v>0</v>
      </c>
      <c r="I499" s="170"/>
    </row>
    <row r="500" spans="1:19" s="3" customFormat="1" ht="33" customHeight="1">
      <c r="A500" s="16" t="s">
        <v>30</v>
      </c>
      <c r="B500" s="14">
        <v>774</v>
      </c>
      <c r="C500" s="15" t="s">
        <v>26</v>
      </c>
      <c r="D500" s="15" t="s">
        <v>19</v>
      </c>
      <c r="E500" s="15" t="s">
        <v>893</v>
      </c>
      <c r="F500" s="15" t="s">
        <v>31</v>
      </c>
      <c r="G500" s="69">
        <f>G501</f>
        <v>0</v>
      </c>
      <c r="H500" s="69">
        <f t="shared" si="129"/>
        <v>0</v>
      </c>
      <c r="I500" s="170"/>
    </row>
    <row r="501" spans="1:19" s="3" customFormat="1">
      <c r="A501" s="16" t="s">
        <v>32</v>
      </c>
      <c r="B501" s="14">
        <v>774</v>
      </c>
      <c r="C501" s="15" t="s">
        <v>26</v>
      </c>
      <c r="D501" s="15" t="s">
        <v>19</v>
      </c>
      <c r="E501" s="15" t="s">
        <v>893</v>
      </c>
      <c r="F501" s="15" t="s">
        <v>33</v>
      </c>
      <c r="G501" s="69">
        <f>'прил 5,'!G652</f>
        <v>0</v>
      </c>
      <c r="H501" s="69">
        <v>0</v>
      </c>
      <c r="I501" s="170"/>
    </row>
    <row r="502" spans="1:19" s="3" customFormat="1" ht="38.25">
      <c r="A502" s="16" t="s">
        <v>896</v>
      </c>
      <c r="B502" s="14">
        <v>774</v>
      </c>
      <c r="C502" s="15" t="s">
        <v>26</v>
      </c>
      <c r="D502" s="15" t="s">
        <v>19</v>
      </c>
      <c r="E502" s="15" t="s">
        <v>895</v>
      </c>
      <c r="F502" s="15"/>
      <c r="G502" s="69">
        <f>G503</f>
        <v>0</v>
      </c>
      <c r="H502" s="69">
        <f t="shared" ref="H502:H503" si="130">H503</f>
        <v>0</v>
      </c>
      <c r="I502" s="170"/>
    </row>
    <row r="503" spans="1:19" s="3" customFormat="1" ht="33" customHeight="1">
      <c r="A503" s="16" t="s">
        <v>30</v>
      </c>
      <c r="B503" s="14">
        <v>774</v>
      </c>
      <c r="C503" s="15" t="s">
        <v>26</v>
      </c>
      <c r="D503" s="15" t="s">
        <v>19</v>
      </c>
      <c r="E503" s="15" t="s">
        <v>895</v>
      </c>
      <c r="F503" s="15" t="s">
        <v>31</v>
      </c>
      <c r="G503" s="69">
        <f>G504</f>
        <v>0</v>
      </c>
      <c r="H503" s="69">
        <f t="shared" si="130"/>
        <v>0</v>
      </c>
      <c r="I503" s="170"/>
    </row>
    <row r="504" spans="1:19" s="3" customFormat="1">
      <c r="A504" s="16" t="s">
        <v>32</v>
      </c>
      <c r="B504" s="14">
        <v>774</v>
      </c>
      <c r="C504" s="15" t="s">
        <v>26</v>
      </c>
      <c r="D504" s="15" t="s">
        <v>19</v>
      </c>
      <c r="E504" s="15" t="s">
        <v>895</v>
      </c>
      <c r="F504" s="15" t="s">
        <v>33</v>
      </c>
      <c r="G504" s="69">
        <v>0</v>
      </c>
      <c r="H504" s="69"/>
      <c r="I504" s="170"/>
    </row>
    <row r="505" spans="1:19" s="3" customFormat="1" ht="38.25" hidden="1">
      <c r="A505" s="16" t="s">
        <v>815</v>
      </c>
      <c r="B505" s="14">
        <v>774</v>
      </c>
      <c r="C505" s="15" t="s">
        <v>26</v>
      </c>
      <c r="D505" s="15" t="s">
        <v>28</v>
      </c>
      <c r="E505" s="83" t="s">
        <v>764</v>
      </c>
      <c r="F505" s="15"/>
      <c r="G505" s="69">
        <f t="shared" ref="G505:H506" si="131">G506</f>
        <v>0</v>
      </c>
      <c r="H505" s="69">
        <f t="shared" si="131"/>
        <v>0</v>
      </c>
      <c r="O505" s="108"/>
      <c r="P505" s="108"/>
      <c r="Q505" s="108"/>
      <c r="R505" s="108"/>
      <c r="S505" s="108"/>
    </row>
    <row r="506" spans="1:19" s="3" customFormat="1" ht="25.5" hidden="1">
      <c r="A506" s="16" t="s">
        <v>30</v>
      </c>
      <c r="B506" s="14">
        <v>774</v>
      </c>
      <c r="C506" s="15" t="s">
        <v>26</v>
      </c>
      <c r="D506" s="15" t="s">
        <v>28</v>
      </c>
      <c r="E506" s="83" t="s">
        <v>764</v>
      </c>
      <c r="F506" s="15" t="s">
        <v>31</v>
      </c>
      <c r="G506" s="69">
        <f t="shared" si="131"/>
        <v>0</v>
      </c>
      <c r="H506" s="69">
        <f t="shared" si="131"/>
        <v>0</v>
      </c>
      <c r="O506" s="108"/>
      <c r="P506" s="108"/>
      <c r="Q506" s="108"/>
      <c r="R506" s="108"/>
      <c r="S506" s="108"/>
    </row>
    <row r="507" spans="1:19" s="3" customFormat="1" hidden="1">
      <c r="A507" s="81" t="s">
        <v>32</v>
      </c>
      <c r="B507" s="14">
        <v>774</v>
      </c>
      <c r="C507" s="15" t="s">
        <v>26</v>
      </c>
      <c r="D507" s="15" t="s">
        <v>28</v>
      </c>
      <c r="E507" s="83" t="s">
        <v>764</v>
      </c>
      <c r="F507" s="15" t="s">
        <v>33</v>
      </c>
      <c r="G507" s="69">
        <f>'прил 5,'!G658</f>
        <v>0</v>
      </c>
      <c r="H507" s="69"/>
      <c r="O507" s="108"/>
      <c r="P507" s="108"/>
      <c r="Q507" s="108"/>
      <c r="R507" s="108"/>
      <c r="S507" s="108"/>
    </row>
    <row r="508" spans="1:19" s="18" customFormat="1" ht="25.5">
      <c r="A508" s="81" t="s">
        <v>1104</v>
      </c>
      <c r="B508" s="145">
        <v>774</v>
      </c>
      <c r="C508" s="83" t="s">
        <v>26</v>
      </c>
      <c r="D508" s="83" t="s">
        <v>19</v>
      </c>
      <c r="E508" s="83" t="s">
        <v>1105</v>
      </c>
      <c r="F508" s="83"/>
      <c r="G508" s="86">
        <f t="shared" ref="G508:H509" si="132">G509</f>
        <v>300000</v>
      </c>
      <c r="H508" s="86">
        <f t="shared" si="132"/>
        <v>300000</v>
      </c>
      <c r="I508" s="171"/>
      <c r="J508" s="191"/>
      <c r="K508" s="191"/>
      <c r="L508" s="191"/>
      <c r="M508" s="191"/>
      <c r="N508" s="191"/>
      <c r="O508" s="191"/>
      <c r="P508" s="206"/>
      <c r="Q508" s="206"/>
      <c r="R508" s="17"/>
    </row>
    <row r="509" spans="1:19" s="18" customFormat="1" ht="25.5">
      <c r="A509" s="81" t="s">
        <v>30</v>
      </c>
      <c r="B509" s="145">
        <v>774</v>
      </c>
      <c r="C509" s="83" t="s">
        <v>26</v>
      </c>
      <c r="D509" s="83" t="s">
        <v>19</v>
      </c>
      <c r="E509" s="83" t="s">
        <v>1105</v>
      </c>
      <c r="F509" s="83" t="s">
        <v>31</v>
      </c>
      <c r="G509" s="86">
        <f t="shared" si="132"/>
        <v>300000</v>
      </c>
      <c r="H509" s="86">
        <f t="shared" si="132"/>
        <v>300000</v>
      </c>
      <c r="I509" s="171"/>
      <c r="J509" s="191"/>
      <c r="K509" s="191"/>
      <c r="L509" s="191"/>
      <c r="M509" s="191"/>
      <c r="N509" s="191"/>
      <c r="O509" s="191"/>
      <c r="P509" s="206"/>
      <c r="Q509" s="206"/>
      <c r="R509" s="17"/>
    </row>
    <row r="510" spans="1:19" s="18" customFormat="1">
      <c r="A510" s="81" t="s">
        <v>32</v>
      </c>
      <c r="B510" s="145">
        <v>774</v>
      </c>
      <c r="C510" s="83" t="s">
        <v>26</v>
      </c>
      <c r="D510" s="83" t="s">
        <v>19</v>
      </c>
      <c r="E510" s="83" t="s">
        <v>1105</v>
      </c>
      <c r="F510" s="83" t="s">
        <v>33</v>
      </c>
      <c r="G510" s="86">
        <f>'прил 5,'!G505</f>
        <v>300000</v>
      </c>
      <c r="H510" s="86">
        <f>'прил 5,'!H505</f>
        <v>300000</v>
      </c>
      <c r="I510" s="171"/>
      <c r="J510" s="191"/>
      <c r="K510" s="191"/>
      <c r="L510" s="191"/>
      <c r="M510" s="191"/>
      <c r="N510" s="191"/>
      <c r="O510" s="191"/>
      <c r="P510" s="206"/>
      <c r="Q510" s="206"/>
      <c r="R510" s="17"/>
    </row>
    <row r="511" spans="1:19" s="3" customFormat="1">
      <c r="A511" s="16" t="s">
        <v>878</v>
      </c>
      <c r="B511" s="14">
        <v>774</v>
      </c>
      <c r="C511" s="15" t="s">
        <v>26</v>
      </c>
      <c r="D511" s="15" t="s">
        <v>28</v>
      </c>
      <c r="E511" s="83" t="s">
        <v>877</v>
      </c>
      <c r="F511" s="15"/>
      <c r="G511" s="69">
        <f t="shared" ref="G511:H512" si="133">G512</f>
        <v>2030562.73</v>
      </c>
      <c r="H511" s="69">
        <f t="shared" si="133"/>
        <v>2030562.73</v>
      </c>
      <c r="O511" s="108"/>
      <c r="P511" s="108"/>
      <c r="Q511" s="108"/>
      <c r="R511" s="108"/>
      <c r="S511" s="108"/>
    </row>
    <row r="512" spans="1:19" s="3" customFormat="1" ht="25.5">
      <c r="A512" s="16" t="s">
        <v>30</v>
      </c>
      <c r="B512" s="14">
        <v>774</v>
      </c>
      <c r="C512" s="15" t="s">
        <v>26</v>
      </c>
      <c r="D512" s="15" t="s">
        <v>28</v>
      </c>
      <c r="E512" s="83" t="s">
        <v>877</v>
      </c>
      <c r="F512" s="15" t="s">
        <v>31</v>
      </c>
      <c r="G512" s="69">
        <f t="shared" si="133"/>
        <v>2030562.73</v>
      </c>
      <c r="H512" s="69">
        <f t="shared" si="133"/>
        <v>2030562.73</v>
      </c>
      <c r="O512" s="108"/>
      <c r="P512" s="108"/>
      <c r="Q512" s="108"/>
      <c r="R512" s="108"/>
      <c r="S512" s="108"/>
    </row>
    <row r="513" spans="1:19" s="3" customFormat="1">
      <c r="A513" s="81" t="s">
        <v>32</v>
      </c>
      <c r="B513" s="14">
        <v>774</v>
      </c>
      <c r="C513" s="15" t="s">
        <v>26</v>
      </c>
      <c r="D513" s="15" t="s">
        <v>28</v>
      </c>
      <c r="E513" s="83" t="s">
        <v>877</v>
      </c>
      <c r="F513" s="15" t="s">
        <v>33</v>
      </c>
      <c r="G513" s="69">
        <f>'прил 5,'!G670</f>
        <v>2030562.73</v>
      </c>
      <c r="H513" s="69">
        <f>'прил 5,'!H670</f>
        <v>2030562.73</v>
      </c>
      <c r="O513" s="108"/>
      <c r="P513" s="108"/>
      <c r="Q513" s="108"/>
      <c r="R513" s="108"/>
      <c r="S513" s="108"/>
    </row>
    <row r="514" spans="1:19" s="3" customFormat="1">
      <c r="A514" s="16" t="s">
        <v>880</v>
      </c>
      <c r="B514" s="14">
        <v>774</v>
      </c>
      <c r="C514" s="15" t="s">
        <v>26</v>
      </c>
      <c r="D514" s="15" t="s">
        <v>28</v>
      </c>
      <c r="E514" s="83" t="s">
        <v>879</v>
      </c>
      <c r="F514" s="15"/>
      <c r="G514" s="69">
        <f t="shared" ref="G514:H515" si="134">G515</f>
        <v>500000</v>
      </c>
      <c r="H514" s="69">
        <f t="shared" si="134"/>
        <v>500000</v>
      </c>
      <c r="O514" s="108"/>
      <c r="P514" s="108"/>
      <c r="Q514" s="108"/>
      <c r="R514" s="108"/>
      <c r="S514" s="108"/>
    </row>
    <row r="515" spans="1:19" s="3" customFormat="1" ht="25.5">
      <c r="A515" s="16" t="s">
        <v>30</v>
      </c>
      <c r="B515" s="14">
        <v>774</v>
      </c>
      <c r="C515" s="15" t="s">
        <v>26</v>
      </c>
      <c r="D515" s="15" t="s">
        <v>28</v>
      </c>
      <c r="E515" s="83" t="s">
        <v>879</v>
      </c>
      <c r="F515" s="15" t="s">
        <v>31</v>
      </c>
      <c r="G515" s="69">
        <f t="shared" si="134"/>
        <v>500000</v>
      </c>
      <c r="H515" s="69">
        <f t="shared" si="134"/>
        <v>500000</v>
      </c>
      <c r="O515" s="108"/>
      <c r="P515" s="108"/>
      <c r="Q515" s="108"/>
      <c r="R515" s="108"/>
      <c r="S515" s="108"/>
    </row>
    <row r="516" spans="1:19" s="3" customFormat="1">
      <c r="A516" s="81" t="s">
        <v>32</v>
      </c>
      <c r="B516" s="14">
        <v>774</v>
      </c>
      <c r="C516" s="15" t="s">
        <v>26</v>
      </c>
      <c r="D516" s="15" t="s">
        <v>28</v>
      </c>
      <c r="E516" s="83" t="s">
        <v>879</v>
      </c>
      <c r="F516" s="15" t="s">
        <v>33</v>
      </c>
      <c r="G516" s="69">
        <f>'прил 5,'!G673</f>
        <v>500000</v>
      </c>
      <c r="H516" s="69">
        <f>'прил 5,'!H673</f>
        <v>500000</v>
      </c>
      <c r="O516" s="108"/>
      <c r="P516" s="108"/>
      <c r="Q516" s="108"/>
      <c r="R516" s="108"/>
      <c r="S516" s="108"/>
    </row>
    <row r="517" spans="1:19" s="3" customFormat="1" ht="25.5">
      <c r="A517" s="16" t="s">
        <v>1029</v>
      </c>
      <c r="B517" s="14">
        <v>774</v>
      </c>
      <c r="C517" s="15" t="s">
        <v>26</v>
      </c>
      <c r="D517" s="15" t="s">
        <v>28</v>
      </c>
      <c r="E517" s="15" t="s">
        <v>219</v>
      </c>
      <c r="F517" s="15"/>
      <c r="G517" s="69">
        <f t="shared" ref="G517:H518" si="135">G518</f>
        <v>2944255.42</v>
      </c>
      <c r="H517" s="69">
        <f t="shared" si="135"/>
        <v>2419255.42</v>
      </c>
      <c r="I517" s="108"/>
      <c r="O517" s="108"/>
      <c r="P517" s="108"/>
      <c r="Q517" s="108"/>
      <c r="R517" s="108"/>
      <c r="S517" s="108"/>
    </row>
    <row r="518" spans="1:19" s="3" customFormat="1" ht="25.5">
      <c r="A518" s="16" t="s">
        <v>30</v>
      </c>
      <c r="B518" s="14">
        <v>774</v>
      </c>
      <c r="C518" s="15" t="s">
        <v>26</v>
      </c>
      <c r="D518" s="15" t="s">
        <v>28</v>
      </c>
      <c r="E518" s="15" t="s">
        <v>219</v>
      </c>
      <c r="F518" s="15" t="s">
        <v>31</v>
      </c>
      <c r="G518" s="69">
        <f t="shared" si="135"/>
        <v>2944255.42</v>
      </c>
      <c r="H518" s="69">
        <f t="shared" si="135"/>
        <v>2419255.42</v>
      </c>
      <c r="I518" s="108"/>
      <c r="O518" s="108"/>
      <c r="P518" s="108"/>
      <c r="Q518" s="108"/>
      <c r="R518" s="108"/>
      <c r="S518" s="108"/>
    </row>
    <row r="519" spans="1:19" s="3" customFormat="1">
      <c r="A519" s="16" t="s">
        <v>32</v>
      </c>
      <c r="B519" s="14">
        <v>774</v>
      </c>
      <c r="C519" s="15" t="s">
        <v>26</v>
      </c>
      <c r="D519" s="15" t="s">
        <v>28</v>
      </c>
      <c r="E519" s="15" t="s">
        <v>219</v>
      </c>
      <c r="F519" s="15" t="s">
        <v>33</v>
      </c>
      <c r="G519" s="69">
        <f>'прил 5,'!G661+'прил 5,'!G508+'прил 5,'!G833</f>
        <v>2944255.42</v>
      </c>
      <c r="H519" s="69">
        <f>'прил 5,'!H661+'прил 5,'!H508+'прил 5,'!H833</f>
        <v>2419255.42</v>
      </c>
      <c r="I519" s="108"/>
      <c r="O519" s="108"/>
      <c r="P519" s="108"/>
      <c r="Q519" s="108"/>
      <c r="R519" s="108"/>
      <c r="S519" s="108"/>
    </row>
    <row r="520" spans="1:19" s="3" customFormat="1" hidden="1">
      <c r="A520" s="16" t="s">
        <v>35</v>
      </c>
      <c r="B520" s="14">
        <v>774</v>
      </c>
      <c r="C520" s="15" t="s">
        <v>26</v>
      </c>
      <c r="D520" s="15" t="s">
        <v>28</v>
      </c>
      <c r="E520" s="15" t="s">
        <v>219</v>
      </c>
      <c r="F520" s="15" t="s">
        <v>52</v>
      </c>
      <c r="G520" s="69"/>
      <c r="H520" s="86"/>
      <c r="I520" s="108"/>
      <c r="O520" s="108"/>
      <c r="P520" s="108"/>
      <c r="Q520" s="108"/>
      <c r="R520" s="108"/>
      <c r="S520" s="108"/>
    </row>
    <row r="521" spans="1:19" s="3" customFormat="1" ht="25.5" hidden="1">
      <c r="A521" s="16" t="s">
        <v>669</v>
      </c>
      <c r="B521" s="14">
        <v>774</v>
      </c>
      <c r="C521" s="15" t="s">
        <v>26</v>
      </c>
      <c r="D521" s="15" t="s">
        <v>70</v>
      </c>
      <c r="E521" s="83" t="s">
        <v>720</v>
      </c>
      <c r="F521" s="15"/>
      <c r="G521" s="69">
        <f t="shared" ref="G521:H522" si="136">G522</f>
        <v>0</v>
      </c>
      <c r="H521" s="69">
        <f t="shared" si="136"/>
        <v>0</v>
      </c>
      <c r="O521" s="108"/>
      <c r="P521" s="108"/>
      <c r="Q521" s="108"/>
      <c r="R521" s="108"/>
      <c r="S521" s="108"/>
    </row>
    <row r="522" spans="1:19" s="3" customFormat="1" ht="25.5" hidden="1">
      <c r="A522" s="16" t="s">
        <v>30</v>
      </c>
      <c r="B522" s="14">
        <v>774</v>
      </c>
      <c r="C522" s="15" t="s">
        <v>26</v>
      </c>
      <c r="D522" s="15" t="s">
        <v>70</v>
      </c>
      <c r="E522" s="83" t="s">
        <v>720</v>
      </c>
      <c r="F522" s="15" t="s">
        <v>31</v>
      </c>
      <c r="G522" s="69">
        <f t="shared" si="136"/>
        <v>0</v>
      </c>
      <c r="H522" s="69">
        <f t="shared" si="136"/>
        <v>0</v>
      </c>
      <c r="O522" s="108"/>
      <c r="P522" s="108"/>
      <c r="Q522" s="108"/>
      <c r="R522" s="108"/>
      <c r="S522" s="108"/>
    </row>
    <row r="523" spans="1:19" s="3" customFormat="1" hidden="1">
      <c r="A523" s="16" t="s">
        <v>32</v>
      </c>
      <c r="B523" s="14">
        <v>774</v>
      </c>
      <c r="C523" s="15" t="s">
        <v>26</v>
      </c>
      <c r="D523" s="15" t="s">
        <v>70</v>
      </c>
      <c r="E523" s="83" t="s">
        <v>720</v>
      </c>
      <c r="F523" s="15" t="s">
        <v>33</v>
      </c>
      <c r="G523" s="69">
        <f>'прил 5,'!G848</f>
        <v>0</v>
      </c>
      <c r="H523" s="69"/>
      <c r="O523" s="108"/>
      <c r="P523" s="108"/>
      <c r="Q523" s="108"/>
      <c r="R523" s="108"/>
      <c r="S523" s="108"/>
    </row>
    <row r="524" spans="1:19" s="3" customFormat="1" ht="25.5">
      <c r="A524" s="16" t="s">
        <v>995</v>
      </c>
      <c r="B524" s="14">
        <v>774</v>
      </c>
      <c r="C524" s="15" t="s">
        <v>26</v>
      </c>
      <c r="D524" s="15" t="s">
        <v>28</v>
      </c>
      <c r="E524" s="83" t="s">
        <v>993</v>
      </c>
      <c r="F524" s="15"/>
      <c r="G524" s="69">
        <f t="shared" ref="G524:H525" si="137">G525</f>
        <v>2326156.15</v>
      </c>
      <c r="H524" s="69">
        <f t="shared" si="137"/>
        <v>2326156.15</v>
      </c>
      <c r="I524" s="171"/>
      <c r="J524" s="190"/>
      <c r="K524" s="190"/>
      <c r="L524" s="190"/>
      <c r="M524" s="190"/>
      <c r="N524" s="190"/>
      <c r="O524" s="190"/>
      <c r="P524" s="190"/>
      <c r="Q524" s="190"/>
    </row>
    <row r="525" spans="1:19" s="3" customFormat="1" ht="25.5">
      <c r="A525" s="16" t="s">
        <v>30</v>
      </c>
      <c r="B525" s="14">
        <v>774</v>
      </c>
      <c r="C525" s="15" t="s">
        <v>26</v>
      </c>
      <c r="D525" s="15" t="s">
        <v>28</v>
      </c>
      <c r="E525" s="83" t="s">
        <v>993</v>
      </c>
      <c r="F525" s="15" t="s">
        <v>31</v>
      </c>
      <c r="G525" s="69">
        <f t="shared" si="137"/>
        <v>2326156.15</v>
      </c>
      <c r="H525" s="69">
        <f t="shared" si="137"/>
        <v>2326156.15</v>
      </c>
      <c r="I525" s="171"/>
      <c r="J525" s="190"/>
      <c r="K525" s="190"/>
      <c r="L525" s="190"/>
      <c r="M525" s="190"/>
      <c r="N525" s="190"/>
      <c r="O525" s="190"/>
      <c r="P525" s="190"/>
      <c r="Q525" s="190"/>
    </row>
    <row r="526" spans="1:19" s="3" customFormat="1">
      <c r="A526" s="81" t="s">
        <v>32</v>
      </c>
      <c r="B526" s="14">
        <v>774</v>
      </c>
      <c r="C526" s="15" t="s">
        <v>26</v>
      </c>
      <c r="D526" s="15" t="s">
        <v>28</v>
      </c>
      <c r="E526" s="83" t="s">
        <v>993</v>
      </c>
      <c r="F526" s="15" t="s">
        <v>33</v>
      </c>
      <c r="G526" s="69">
        <f>'прил 5,'!G664+'прил 5,'!G836+'прил 5,'!G511</f>
        <v>2326156.15</v>
      </c>
      <c r="H526" s="69">
        <f>'прил 5,'!H664+'прил 5,'!H836+'прил 5,'!H511</f>
        <v>2326156.15</v>
      </c>
      <c r="I526" s="171"/>
      <c r="J526" s="190"/>
      <c r="K526" s="190"/>
      <c r="L526" s="190"/>
      <c r="M526" s="190"/>
      <c r="N526" s="190"/>
      <c r="O526" s="190"/>
      <c r="P526" s="190"/>
      <c r="Q526" s="190"/>
    </row>
    <row r="527" spans="1:19" s="3" customFormat="1" ht="25.5">
      <c r="A527" s="16" t="s">
        <v>294</v>
      </c>
      <c r="B527" s="14">
        <v>774</v>
      </c>
      <c r="C527" s="15" t="s">
        <v>26</v>
      </c>
      <c r="D527" s="15" t="s">
        <v>28</v>
      </c>
      <c r="E527" s="15" t="s">
        <v>293</v>
      </c>
      <c r="F527" s="15"/>
      <c r="G527" s="69">
        <f t="shared" ref="G527:H528" si="138">G528</f>
        <v>2146368.09</v>
      </c>
      <c r="H527" s="69">
        <f t="shared" si="138"/>
        <v>2146368.09</v>
      </c>
      <c r="I527" s="108"/>
      <c r="O527" s="108"/>
      <c r="P527" s="108"/>
      <c r="Q527" s="108"/>
      <c r="R527" s="108"/>
      <c r="S527" s="108"/>
    </row>
    <row r="528" spans="1:19" s="3" customFormat="1" ht="25.5">
      <c r="A528" s="16" t="s">
        <v>30</v>
      </c>
      <c r="B528" s="14">
        <v>774</v>
      </c>
      <c r="C528" s="15" t="s">
        <v>26</v>
      </c>
      <c r="D528" s="15" t="s">
        <v>28</v>
      </c>
      <c r="E528" s="15" t="s">
        <v>293</v>
      </c>
      <c r="F528" s="15" t="s">
        <v>31</v>
      </c>
      <c r="G528" s="69">
        <f t="shared" si="138"/>
        <v>2146368.09</v>
      </c>
      <c r="H528" s="69">
        <f t="shared" si="138"/>
        <v>2146368.09</v>
      </c>
      <c r="I528" s="108"/>
      <c r="O528" s="108"/>
      <c r="P528" s="108"/>
      <c r="Q528" s="108"/>
      <c r="R528" s="108"/>
      <c r="S528" s="108"/>
    </row>
    <row r="529" spans="1:19" s="3" customFormat="1">
      <c r="A529" s="16" t="s">
        <v>32</v>
      </c>
      <c r="B529" s="14">
        <v>774</v>
      </c>
      <c r="C529" s="15" t="s">
        <v>26</v>
      </c>
      <c r="D529" s="15" t="s">
        <v>28</v>
      </c>
      <c r="E529" s="15" t="s">
        <v>293</v>
      </c>
      <c r="F529" s="15" t="s">
        <v>33</v>
      </c>
      <c r="G529" s="69">
        <f>'прил 5,'!G517+'прил 5,'!G718+'прил 5,'!G845+'прил 5,'!G839</f>
        <v>2146368.09</v>
      </c>
      <c r="H529" s="69">
        <f>'прил 5,'!H517+'прил 5,'!H718+'прил 5,'!H845+'прил 5,'!H839</f>
        <v>2146368.09</v>
      </c>
      <c r="I529" s="108"/>
      <c r="O529" s="108"/>
      <c r="P529" s="108"/>
      <c r="Q529" s="108"/>
      <c r="R529" s="108"/>
      <c r="S529" s="108"/>
    </row>
    <row r="530" spans="1:19" s="3" customFormat="1" ht="46.5" hidden="1" customHeight="1">
      <c r="A530" s="16" t="s">
        <v>741</v>
      </c>
      <c r="B530" s="14">
        <v>774</v>
      </c>
      <c r="C530" s="15" t="s">
        <v>26</v>
      </c>
      <c r="D530" s="15" t="s">
        <v>28</v>
      </c>
      <c r="E530" s="83" t="s">
        <v>728</v>
      </c>
      <c r="F530" s="15"/>
      <c r="G530" s="69">
        <f t="shared" ref="G530:H531" si="139">G531</f>
        <v>0</v>
      </c>
      <c r="H530" s="69">
        <f t="shared" si="139"/>
        <v>0</v>
      </c>
      <c r="O530" s="108"/>
      <c r="P530" s="108"/>
      <c r="Q530" s="108"/>
      <c r="R530" s="108"/>
      <c r="S530" s="108"/>
    </row>
    <row r="531" spans="1:19" s="3" customFormat="1" ht="25.5" hidden="1">
      <c r="A531" s="16" t="s">
        <v>30</v>
      </c>
      <c r="B531" s="14">
        <v>774</v>
      </c>
      <c r="C531" s="15" t="s">
        <v>26</v>
      </c>
      <c r="D531" s="15" t="s">
        <v>28</v>
      </c>
      <c r="E531" s="15" t="s">
        <v>728</v>
      </c>
      <c r="F531" s="15" t="s">
        <v>31</v>
      </c>
      <c r="G531" s="69">
        <f t="shared" si="139"/>
        <v>0</v>
      </c>
      <c r="H531" s="69">
        <f t="shared" si="139"/>
        <v>0</v>
      </c>
      <c r="O531" s="108"/>
      <c r="P531" s="108"/>
      <c r="Q531" s="108"/>
      <c r="R531" s="108"/>
      <c r="S531" s="108"/>
    </row>
    <row r="532" spans="1:19" s="3" customFormat="1" hidden="1">
      <c r="A532" s="16" t="s">
        <v>32</v>
      </c>
      <c r="B532" s="14">
        <v>774</v>
      </c>
      <c r="C532" s="15" t="s">
        <v>26</v>
      </c>
      <c r="D532" s="15" t="s">
        <v>28</v>
      </c>
      <c r="E532" s="15" t="s">
        <v>728</v>
      </c>
      <c r="F532" s="15" t="s">
        <v>33</v>
      </c>
      <c r="G532" s="69">
        <f>'прил 5,'!G531</f>
        <v>0</v>
      </c>
      <c r="H532" s="69">
        <f>'прил 5,'!H679</f>
        <v>0</v>
      </c>
      <c r="O532" s="108"/>
      <c r="P532" s="108"/>
      <c r="Q532" s="108"/>
      <c r="R532" s="108"/>
      <c r="S532" s="108"/>
    </row>
    <row r="533" spans="1:19" s="3" customFormat="1" ht="49.5" customHeight="1">
      <c r="A533" s="16" t="s">
        <v>952</v>
      </c>
      <c r="B533" s="14">
        <v>774</v>
      </c>
      <c r="C533" s="15" t="s">
        <v>26</v>
      </c>
      <c r="D533" s="15" t="s">
        <v>28</v>
      </c>
      <c r="E533" s="83" t="s">
        <v>731</v>
      </c>
      <c r="F533" s="83"/>
      <c r="G533" s="86">
        <f t="shared" ref="G533:H537" si="140">G534</f>
        <v>3461741</v>
      </c>
      <c r="H533" s="86">
        <f t="shared" si="140"/>
        <v>3461741</v>
      </c>
      <c r="O533" s="108"/>
      <c r="P533" s="108"/>
      <c r="Q533" s="108"/>
      <c r="R533" s="108"/>
      <c r="S533" s="108"/>
    </row>
    <row r="534" spans="1:19" s="3" customFormat="1" ht="25.5">
      <c r="A534" s="16" t="s">
        <v>30</v>
      </c>
      <c r="B534" s="14">
        <v>774</v>
      </c>
      <c r="C534" s="15" t="s">
        <v>26</v>
      </c>
      <c r="D534" s="15" t="s">
        <v>28</v>
      </c>
      <c r="E534" s="83" t="s">
        <v>731</v>
      </c>
      <c r="F534" s="83" t="s">
        <v>31</v>
      </c>
      <c r="G534" s="86">
        <f t="shared" si="140"/>
        <v>3461741</v>
      </c>
      <c r="H534" s="86">
        <f t="shared" si="140"/>
        <v>3461741</v>
      </c>
      <c r="O534" s="108"/>
      <c r="P534" s="108"/>
      <c r="Q534" s="108"/>
      <c r="R534" s="108"/>
      <c r="S534" s="108"/>
    </row>
    <row r="535" spans="1:19" s="3" customFormat="1">
      <c r="A535" s="16" t="s">
        <v>32</v>
      </c>
      <c r="B535" s="14">
        <v>774</v>
      </c>
      <c r="C535" s="15" t="s">
        <v>26</v>
      </c>
      <c r="D535" s="15" t="s">
        <v>28</v>
      </c>
      <c r="E535" s="83" t="s">
        <v>731</v>
      </c>
      <c r="F535" s="83" t="s">
        <v>33</v>
      </c>
      <c r="G535" s="86">
        <f>'прил 5,'!G667+'прил 5,'!G514</f>
        <v>3461741</v>
      </c>
      <c r="H535" s="86">
        <f>'прил 5,'!H667+'прил 5,'!H514</f>
        <v>3461741</v>
      </c>
      <c r="O535" s="108"/>
      <c r="P535" s="108"/>
      <c r="Q535" s="108"/>
      <c r="R535" s="108"/>
      <c r="S535" s="108"/>
    </row>
    <row r="536" spans="1:19" s="3" customFormat="1" ht="38.25" hidden="1">
      <c r="A536" s="16" t="s">
        <v>634</v>
      </c>
      <c r="B536" s="14">
        <v>774</v>
      </c>
      <c r="C536" s="15" t="s">
        <v>26</v>
      </c>
      <c r="D536" s="15" t="s">
        <v>28</v>
      </c>
      <c r="E536" s="83" t="s">
        <v>633</v>
      </c>
      <c r="F536" s="83"/>
      <c r="G536" s="86">
        <f t="shared" si="140"/>
        <v>0</v>
      </c>
      <c r="H536" s="69">
        <f t="shared" si="140"/>
        <v>0</v>
      </c>
      <c r="O536" s="108"/>
      <c r="P536" s="108"/>
      <c r="Q536" s="108"/>
      <c r="R536" s="108"/>
      <c r="S536" s="108"/>
    </row>
    <row r="537" spans="1:19" s="3" customFormat="1" ht="25.5" hidden="1">
      <c r="A537" s="16" t="s">
        <v>30</v>
      </c>
      <c r="B537" s="14">
        <v>774</v>
      </c>
      <c r="C537" s="15" t="s">
        <v>26</v>
      </c>
      <c r="D537" s="15" t="s">
        <v>28</v>
      </c>
      <c r="E537" s="83" t="s">
        <v>633</v>
      </c>
      <c r="F537" s="83" t="s">
        <v>31</v>
      </c>
      <c r="G537" s="86">
        <f t="shared" si="140"/>
        <v>0</v>
      </c>
      <c r="H537" s="69">
        <f t="shared" si="140"/>
        <v>0</v>
      </c>
      <c r="O537" s="108"/>
      <c r="P537" s="108"/>
      <c r="Q537" s="108"/>
      <c r="R537" s="108"/>
      <c r="S537" s="108"/>
    </row>
    <row r="538" spans="1:19" s="3" customFormat="1" hidden="1">
      <c r="A538" s="16" t="s">
        <v>32</v>
      </c>
      <c r="B538" s="14">
        <v>774</v>
      </c>
      <c r="C538" s="15" t="s">
        <v>26</v>
      </c>
      <c r="D538" s="15" t="s">
        <v>28</v>
      </c>
      <c r="E538" s="83" t="s">
        <v>633</v>
      </c>
      <c r="F538" s="83" t="s">
        <v>33</v>
      </c>
      <c r="G538" s="86">
        <f>'прил 5,'!G682</f>
        <v>0</v>
      </c>
      <c r="H538" s="69"/>
      <c r="O538" s="108"/>
      <c r="P538" s="108"/>
      <c r="Q538" s="108"/>
      <c r="R538" s="108"/>
      <c r="S538" s="108"/>
    </row>
    <row r="539" spans="1:19" s="3" customFormat="1" ht="49.5" customHeight="1">
      <c r="A539" s="16" t="s">
        <v>906</v>
      </c>
      <c r="B539" s="14">
        <v>774</v>
      </c>
      <c r="C539" s="15" t="s">
        <v>26</v>
      </c>
      <c r="D539" s="15" t="s">
        <v>28</v>
      </c>
      <c r="E539" s="83" t="s">
        <v>891</v>
      </c>
      <c r="F539" s="15"/>
      <c r="G539" s="69">
        <f t="shared" ref="G539:H540" si="141">G540</f>
        <v>978810.2</v>
      </c>
      <c r="H539" s="69">
        <f t="shared" si="141"/>
        <v>978810.2</v>
      </c>
      <c r="I539" s="170"/>
    </row>
    <row r="540" spans="1:19" s="3" customFormat="1" ht="25.5">
      <c r="A540" s="16" t="s">
        <v>30</v>
      </c>
      <c r="B540" s="14">
        <v>774</v>
      </c>
      <c r="C540" s="15" t="s">
        <v>26</v>
      </c>
      <c r="D540" s="15" t="s">
        <v>28</v>
      </c>
      <c r="E540" s="83" t="s">
        <v>891</v>
      </c>
      <c r="F540" s="15" t="s">
        <v>31</v>
      </c>
      <c r="G540" s="69">
        <f t="shared" si="141"/>
        <v>978810.2</v>
      </c>
      <c r="H540" s="69">
        <f t="shared" si="141"/>
        <v>978810.2</v>
      </c>
      <c r="I540" s="170"/>
    </row>
    <row r="541" spans="1:19" s="3" customFormat="1">
      <c r="A541" s="16" t="s">
        <v>32</v>
      </c>
      <c r="B541" s="14">
        <v>774</v>
      </c>
      <c r="C541" s="15" t="s">
        <v>26</v>
      </c>
      <c r="D541" s="15" t="s">
        <v>28</v>
      </c>
      <c r="E541" s="83" t="s">
        <v>891</v>
      </c>
      <c r="F541" s="15" t="s">
        <v>33</v>
      </c>
      <c r="G541" s="69">
        <f>'прил 5,'!G688</f>
        <v>978810.2</v>
      </c>
      <c r="H541" s="69">
        <f>'прил 5,'!H688</f>
        <v>978810.2</v>
      </c>
      <c r="I541" s="170"/>
    </row>
    <row r="542" spans="1:19" s="3" customFormat="1" ht="49.5" customHeight="1">
      <c r="A542" s="16" t="s">
        <v>1035</v>
      </c>
      <c r="B542" s="14">
        <v>774</v>
      </c>
      <c r="C542" s="15" t="s">
        <v>26</v>
      </c>
      <c r="D542" s="15" t="s">
        <v>28</v>
      </c>
      <c r="E542" s="83" t="s">
        <v>1034</v>
      </c>
      <c r="F542" s="15"/>
      <c r="G542" s="69">
        <f t="shared" ref="G542:H543" si="142">G543</f>
        <v>40000</v>
      </c>
      <c r="H542" s="69">
        <f t="shared" si="142"/>
        <v>40000</v>
      </c>
      <c r="I542" s="171"/>
      <c r="J542" s="190"/>
      <c r="K542" s="190"/>
      <c r="L542" s="190"/>
      <c r="M542" s="190"/>
      <c r="N542" s="190"/>
      <c r="O542" s="190"/>
      <c r="P542" s="190"/>
      <c r="Q542" s="190"/>
    </row>
    <row r="543" spans="1:19" s="3" customFormat="1" ht="25.5">
      <c r="A543" s="16" t="s">
        <v>30</v>
      </c>
      <c r="B543" s="14">
        <v>774</v>
      </c>
      <c r="C543" s="15" t="s">
        <v>26</v>
      </c>
      <c r="D543" s="15" t="s">
        <v>28</v>
      </c>
      <c r="E543" s="83" t="s">
        <v>1034</v>
      </c>
      <c r="F543" s="15" t="s">
        <v>31</v>
      </c>
      <c r="G543" s="69">
        <f t="shared" si="142"/>
        <v>40000</v>
      </c>
      <c r="H543" s="69">
        <f t="shared" si="142"/>
        <v>40000</v>
      </c>
      <c r="I543" s="171"/>
      <c r="J543" s="190"/>
      <c r="K543" s="190"/>
      <c r="L543" s="190"/>
      <c r="M543" s="190"/>
      <c r="N543" s="190"/>
      <c r="O543" s="190"/>
      <c r="P543" s="190"/>
      <c r="Q543" s="190"/>
    </row>
    <row r="544" spans="1:19" s="3" customFormat="1">
      <c r="A544" s="16" t="s">
        <v>32</v>
      </c>
      <c r="B544" s="14">
        <v>774</v>
      </c>
      <c r="C544" s="15" t="s">
        <v>26</v>
      </c>
      <c r="D544" s="15" t="s">
        <v>28</v>
      </c>
      <c r="E544" s="83" t="s">
        <v>1034</v>
      </c>
      <c r="F544" s="15" t="s">
        <v>33</v>
      </c>
      <c r="G544" s="69">
        <v>40000</v>
      </c>
      <c r="H544" s="69">
        <v>40000</v>
      </c>
      <c r="I544" s="171"/>
      <c r="J544" s="190"/>
      <c r="K544" s="190"/>
      <c r="L544" s="190"/>
      <c r="M544" s="190"/>
      <c r="N544" s="190"/>
      <c r="O544" s="190"/>
      <c r="P544" s="190"/>
      <c r="Q544" s="190"/>
    </row>
    <row r="545" spans="1:17" s="3" customFormat="1" ht="49.5" customHeight="1">
      <c r="A545" s="16" t="s">
        <v>907</v>
      </c>
      <c r="B545" s="14">
        <v>774</v>
      </c>
      <c r="C545" s="15" t="s">
        <v>26</v>
      </c>
      <c r="D545" s="15" t="s">
        <v>28</v>
      </c>
      <c r="E545" s="83" t="s">
        <v>892</v>
      </c>
      <c r="F545" s="15"/>
      <c r="G545" s="69">
        <f t="shared" ref="G545:H546" si="143">G546</f>
        <v>0</v>
      </c>
      <c r="H545" s="69">
        <f t="shared" si="143"/>
        <v>0</v>
      </c>
      <c r="I545" s="170"/>
    </row>
    <row r="546" spans="1:17" s="3" customFormat="1" ht="25.5">
      <c r="A546" s="16" t="s">
        <v>30</v>
      </c>
      <c r="B546" s="14">
        <v>774</v>
      </c>
      <c r="C546" s="15" t="s">
        <v>26</v>
      </c>
      <c r="D546" s="15" t="s">
        <v>28</v>
      </c>
      <c r="E546" s="83" t="s">
        <v>892</v>
      </c>
      <c r="F546" s="15" t="s">
        <v>31</v>
      </c>
      <c r="G546" s="69">
        <f t="shared" si="143"/>
        <v>0</v>
      </c>
      <c r="H546" s="69">
        <f t="shared" si="143"/>
        <v>0</v>
      </c>
      <c r="I546" s="170"/>
    </row>
    <row r="547" spans="1:17" s="3" customFormat="1">
      <c r="A547" s="16" t="s">
        <v>32</v>
      </c>
      <c r="B547" s="14">
        <v>774</v>
      </c>
      <c r="C547" s="15" t="s">
        <v>26</v>
      </c>
      <c r="D547" s="15" t="s">
        <v>28</v>
      </c>
      <c r="E547" s="83" t="s">
        <v>892</v>
      </c>
      <c r="F547" s="15" t="s">
        <v>33</v>
      </c>
      <c r="G547" s="69">
        <f>'прил 5,'!G685</f>
        <v>0</v>
      </c>
      <c r="H547" s="69">
        <f>'прил 5,'!H685</f>
        <v>0</v>
      </c>
      <c r="I547" s="170"/>
    </row>
    <row r="548" spans="1:17" s="3" customFormat="1" ht="49.5" customHeight="1">
      <c r="A548" s="16" t="s">
        <v>1041</v>
      </c>
      <c r="B548" s="14">
        <v>774</v>
      </c>
      <c r="C548" s="15" t="s">
        <v>26</v>
      </c>
      <c r="D548" s="15" t="s">
        <v>28</v>
      </c>
      <c r="E548" s="83" t="s">
        <v>1040</v>
      </c>
      <c r="F548" s="15"/>
      <c r="G548" s="69">
        <f t="shared" ref="G548:H549" si="144">G549</f>
        <v>750000</v>
      </c>
      <c r="H548" s="69">
        <f t="shared" si="144"/>
        <v>750000</v>
      </c>
      <c r="I548" s="171"/>
      <c r="J548" s="190"/>
      <c r="K548" s="190"/>
      <c r="L548" s="190"/>
      <c r="M548" s="190"/>
      <c r="N548" s="190"/>
      <c r="O548" s="190"/>
      <c r="P548" s="190"/>
      <c r="Q548" s="190"/>
    </row>
    <row r="549" spans="1:17" s="3" customFormat="1" ht="25.5">
      <c r="A549" s="16" t="s">
        <v>30</v>
      </c>
      <c r="B549" s="14">
        <v>774</v>
      </c>
      <c r="C549" s="15" t="s">
        <v>26</v>
      </c>
      <c r="D549" s="15" t="s">
        <v>28</v>
      </c>
      <c r="E549" s="83" t="s">
        <v>1040</v>
      </c>
      <c r="F549" s="15" t="s">
        <v>31</v>
      </c>
      <c r="G549" s="69">
        <f t="shared" si="144"/>
        <v>750000</v>
      </c>
      <c r="H549" s="69">
        <f t="shared" si="144"/>
        <v>750000</v>
      </c>
      <c r="I549" s="171"/>
      <c r="J549" s="190"/>
      <c r="K549" s="190"/>
      <c r="L549" s="190"/>
      <c r="M549" s="190"/>
      <c r="N549" s="190"/>
      <c r="O549" s="190"/>
      <c r="P549" s="190"/>
      <c r="Q549" s="190"/>
    </row>
    <row r="550" spans="1:17" s="3" customFormat="1">
      <c r="A550" s="16" t="s">
        <v>32</v>
      </c>
      <c r="B550" s="14">
        <v>774</v>
      </c>
      <c r="C550" s="15" t="s">
        <v>26</v>
      </c>
      <c r="D550" s="15" t="s">
        <v>28</v>
      </c>
      <c r="E550" s="83" t="s">
        <v>1040</v>
      </c>
      <c r="F550" s="15" t="s">
        <v>33</v>
      </c>
      <c r="G550" s="69">
        <f>'прил 5,'!G691</f>
        <v>750000</v>
      </c>
      <c r="H550" s="69">
        <f>'прил 5,'!H691</f>
        <v>750000</v>
      </c>
      <c r="I550" s="171"/>
      <c r="J550" s="190"/>
      <c r="K550" s="190"/>
      <c r="L550" s="190"/>
      <c r="M550" s="190"/>
      <c r="N550" s="190"/>
      <c r="O550" s="190"/>
      <c r="P550" s="190"/>
      <c r="Q550" s="190"/>
    </row>
    <row r="551" spans="1:17" s="3" customFormat="1" ht="49.5" customHeight="1">
      <c r="A551" s="16" t="s">
        <v>1045</v>
      </c>
      <c r="B551" s="14">
        <v>774</v>
      </c>
      <c r="C551" s="15" t="s">
        <v>26</v>
      </c>
      <c r="D551" s="15" t="s">
        <v>28</v>
      </c>
      <c r="E551" s="83" t="s">
        <v>1044</v>
      </c>
      <c r="F551" s="15"/>
      <c r="G551" s="69">
        <f t="shared" ref="G551:H552" si="145">G552</f>
        <v>30000</v>
      </c>
      <c r="H551" s="69">
        <f t="shared" si="145"/>
        <v>30000</v>
      </c>
      <c r="I551" s="171"/>
      <c r="J551" s="190"/>
      <c r="K551" s="190"/>
      <c r="L551" s="190"/>
      <c r="M551" s="190"/>
      <c r="N551" s="190"/>
      <c r="O551" s="190"/>
      <c r="P551" s="190"/>
      <c r="Q551" s="190"/>
    </row>
    <row r="552" spans="1:17" s="3" customFormat="1" ht="25.5">
      <c r="A552" s="16" t="s">
        <v>30</v>
      </c>
      <c r="B552" s="14">
        <v>774</v>
      </c>
      <c r="C552" s="15" t="s">
        <v>26</v>
      </c>
      <c r="D552" s="15" t="s">
        <v>28</v>
      </c>
      <c r="E552" s="83" t="s">
        <v>1044</v>
      </c>
      <c r="F552" s="15" t="s">
        <v>31</v>
      </c>
      <c r="G552" s="69">
        <f t="shared" si="145"/>
        <v>30000</v>
      </c>
      <c r="H552" s="69">
        <f t="shared" si="145"/>
        <v>30000</v>
      </c>
      <c r="I552" s="171"/>
      <c r="J552" s="190"/>
      <c r="K552" s="190"/>
      <c r="L552" s="190"/>
      <c r="M552" s="190"/>
      <c r="N552" s="190"/>
      <c r="O552" s="190"/>
      <c r="P552" s="190"/>
      <c r="Q552" s="190"/>
    </row>
    <row r="553" spans="1:17" s="3" customFormat="1">
      <c r="A553" s="16" t="s">
        <v>32</v>
      </c>
      <c r="B553" s="14">
        <v>774</v>
      </c>
      <c r="C553" s="15" t="s">
        <v>26</v>
      </c>
      <c r="D553" s="15" t="s">
        <v>28</v>
      </c>
      <c r="E553" s="83" t="s">
        <v>1044</v>
      </c>
      <c r="F553" s="15" t="s">
        <v>33</v>
      </c>
      <c r="G553" s="69">
        <f>'прил 5,'!G694</f>
        <v>30000</v>
      </c>
      <c r="H553" s="69">
        <f>'прил 5,'!H694</f>
        <v>30000</v>
      </c>
      <c r="I553" s="171"/>
      <c r="J553" s="190"/>
      <c r="K553" s="190"/>
      <c r="L553" s="190"/>
      <c r="M553" s="190"/>
      <c r="N553" s="190"/>
      <c r="O553" s="190"/>
      <c r="P553" s="190"/>
      <c r="Q553" s="190"/>
    </row>
    <row r="554" spans="1:17" s="147" customFormat="1" ht="61.5" customHeight="1">
      <c r="A554" s="81" t="s">
        <v>1064</v>
      </c>
      <c r="B554" s="145">
        <v>774</v>
      </c>
      <c r="C554" s="83" t="s">
        <v>26</v>
      </c>
      <c r="D554" s="83" t="s">
        <v>28</v>
      </c>
      <c r="E554" s="83" t="s">
        <v>1059</v>
      </c>
      <c r="F554" s="83"/>
      <c r="G554" s="86">
        <f t="shared" ref="G554:H567" si="146">G555</f>
        <v>55000</v>
      </c>
      <c r="H554" s="86">
        <f t="shared" si="146"/>
        <v>55000</v>
      </c>
      <c r="I554" s="171"/>
      <c r="J554" s="190"/>
      <c r="K554" s="190"/>
      <c r="L554" s="190"/>
      <c r="M554" s="190"/>
      <c r="N554" s="190"/>
      <c r="O554" s="190"/>
      <c r="P554" s="190"/>
      <c r="Q554" s="190"/>
    </row>
    <row r="555" spans="1:17" s="3" customFormat="1" ht="25.5">
      <c r="A555" s="81" t="s">
        <v>30</v>
      </c>
      <c r="B555" s="145">
        <v>774</v>
      </c>
      <c r="C555" s="83" t="s">
        <v>26</v>
      </c>
      <c r="D555" s="83" t="s">
        <v>28</v>
      </c>
      <c r="E555" s="83" t="s">
        <v>1059</v>
      </c>
      <c r="F555" s="83" t="s">
        <v>31</v>
      </c>
      <c r="G555" s="86">
        <f t="shared" si="146"/>
        <v>55000</v>
      </c>
      <c r="H555" s="86">
        <f t="shared" si="146"/>
        <v>55000</v>
      </c>
      <c r="I555" s="171"/>
      <c r="J555" s="190"/>
      <c r="K555" s="190"/>
      <c r="L555" s="190"/>
      <c r="M555" s="190"/>
      <c r="N555" s="190"/>
      <c r="O555" s="190"/>
      <c r="P555" s="190"/>
      <c r="Q555" s="190"/>
    </row>
    <row r="556" spans="1:17" s="3" customFormat="1">
      <c r="A556" s="81" t="s">
        <v>32</v>
      </c>
      <c r="B556" s="145">
        <v>774</v>
      </c>
      <c r="C556" s="83" t="s">
        <v>26</v>
      </c>
      <c r="D556" s="83" t="s">
        <v>28</v>
      </c>
      <c r="E556" s="83" t="s">
        <v>1059</v>
      </c>
      <c r="F556" s="83" t="s">
        <v>33</v>
      </c>
      <c r="G556" s="86">
        <v>55000</v>
      </c>
      <c r="H556" s="86">
        <v>55000</v>
      </c>
      <c r="I556" s="171"/>
      <c r="J556" s="190"/>
      <c r="K556" s="190"/>
      <c r="L556" s="190"/>
      <c r="M556" s="190"/>
      <c r="N556" s="190"/>
      <c r="O556" s="190"/>
      <c r="P556" s="190"/>
      <c r="Q556" s="190"/>
    </row>
    <row r="557" spans="1:17" s="3" customFormat="1" ht="37.5" customHeight="1">
      <c r="A557" s="81" t="s">
        <v>1082</v>
      </c>
      <c r="B557" s="145">
        <v>774</v>
      </c>
      <c r="C557" s="83" t="s">
        <v>26</v>
      </c>
      <c r="D557" s="83" t="s">
        <v>28</v>
      </c>
      <c r="E557" s="83" t="s">
        <v>1060</v>
      </c>
      <c r="F557" s="83"/>
      <c r="G557" s="86">
        <f t="shared" si="146"/>
        <v>157081.29</v>
      </c>
      <c r="H557" s="86">
        <f t="shared" si="146"/>
        <v>157081.29</v>
      </c>
      <c r="I557" s="171"/>
      <c r="J557" s="190"/>
      <c r="K557" s="190"/>
      <c r="L557" s="190"/>
      <c r="M557" s="190"/>
      <c r="N557" s="190"/>
      <c r="O557" s="190"/>
      <c r="P557" s="190"/>
      <c r="Q557" s="190"/>
    </row>
    <row r="558" spans="1:17" s="3" customFormat="1" ht="25.5">
      <c r="A558" s="81" t="s">
        <v>30</v>
      </c>
      <c r="B558" s="145">
        <v>774</v>
      </c>
      <c r="C558" s="83" t="s">
        <v>26</v>
      </c>
      <c r="D558" s="83" t="s">
        <v>28</v>
      </c>
      <c r="E558" s="83" t="s">
        <v>1060</v>
      </c>
      <c r="F558" s="83" t="s">
        <v>31</v>
      </c>
      <c r="G558" s="86">
        <f t="shared" si="146"/>
        <v>157081.29</v>
      </c>
      <c r="H558" s="86">
        <f t="shared" si="146"/>
        <v>157081.29</v>
      </c>
      <c r="I558" s="171"/>
      <c r="J558" s="190"/>
      <c r="K558" s="190"/>
      <c r="L558" s="190"/>
      <c r="M558" s="190"/>
      <c r="N558" s="190"/>
      <c r="O558" s="190"/>
      <c r="P558" s="190"/>
      <c r="Q558" s="190"/>
    </row>
    <row r="559" spans="1:17" s="3" customFormat="1">
      <c r="A559" s="81" t="s">
        <v>32</v>
      </c>
      <c r="B559" s="145">
        <v>774</v>
      </c>
      <c r="C559" s="83" t="s">
        <v>26</v>
      </c>
      <c r="D559" s="83" t="s">
        <v>28</v>
      </c>
      <c r="E559" s="83" t="s">
        <v>1060</v>
      </c>
      <c r="F559" s="83" t="s">
        <v>33</v>
      </c>
      <c r="G559" s="86">
        <f>'прил 5,'!G700</f>
        <v>157081.29</v>
      </c>
      <c r="H559" s="86">
        <f>'прил 5,'!H700</f>
        <v>157081.29</v>
      </c>
      <c r="I559" s="171"/>
      <c r="J559" s="190"/>
      <c r="K559" s="190"/>
      <c r="L559" s="190"/>
      <c r="M559" s="190"/>
      <c r="N559" s="190"/>
      <c r="O559" s="190"/>
      <c r="P559" s="190"/>
      <c r="Q559" s="190"/>
    </row>
    <row r="560" spans="1:17" s="3" customFormat="1" ht="36" customHeight="1">
      <c r="A560" s="81" t="s">
        <v>1065</v>
      </c>
      <c r="B560" s="145">
        <v>774</v>
      </c>
      <c r="C560" s="83" t="s">
        <v>26</v>
      </c>
      <c r="D560" s="83" t="s">
        <v>28</v>
      </c>
      <c r="E560" s="83" t="s">
        <v>1061</v>
      </c>
      <c r="F560" s="83"/>
      <c r="G560" s="86">
        <f t="shared" si="146"/>
        <v>102969.74</v>
      </c>
      <c r="H560" s="86">
        <f t="shared" si="146"/>
        <v>102969.74</v>
      </c>
      <c r="I560" s="171"/>
      <c r="J560" s="190"/>
      <c r="K560" s="190"/>
      <c r="L560" s="190"/>
      <c r="M560" s="190"/>
      <c r="N560" s="190"/>
      <c r="O560" s="190"/>
      <c r="P560" s="190"/>
      <c r="Q560" s="190"/>
    </row>
    <row r="561" spans="1:17" s="3" customFormat="1" ht="25.5">
      <c r="A561" s="81" t="s">
        <v>30</v>
      </c>
      <c r="B561" s="145">
        <v>774</v>
      </c>
      <c r="C561" s="83" t="s">
        <v>26</v>
      </c>
      <c r="D561" s="83" t="s">
        <v>28</v>
      </c>
      <c r="E561" s="83" t="s">
        <v>1061</v>
      </c>
      <c r="F561" s="83" t="s">
        <v>31</v>
      </c>
      <c r="G561" s="86">
        <f t="shared" si="146"/>
        <v>102969.74</v>
      </c>
      <c r="H561" s="86">
        <f t="shared" si="146"/>
        <v>102969.74</v>
      </c>
      <c r="I561" s="171"/>
      <c r="J561" s="190"/>
      <c r="K561" s="190"/>
      <c r="L561" s="190"/>
      <c r="M561" s="190"/>
      <c r="N561" s="190"/>
      <c r="O561" s="190"/>
      <c r="P561" s="190"/>
      <c r="Q561" s="190"/>
    </row>
    <row r="562" spans="1:17" s="3" customFormat="1">
      <c r="A562" s="81" t="s">
        <v>32</v>
      </c>
      <c r="B562" s="145">
        <v>774</v>
      </c>
      <c r="C562" s="83" t="s">
        <v>26</v>
      </c>
      <c r="D562" s="83" t="s">
        <v>28</v>
      </c>
      <c r="E562" s="83" t="s">
        <v>1061</v>
      </c>
      <c r="F562" s="83" t="s">
        <v>33</v>
      </c>
      <c r="G562" s="86">
        <v>102969.74</v>
      </c>
      <c r="H562" s="86">
        <v>102969.74</v>
      </c>
      <c r="I562" s="171"/>
      <c r="J562" s="190"/>
      <c r="K562" s="190"/>
      <c r="L562" s="190"/>
      <c r="M562" s="190"/>
      <c r="N562" s="190"/>
      <c r="O562" s="190"/>
      <c r="P562" s="190"/>
      <c r="Q562" s="190"/>
    </row>
    <row r="563" spans="1:17" s="3" customFormat="1" ht="49.5" customHeight="1">
      <c r="A563" s="81" t="s">
        <v>1067</v>
      </c>
      <c r="B563" s="145">
        <v>774</v>
      </c>
      <c r="C563" s="83" t="s">
        <v>26</v>
      </c>
      <c r="D563" s="83" t="s">
        <v>28</v>
      </c>
      <c r="E563" s="83" t="s">
        <v>1062</v>
      </c>
      <c r="F563" s="83"/>
      <c r="G563" s="86">
        <f t="shared" si="146"/>
        <v>181777.27</v>
      </c>
      <c r="H563" s="86">
        <f t="shared" si="146"/>
        <v>181777.27</v>
      </c>
      <c r="I563" s="171"/>
      <c r="J563" s="190"/>
      <c r="K563" s="190"/>
      <c r="L563" s="190"/>
      <c r="M563" s="190"/>
      <c r="N563" s="190"/>
      <c r="O563" s="190"/>
      <c r="P563" s="190"/>
      <c r="Q563" s="190"/>
    </row>
    <row r="564" spans="1:17" s="3" customFormat="1" ht="25.5">
      <c r="A564" s="81" t="s">
        <v>30</v>
      </c>
      <c r="B564" s="145">
        <v>774</v>
      </c>
      <c r="C564" s="83" t="s">
        <v>26</v>
      </c>
      <c r="D564" s="83" t="s">
        <v>28</v>
      </c>
      <c r="E564" s="83" t="s">
        <v>1062</v>
      </c>
      <c r="F564" s="83" t="s">
        <v>31</v>
      </c>
      <c r="G564" s="86">
        <f t="shared" si="146"/>
        <v>181777.27</v>
      </c>
      <c r="H564" s="86">
        <f t="shared" si="146"/>
        <v>181777.27</v>
      </c>
      <c r="I564" s="171"/>
      <c r="J564" s="190"/>
      <c r="K564" s="190"/>
      <c r="L564" s="190"/>
      <c r="M564" s="190"/>
      <c r="N564" s="190"/>
      <c r="O564" s="190"/>
      <c r="P564" s="190"/>
      <c r="Q564" s="190"/>
    </row>
    <row r="565" spans="1:17" s="3" customFormat="1">
      <c r="A565" s="81" t="s">
        <v>32</v>
      </c>
      <c r="B565" s="145">
        <v>774</v>
      </c>
      <c r="C565" s="83" t="s">
        <v>26</v>
      </c>
      <c r="D565" s="83" t="s">
        <v>28</v>
      </c>
      <c r="E565" s="83" t="s">
        <v>1062</v>
      </c>
      <c r="F565" s="83" t="s">
        <v>33</v>
      </c>
      <c r="G565" s="86">
        <v>181777.27</v>
      </c>
      <c r="H565" s="86">
        <v>181777.27</v>
      </c>
      <c r="I565" s="171"/>
      <c r="J565" s="190"/>
      <c r="K565" s="190"/>
      <c r="L565" s="190"/>
      <c r="M565" s="190"/>
      <c r="N565" s="190"/>
      <c r="O565" s="190"/>
      <c r="P565" s="190"/>
      <c r="Q565" s="190"/>
    </row>
    <row r="566" spans="1:17" s="3" customFormat="1" ht="39.75" customHeight="1">
      <c r="A566" s="81" t="s">
        <v>1066</v>
      </c>
      <c r="B566" s="145">
        <v>774</v>
      </c>
      <c r="C566" s="83" t="s">
        <v>26</v>
      </c>
      <c r="D566" s="83" t="s">
        <v>28</v>
      </c>
      <c r="E566" s="83" t="s">
        <v>1063</v>
      </c>
      <c r="F566" s="83"/>
      <c r="G566" s="86">
        <f t="shared" si="146"/>
        <v>0</v>
      </c>
      <c r="H566" s="86">
        <f t="shared" si="146"/>
        <v>0</v>
      </c>
      <c r="I566" s="171"/>
      <c r="J566" s="190"/>
      <c r="K566" s="190"/>
      <c r="L566" s="190"/>
      <c r="M566" s="190"/>
      <c r="N566" s="190"/>
      <c r="O566" s="190"/>
      <c r="P566" s="190"/>
      <c r="Q566" s="190"/>
    </row>
    <row r="567" spans="1:17" s="3" customFormat="1" ht="25.5">
      <c r="A567" s="81" t="s">
        <v>30</v>
      </c>
      <c r="B567" s="145">
        <v>774</v>
      </c>
      <c r="C567" s="83" t="s">
        <v>26</v>
      </c>
      <c r="D567" s="83" t="s">
        <v>28</v>
      </c>
      <c r="E567" s="83" t="s">
        <v>1063</v>
      </c>
      <c r="F567" s="83" t="s">
        <v>31</v>
      </c>
      <c r="G567" s="86">
        <f t="shared" si="146"/>
        <v>0</v>
      </c>
      <c r="H567" s="86">
        <f t="shared" si="146"/>
        <v>0</v>
      </c>
      <c r="I567" s="171"/>
      <c r="J567" s="190"/>
      <c r="K567" s="190"/>
      <c r="L567" s="190"/>
      <c r="M567" s="190"/>
      <c r="N567" s="190"/>
      <c r="O567" s="190"/>
      <c r="P567" s="190"/>
      <c r="Q567" s="190"/>
    </row>
    <row r="568" spans="1:17" s="3" customFormat="1">
      <c r="A568" s="81" t="s">
        <v>32</v>
      </c>
      <c r="B568" s="145">
        <v>774</v>
      </c>
      <c r="C568" s="83" t="s">
        <v>26</v>
      </c>
      <c r="D568" s="83" t="s">
        <v>28</v>
      </c>
      <c r="E568" s="83" t="s">
        <v>1063</v>
      </c>
      <c r="F568" s="83" t="s">
        <v>33</v>
      </c>
      <c r="G568" s="86">
        <f>'прил 5,'!G709</f>
        <v>0</v>
      </c>
      <c r="H568" s="86">
        <v>0</v>
      </c>
      <c r="I568" s="171"/>
      <c r="J568" s="190"/>
      <c r="K568" s="190"/>
      <c r="L568" s="190"/>
      <c r="M568" s="190"/>
      <c r="N568" s="190"/>
      <c r="O568" s="190"/>
      <c r="P568" s="190"/>
      <c r="Q568" s="190"/>
    </row>
    <row r="569" spans="1:17" s="3" customFormat="1" ht="38.25" customHeight="1">
      <c r="A569" s="81" t="s">
        <v>1077</v>
      </c>
      <c r="B569" s="145">
        <v>774</v>
      </c>
      <c r="C569" s="83" t="s">
        <v>26</v>
      </c>
      <c r="D569" s="83" t="s">
        <v>28</v>
      </c>
      <c r="E569" s="83" t="s">
        <v>1073</v>
      </c>
      <c r="F569" s="83"/>
      <c r="G569" s="86">
        <f t="shared" ref="G569:H570" si="147">G570</f>
        <v>550308.69999999995</v>
      </c>
      <c r="H569" s="86">
        <f t="shared" si="147"/>
        <v>550308.69999999995</v>
      </c>
      <c r="I569" s="171"/>
      <c r="J569" s="190"/>
      <c r="K569" s="190"/>
      <c r="L569" s="190"/>
      <c r="M569" s="190"/>
      <c r="N569" s="190"/>
      <c r="O569" s="190"/>
      <c r="P569" s="190"/>
      <c r="Q569" s="190"/>
    </row>
    <row r="570" spans="1:17" s="3" customFormat="1" ht="25.5">
      <c r="A570" s="81" t="s">
        <v>30</v>
      </c>
      <c r="B570" s="145">
        <v>774</v>
      </c>
      <c r="C570" s="83" t="s">
        <v>26</v>
      </c>
      <c r="D570" s="83" t="s">
        <v>28</v>
      </c>
      <c r="E570" s="83" t="s">
        <v>1073</v>
      </c>
      <c r="F570" s="83" t="s">
        <v>31</v>
      </c>
      <c r="G570" s="86">
        <f t="shared" si="147"/>
        <v>550308.69999999995</v>
      </c>
      <c r="H570" s="86">
        <f t="shared" si="147"/>
        <v>550308.69999999995</v>
      </c>
      <c r="I570" s="171"/>
      <c r="J570" s="190"/>
      <c r="K570" s="190"/>
      <c r="L570" s="190"/>
      <c r="M570" s="190"/>
      <c r="N570" s="190"/>
      <c r="O570" s="190"/>
      <c r="P570" s="190"/>
      <c r="Q570" s="190"/>
    </row>
    <row r="571" spans="1:17" s="3" customFormat="1">
      <c r="A571" s="81" t="s">
        <v>32</v>
      </c>
      <c r="B571" s="145">
        <v>774</v>
      </c>
      <c r="C571" s="83" t="s">
        <v>26</v>
      </c>
      <c r="D571" s="83" t="s">
        <v>28</v>
      </c>
      <c r="E571" s="83" t="s">
        <v>1073</v>
      </c>
      <c r="F571" s="83" t="s">
        <v>33</v>
      </c>
      <c r="G571" s="86">
        <f>'прил 5,'!G712</f>
        <v>550308.69999999995</v>
      </c>
      <c r="H571" s="86">
        <f>'прил 5,'!H712</f>
        <v>550308.69999999995</v>
      </c>
      <c r="I571" s="171"/>
      <c r="J571" s="190"/>
      <c r="K571" s="190"/>
      <c r="L571" s="190"/>
      <c r="M571" s="190"/>
      <c r="N571" s="190"/>
      <c r="O571" s="190"/>
      <c r="P571" s="190"/>
      <c r="Q571" s="190"/>
    </row>
    <row r="572" spans="1:17" ht="38.25">
      <c r="A572" s="16" t="s">
        <v>412</v>
      </c>
      <c r="B572" s="14">
        <v>774</v>
      </c>
      <c r="C572" s="15" t="s">
        <v>26</v>
      </c>
      <c r="D572" s="15" t="s">
        <v>28</v>
      </c>
      <c r="E572" s="83" t="s">
        <v>821</v>
      </c>
      <c r="F572" s="83"/>
      <c r="G572" s="84">
        <f t="shared" ref="G572:H573" si="148">G573</f>
        <v>0</v>
      </c>
      <c r="H572" s="84">
        <f t="shared" si="148"/>
        <v>0</v>
      </c>
    </row>
    <row r="573" spans="1:17" ht="25.5">
      <c r="A573" s="16" t="s">
        <v>30</v>
      </c>
      <c r="B573" s="14">
        <v>774</v>
      </c>
      <c r="C573" s="15" t="s">
        <v>26</v>
      </c>
      <c r="D573" s="15" t="s">
        <v>28</v>
      </c>
      <c r="E573" s="83" t="s">
        <v>821</v>
      </c>
      <c r="F573" s="83" t="s">
        <v>31</v>
      </c>
      <c r="G573" s="84">
        <f t="shared" si="148"/>
        <v>0</v>
      </c>
      <c r="H573" s="84">
        <f t="shared" si="148"/>
        <v>0</v>
      </c>
    </row>
    <row r="574" spans="1:17">
      <c r="A574" s="16" t="s">
        <v>32</v>
      </c>
      <c r="B574" s="14">
        <v>774</v>
      </c>
      <c r="C574" s="15" t="s">
        <v>26</v>
      </c>
      <c r="D574" s="15" t="s">
        <v>28</v>
      </c>
      <c r="E574" s="83" t="s">
        <v>821</v>
      </c>
      <c r="F574" s="83" t="s">
        <v>33</v>
      </c>
      <c r="G574" s="84">
        <f>'прил 5,'!G721</f>
        <v>0</v>
      </c>
      <c r="H574" s="84">
        <f>'прил 5,'!H721</f>
        <v>0</v>
      </c>
    </row>
    <row r="575" spans="1:17">
      <c r="A575" s="16" t="s">
        <v>727</v>
      </c>
      <c r="B575" s="14">
        <v>774</v>
      </c>
      <c r="C575" s="15" t="s">
        <v>26</v>
      </c>
      <c r="D575" s="15" t="s">
        <v>28</v>
      </c>
      <c r="E575" s="83" t="s">
        <v>929</v>
      </c>
      <c r="F575" s="83"/>
      <c r="G575" s="84">
        <f>G576</f>
        <v>149599646.68000001</v>
      </c>
      <c r="H575" s="8">
        <f t="shared" ref="G575:H576" si="149">H576</f>
        <v>149599646.68000001</v>
      </c>
      <c r="I575" s="1"/>
    </row>
    <row r="576" spans="1:17" ht="25.5">
      <c r="A576" s="16" t="s">
        <v>30</v>
      </c>
      <c r="B576" s="14">
        <v>774</v>
      </c>
      <c r="C576" s="15" t="s">
        <v>26</v>
      </c>
      <c r="D576" s="15" t="s">
        <v>28</v>
      </c>
      <c r="E576" s="83" t="s">
        <v>929</v>
      </c>
      <c r="F576" s="83" t="s">
        <v>31</v>
      </c>
      <c r="G576" s="84">
        <f t="shared" si="149"/>
        <v>149599646.68000001</v>
      </c>
      <c r="H576" s="8">
        <f t="shared" si="149"/>
        <v>149599646.68000001</v>
      </c>
      <c r="I576" s="1"/>
    </row>
    <row r="577" spans="1:19">
      <c r="A577" s="16" t="s">
        <v>32</v>
      </c>
      <c r="B577" s="14">
        <v>774</v>
      </c>
      <c r="C577" s="15" t="s">
        <v>26</v>
      </c>
      <c r="D577" s="15" t="s">
        <v>28</v>
      </c>
      <c r="E577" s="83" t="s">
        <v>929</v>
      </c>
      <c r="F577" s="83" t="s">
        <v>33</v>
      </c>
      <c r="G577" s="84">
        <f>'прил 5,'!G724</f>
        <v>149599646.68000001</v>
      </c>
      <c r="H577" s="8">
        <f>'прил 5,'!H724</f>
        <v>149599646.68000001</v>
      </c>
      <c r="I577" s="1"/>
    </row>
    <row r="578" spans="1:19" s="3" customFormat="1" hidden="1">
      <c r="A578" s="16" t="s">
        <v>428</v>
      </c>
      <c r="B578" s="14">
        <v>774</v>
      </c>
      <c r="C578" s="15" t="s">
        <v>26</v>
      </c>
      <c r="D578" s="15" t="s">
        <v>19</v>
      </c>
      <c r="E578" s="83" t="s">
        <v>427</v>
      </c>
      <c r="F578" s="83"/>
      <c r="G578" s="86">
        <f>G579</f>
        <v>0</v>
      </c>
      <c r="H578" s="69">
        <f>H579</f>
        <v>0</v>
      </c>
      <c r="I578" s="108"/>
      <c r="O578" s="108"/>
      <c r="P578" s="108"/>
      <c r="Q578" s="108"/>
      <c r="R578" s="108"/>
      <c r="S578" s="108"/>
    </row>
    <row r="579" spans="1:19" s="3" customFormat="1" hidden="1">
      <c r="A579" s="16" t="s">
        <v>32</v>
      </c>
      <c r="B579" s="14">
        <v>774</v>
      </c>
      <c r="C579" s="15" t="s">
        <v>26</v>
      </c>
      <c r="D579" s="15" t="s">
        <v>19</v>
      </c>
      <c r="E579" s="83" t="s">
        <v>427</v>
      </c>
      <c r="F579" s="83" t="s">
        <v>33</v>
      </c>
      <c r="G579" s="86"/>
      <c r="H579" s="69">
        <f>'прил 5,'!H492</f>
        <v>0</v>
      </c>
      <c r="I579" s="108"/>
      <c r="O579" s="108"/>
      <c r="P579" s="108"/>
      <c r="Q579" s="108"/>
      <c r="R579" s="108"/>
      <c r="S579" s="108"/>
    </row>
    <row r="580" spans="1:19" ht="25.5" hidden="1" customHeight="1">
      <c r="A580" s="16" t="s">
        <v>769</v>
      </c>
      <c r="B580" s="14">
        <v>774</v>
      </c>
      <c r="C580" s="15" t="s">
        <v>26</v>
      </c>
      <c r="D580" s="15" t="s">
        <v>19</v>
      </c>
      <c r="E580" s="15" t="s">
        <v>768</v>
      </c>
      <c r="F580" s="14"/>
      <c r="G580" s="69">
        <f t="shared" ref="G580:H581" si="150">G581</f>
        <v>0</v>
      </c>
      <c r="H580" s="69">
        <f t="shared" si="150"/>
        <v>0</v>
      </c>
      <c r="I580" s="1"/>
    </row>
    <row r="581" spans="1:19" ht="25.5" hidden="1" customHeight="1">
      <c r="A581" s="16" t="s">
        <v>30</v>
      </c>
      <c r="B581" s="14">
        <v>774</v>
      </c>
      <c r="C581" s="15" t="s">
        <v>26</v>
      </c>
      <c r="D581" s="15" t="s">
        <v>19</v>
      </c>
      <c r="E581" s="15" t="s">
        <v>768</v>
      </c>
      <c r="F581" s="15" t="s">
        <v>31</v>
      </c>
      <c r="G581" s="69">
        <f t="shared" si="150"/>
        <v>0</v>
      </c>
      <c r="H581" s="69">
        <f t="shared" si="150"/>
        <v>0</v>
      </c>
      <c r="I581" s="1"/>
    </row>
    <row r="582" spans="1:19" ht="25.5" hidden="1" customHeight="1">
      <c r="A582" s="16" t="s">
        <v>32</v>
      </c>
      <c r="B582" s="14">
        <v>774</v>
      </c>
      <c r="C582" s="15" t="s">
        <v>26</v>
      </c>
      <c r="D582" s="15" t="s">
        <v>19</v>
      </c>
      <c r="E582" s="15" t="s">
        <v>768</v>
      </c>
      <c r="F582" s="15" t="s">
        <v>33</v>
      </c>
      <c r="G582" s="69"/>
      <c r="H582" s="69"/>
      <c r="I582" s="1"/>
    </row>
    <row r="583" spans="1:19" s="3" customFormat="1" ht="38.25" hidden="1" customHeight="1">
      <c r="A583" s="16" t="s">
        <v>723</v>
      </c>
      <c r="B583" s="14">
        <v>774</v>
      </c>
      <c r="C583" s="15" t="s">
        <v>26</v>
      </c>
      <c r="D583" s="15" t="s">
        <v>28</v>
      </c>
      <c r="E583" s="83" t="s">
        <v>722</v>
      </c>
      <c r="F583" s="83"/>
      <c r="G583" s="86">
        <f t="shared" ref="G583:H584" si="151">G584</f>
        <v>0</v>
      </c>
      <c r="H583" s="69">
        <f t="shared" si="151"/>
        <v>0</v>
      </c>
      <c r="O583" s="108"/>
      <c r="P583" s="108"/>
      <c r="Q583" s="108"/>
      <c r="R583" s="108"/>
      <c r="S583" s="108"/>
    </row>
    <row r="584" spans="1:19" s="3" customFormat="1" ht="25.5" hidden="1">
      <c r="A584" s="16" t="s">
        <v>30</v>
      </c>
      <c r="B584" s="14">
        <v>774</v>
      </c>
      <c r="C584" s="15" t="s">
        <v>26</v>
      </c>
      <c r="D584" s="15" t="s">
        <v>28</v>
      </c>
      <c r="E584" s="83" t="s">
        <v>722</v>
      </c>
      <c r="F584" s="83" t="s">
        <v>31</v>
      </c>
      <c r="G584" s="86">
        <f t="shared" si="151"/>
        <v>0</v>
      </c>
      <c r="H584" s="69">
        <f t="shared" si="151"/>
        <v>0</v>
      </c>
      <c r="O584" s="108"/>
      <c r="P584" s="108"/>
      <c r="Q584" s="108"/>
      <c r="R584" s="108"/>
      <c r="S584" s="108"/>
    </row>
    <row r="585" spans="1:19" s="3" customFormat="1" hidden="1">
      <c r="A585" s="16" t="s">
        <v>32</v>
      </c>
      <c r="B585" s="14">
        <v>774</v>
      </c>
      <c r="C585" s="15" t="s">
        <v>26</v>
      </c>
      <c r="D585" s="15" t="s">
        <v>28</v>
      </c>
      <c r="E585" s="83" t="s">
        <v>722</v>
      </c>
      <c r="F585" s="83" t="s">
        <v>33</v>
      </c>
      <c r="G585" s="86">
        <f>'прил 5,'!G676</f>
        <v>0</v>
      </c>
      <c r="H585" s="69">
        <v>0</v>
      </c>
      <c r="O585" s="108"/>
      <c r="P585" s="108"/>
      <c r="Q585" s="108"/>
      <c r="R585" s="108"/>
      <c r="S585" s="108"/>
    </row>
    <row r="586" spans="1:19" s="3" customFormat="1" ht="33.75" hidden="1" customHeight="1">
      <c r="A586" s="16" t="s">
        <v>724</v>
      </c>
      <c r="B586" s="14">
        <v>774</v>
      </c>
      <c r="C586" s="15" t="s">
        <v>26</v>
      </c>
      <c r="D586" s="15" t="s">
        <v>19</v>
      </c>
      <c r="E586" s="15" t="s">
        <v>726</v>
      </c>
      <c r="F586" s="15"/>
      <c r="G586" s="69">
        <f>G587</f>
        <v>0</v>
      </c>
      <c r="H586" s="69">
        <f>H588</f>
        <v>0</v>
      </c>
      <c r="O586" s="108"/>
      <c r="P586" s="108"/>
      <c r="Q586" s="108"/>
      <c r="R586" s="108"/>
      <c r="S586" s="108"/>
    </row>
    <row r="587" spans="1:19" s="3" customFormat="1" ht="33.75" hidden="1" customHeight="1">
      <c r="A587" s="16" t="s">
        <v>30</v>
      </c>
      <c r="B587" s="14"/>
      <c r="C587" s="15"/>
      <c r="D587" s="15"/>
      <c r="E587" s="15" t="s">
        <v>726</v>
      </c>
      <c r="F587" s="15" t="s">
        <v>31</v>
      </c>
      <c r="G587" s="69">
        <f>G588</f>
        <v>0</v>
      </c>
      <c r="H587" s="69"/>
      <c r="O587" s="108"/>
      <c r="P587" s="108"/>
      <c r="Q587" s="108"/>
      <c r="R587" s="108"/>
      <c r="S587" s="108"/>
    </row>
    <row r="588" spans="1:19" s="3" customFormat="1" hidden="1">
      <c r="A588" s="16" t="s">
        <v>32</v>
      </c>
      <c r="B588" s="14">
        <v>774</v>
      </c>
      <c r="C588" s="15" t="s">
        <v>26</v>
      </c>
      <c r="D588" s="15" t="s">
        <v>19</v>
      </c>
      <c r="E588" s="15" t="s">
        <v>726</v>
      </c>
      <c r="F588" s="15" t="s">
        <v>33</v>
      </c>
      <c r="G588" s="69">
        <f>'прил 5,'!G540</f>
        <v>0</v>
      </c>
      <c r="H588" s="69">
        <v>0</v>
      </c>
      <c r="O588" s="108"/>
      <c r="P588" s="108"/>
      <c r="Q588" s="108"/>
      <c r="R588" s="108"/>
      <c r="S588" s="108"/>
    </row>
    <row r="589" spans="1:19" s="18" customFormat="1" ht="21.75" customHeight="1">
      <c r="A589" s="13" t="s">
        <v>119</v>
      </c>
      <c r="B589" s="15" t="s">
        <v>51</v>
      </c>
      <c r="C589" s="15" t="s">
        <v>26</v>
      </c>
      <c r="D589" s="15" t="s">
        <v>26</v>
      </c>
      <c r="E589" s="15" t="s">
        <v>190</v>
      </c>
      <c r="F589" s="15"/>
      <c r="G589" s="69">
        <f>G592+G612+G615+G616+G593+G596+G619+G624+G629+G634+G637+G599</f>
        <v>5072468.2399999993</v>
      </c>
      <c r="H589" s="69">
        <f>H592+H612+H615+H616+H593+H596+H619+H624+H629+H634+H637+H599</f>
        <v>5017330.68</v>
      </c>
      <c r="I589" s="17"/>
      <c r="O589" s="17"/>
      <c r="P589" s="17"/>
      <c r="Q589" s="17"/>
      <c r="R589" s="17"/>
      <c r="S589" s="17"/>
    </row>
    <row r="590" spans="1:19" s="18" customFormat="1" ht="45" customHeight="1">
      <c r="A590" s="16" t="s">
        <v>127</v>
      </c>
      <c r="B590" s="15" t="s">
        <v>94</v>
      </c>
      <c r="C590" s="15" t="s">
        <v>26</v>
      </c>
      <c r="D590" s="15" t="s">
        <v>26</v>
      </c>
      <c r="E590" s="15" t="s">
        <v>191</v>
      </c>
      <c r="F590" s="15"/>
      <c r="G590" s="69">
        <f t="shared" ref="G590:H591" si="152">G591</f>
        <v>4369412.5599999996</v>
      </c>
      <c r="H590" s="69">
        <f t="shared" si="152"/>
        <v>4314276</v>
      </c>
      <c r="I590" s="17"/>
      <c r="O590" s="17"/>
      <c r="P590" s="17"/>
      <c r="Q590" s="17"/>
      <c r="R590" s="17"/>
      <c r="S590" s="17"/>
    </row>
    <row r="591" spans="1:19" s="18" customFormat="1" ht="33" customHeight="1">
      <c r="A591" s="16" t="s">
        <v>30</v>
      </c>
      <c r="B591" s="15" t="s">
        <v>94</v>
      </c>
      <c r="C591" s="15" t="s">
        <v>26</v>
      </c>
      <c r="D591" s="15" t="s">
        <v>26</v>
      </c>
      <c r="E591" s="15" t="s">
        <v>191</v>
      </c>
      <c r="F591" s="15" t="s">
        <v>31</v>
      </c>
      <c r="G591" s="69">
        <f t="shared" si="152"/>
        <v>4369412.5599999996</v>
      </c>
      <c r="H591" s="69">
        <f t="shared" si="152"/>
        <v>4314276</v>
      </c>
      <c r="I591" s="17"/>
      <c r="O591" s="17"/>
      <c r="P591" s="17"/>
      <c r="Q591" s="17"/>
      <c r="R591" s="17"/>
      <c r="S591" s="17"/>
    </row>
    <row r="592" spans="1:19" s="18" customFormat="1">
      <c r="A592" s="16" t="s">
        <v>32</v>
      </c>
      <c r="B592" s="15" t="s">
        <v>94</v>
      </c>
      <c r="C592" s="15" t="s">
        <v>26</v>
      </c>
      <c r="D592" s="15" t="s">
        <v>26</v>
      </c>
      <c r="E592" s="15" t="s">
        <v>191</v>
      </c>
      <c r="F592" s="15" t="s">
        <v>33</v>
      </c>
      <c r="G592" s="69">
        <f>'прил 5,'!G916+'прил 5,'!G106</f>
        <v>4369412.5599999996</v>
      </c>
      <c r="H592" s="69">
        <f>'прил 5,'!H916+'прил 5,'!H106</f>
        <v>4314276</v>
      </c>
      <c r="I592" s="17"/>
      <c r="O592" s="17"/>
      <c r="P592" s="17"/>
      <c r="Q592" s="17"/>
      <c r="R592" s="17"/>
      <c r="S592" s="17"/>
    </row>
    <row r="593" spans="1:19" s="18" customFormat="1" ht="25.5" hidden="1">
      <c r="A593" s="16" t="s">
        <v>648</v>
      </c>
      <c r="B593" s="15" t="s">
        <v>94</v>
      </c>
      <c r="C593" s="15" t="s">
        <v>26</v>
      </c>
      <c r="D593" s="15" t="s">
        <v>26</v>
      </c>
      <c r="E593" s="15" t="s">
        <v>647</v>
      </c>
      <c r="F593" s="15"/>
      <c r="G593" s="69">
        <f>G594</f>
        <v>0</v>
      </c>
      <c r="H593" s="69">
        <f>H594</f>
        <v>0</v>
      </c>
      <c r="O593" s="17"/>
      <c r="P593" s="17"/>
      <c r="Q593" s="17"/>
      <c r="R593" s="17"/>
      <c r="S593" s="17"/>
    </row>
    <row r="594" spans="1:19" s="18" customFormat="1" ht="25.5" hidden="1">
      <c r="A594" s="16" t="s">
        <v>30</v>
      </c>
      <c r="B594" s="15" t="s">
        <v>94</v>
      </c>
      <c r="C594" s="15" t="s">
        <v>26</v>
      </c>
      <c r="D594" s="15" t="s">
        <v>26</v>
      </c>
      <c r="E594" s="15" t="s">
        <v>647</v>
      </c>
      <c r="F594" s="15" t="s">
        <v>31</v>
      </c>
      <c r="G594" s="69">
        <f>G595</f>
        <v>0</v>
      </c>
      <c r="H594" s="69"/>
      <c r="O594" s="17"/>
      <c r="P594" s="17"/>
      <c r="Q594" s="17"/>
      <c r="R594" s="17"/>
      <c r="S594" s="17"/>
    </row>
    <row r="595" spans="1:19" s="18" customFormat="1" hidden="1">
      <c r="A595" s="16" t="s">
        <v>32</v>
      </c>
      <c r="B595" s="15" t="s">
        <v>94</v>
      </c>
      <c r="C595" s="15" t="s">
        <v>26</v>
      </c>
      <c r="D595" s="15" t="s">
        <v>26</v>
      </c>
      <c r="E595" s="15" t="s">
        <v>647</v>
      </c>
      <c r="F595" s="15" t="s">
        <v>33</v>
      </c>
      <c r="G595" s="69">
        <f>'прил 5,'!G922</f>
        <v>0</v>
      </c>
      <c r="H595" s="69">
        <f>H596</f>
        <v>0</v>
      </c>
      <c r="O595" s="17"/>
      <c r="P595" s="17"/>
      <c r="Q595" s="17"/>
      <c r="R595" s="17"/>
      <c r="S595" s="17"/>
    </row>
    <row r="596" spans="1:19" s="3" customFormat="1" ht="25.5" hidden="1">
      <c r="A596" s="16" t="s">
        <v>298</v>
      </c>
      <c r="B596" s="14">
        <v>774</v>
      </c>
      <c r="C596" s="15" t="s">
        <v>26</v>
      </c>
      <c r="D596" s="15" t="s">
        <v>26</v>
      </c>
      <c r="E596" s="15" t="s">
        <v>580</v>
      </c>
      <c r="F596" s="15"/>
      <c r="G596" s="69">
        <f t="shared" ref="G596:H597" si="153">G597</f>
        <v>0</v>
      </c>
      <c r="H596" s="69">
        <f t="shared" si="153"/>
        <v>0</v>
      </c>
      <c r="I596" s="171"/>
      <c r="J596" s="190"/>
      <c r="K596" s="190"/>
      <c r="L596" s="190"/>
      <c r="M596" s="190"/>
      <c r="N596" s="190"/>
      <c r="O596" s="190"/>
      <c r="P596" s="190"/>
      <c r="Q596" s="190"/>
    </row>
    <row r="597" spans="1:19" s="3" customFormat="1" ht="25.5" hidden="1">
      <c r="A597" s="16" t="s">
        <v>30</v>
      </c>
      <c r="B597" s="14">
        <v>774</v>
      </c>
      <c r="C597" s="15" t="s">
        <v>26</v>
      </c>
      <c r="D597" s="15" t="s">
        <v>26</v>
      </c>
      <c r="E597" s="15" t="s">
        <v>580</v>
      </c>
      <c r="F597" s="15" t="s">
        <v>31</v>
      </c>
      <c r="G597" s="69">
        <f t="shared" si="153"/>
        <v>0</v>
      </c>
      <c r="H597" s="69">
        <f t="shared" si="153"/>
        <v>0</v>
      </c>
      <c r="I597" s="171"/>
      <c r="J597" s="190"/>
      <c r="K597" s="190"/>
      <c r="L597" s="190"/>
      <c r="M597" s="190"/>
      <c r="N597" s="190"/>
      <c r="O597" s="190"/>
      <c r="P597" s="190"/>
      <c r="Q597" s="190"/>
    </row>
    <row r="598" spans="1:19" s="3" customFormat="1">
      <c r="A598" s="16" t="s">
        <v>32</v>
      </c>
      <c r="B598" s="14">
        <v>774</v>
      </c>
      <c r="C598" s="15" t="s">
        <v>26</v>
      </c>
      <c r="D598" s="15" t="s">
        <v>26</v>
      </c>
      <c r="E598" s="15" t="s">
        <v>580</v>
      </c>
      <c r="F598" s="15" t="s">
        <v>33</v>
      </c>
      <c r="G598" s="69"/>
      <c r="H598" s="69">
        <v>0</v>
      </c>
      <c r="I598" s="171"/>
      <c r="J598" s="190"/>
      <c r="K598" s="190"/>
      <c r="L598" s="190"/>
      <c r="M598" s="190"/>
      <c r="N598" s="190"/>
      <c r="O598" s="190"/>
      <c r="P598" s="190"/>
      <c r="Q598" s="190"/>
    </row>
    <row r="599" spans="1:19" s="3" customFormat="1" ht="51">
      <c r="A599" s="16" t="s">
        <v>424</v>
      </c>
      <c r="B599" s="14">
        <v>774</v>
      </c>
      <c r="C599" s="15" t="s">
        <v>26</v>
      </c>
      <c r="D599" s="15" t="s">
        <v>26</v>
      </c>
      <c r="E599" s="15" t="s">
        <v>423</v>
      </c>
      <c r="F599" s="15"/>
      <c r="G599" s="69">
        <f t="shared" ref="G599:H600" si="154">G600</f>
        <v>341000</v>
      </c>
      <c r="H599" s="69">
        <f t="shared" si="154"/>
        <v>341000</v>
      </c>
      <c r="I599" s="171"/>
      <c r="J599" s="190"/>
      <c r="K599" s="190"/>
      <c r="L599" s="190"/>
      <c r="M599" s="190"/>
      <c r="N599" s="190"/>
      <c r="O599" s="190"/>
      <c r="P599" s="190"/>
      <c r="Q599" s="190"/>
    </row>
    <row r="600" spans="1:19" s="3" customFormat="1" ht="25.5">
      <c r="A600" s="16" t="s">
        <v>30</v>
      </c>
      <c r="B600" s="14">
        <v>774</v>
      </c>
      <c r="C600" s="15" t="s">
        <v>26</v>
      </c>
      <c r="D600" s="15" t="s">
        <v>26</v>
      </c>
      <c r="E600" s="15" t="s">
        <v>423</v>
      </c>
      <c r="F600" s="15" t="s">
        <v>31</v>
      </c>
      <c r="G600" s="69">
        <f t="shared" si="154"/>
        <v>341000</v>
      </c>
      <c r="H600" s="69">
        <f t="shared" si="154"/>
        <v>341000</v>
      </c>
      <c r="I600" s="171"/>
      <c r="J600" s="190"/>
      <c r="K600" s="190"/>
      <c r="L600" s="190"/>
      <c r="M600" s="190"/>
      <c r="N600" s="190"/>
      <c r="O600" s="190"/>
      <c r="P600" s="190"/>
      <c r="Q600" s="190"/>
    </row>
    <row r="601" spans="1:19" s="3" customFormat="1">
      <c r="A601" s="16" t="s">
        <v>32</v>
      </c>
      <c r="B601" s="14">
        <v>774</v>
      </c>
      <c r="C601" s="15" t="s">
        <v>26</v>
      </c>
      <c r="D601" s="15" t="s">
        <v>26</v>
      </c>
      <c r="E601" s="15" t="s">
        <v>423</v>
      </c>
      <c r="F601" s="15" t="s">
        <v>33</v>
      </c>
      <c r="G601" s="69">
        <v>341000</v>
      </c>
      <c r="H601" s="69">
        <v>341000</v>
      </c>
      <c r="I601" s="171"/>
      <c r="J601" s="190"/>
      <c r="K601" s="190"/>
      <c r="L601" s="190"/>
      <c r="M601" s="190"/>
      <c r="N601" s="190"/>
      <c r="O601" s="190"/>
      <c r="P601" s="190"/>
      <c r="Q601" s="190"/>
    </row>
    <row r="602" spans="1:19" s="18" customFormat="1" ht="75" customHeight="1">
      <c r="A602" s="13" t="s">
        <v>129</v>
      </c>
      <c r="B602" s="15" t="s">
        <v>94</v>
      </c>
      <c r="C602" s="15" t="s">
        <v>26</v>
      </c>
      <c r="D602" s="15" t="s">
        <v>26</v>
      </c>
      <c r="E602" s="15" t="s">
        <v>192</v>
      </c>
      <c r="F602" s="15"/>
      <c r="G602" s="69">
        <f>G603+G609+G605+G608+G611</f>
        <v>362055.67999999999</v>
      </c>
      <c r="H602" s="69">
        <f t="shared" ref="H602" si="155">H603+H609+H605+H608+H611</f>
        <v>362054.68</v>
      </c>
      <c r="I602" s="17"/>
      <c r="O602" s="17"/>
      <c r="P602" s="17"/>
      <c r="Q602" s="17"/>
      <c r="R602" s="17"/>
      <c r="S602" s="17"/>
    </row>
    <row r="603" spans="1:19" s="18" customFormat="1" ht="25.5" hidden="1">
      <c r="A603" s="16" t="s">
        <v>36</v>
      </c>
      <c r="B603" s="15" t="s">
        <v>94</v>
      </c>
      <c r="C603" s="15" t="s">
        <v>26</v>
      </c>
      <c r="D603" s="15" t="s">
        <v>26</v>
      </c>
      <c r="E603" s="15" t="s">
        <v>192</v>
      </c>
      <c r="F603" s="15" t="s">
        <v>37</v>
      </c>
      <c r="G603" s="69">
        <f>G604</f>
        <v>0</v>
      </c>
      <c r="H603" s="86">
        <f>H604</f>
        <v>0</v>
      </c>
      <c r="I603" s="17"/>
      <c r="O603" s="17"/>
      <c r="P603" s="17"/>
      <c r="Q603" s="17"/>
      <c r="R603" s="17"/>
      <c r="S603" s="17"/>
    </row>
    <row r="604" spans="1:19" s="18" customFormat="1" ht="25.5" hidden="1">
      <c r="A604" s="16" t="s">
        <v>38</v>
      </c>
      <c r="B604" s="15" t="s">
        <v>94</v>
      </c>
      <c r="C604" s="15" t="s">
        <v>26</v>
      </c>
      <c r="D604" s="15" t="s">
        <v>26</v>
      </c>
      <c r="E604" s="15" t="s">
        <v>192</v>
      </c>
      <c r="F604" s="15" t="s">
        <v>39</v>
      </c>
      <c r="G604" s="69">
        <f>'прил 5,'!G921</f>
        <v>0</v>
      </c>
      <c r="H604" s="86">
        <f>'прил 5,'!AG921</f>
        <v>0</v>
      </c>
      <c r="I604" s="17"/>
      <c r="O604" s="17"/>
      <c r="P604" s="17"/>
      <c r="Q604" s="17"/>
      <c r="R604" s="17"/>
      <c r="S604" s="17"/>
    </row>
    <row r="605" spans="1:19" s="18" customFormat="1" ht="14.25" hidden="1" customHeight="1">
      <c r="A605" s="16" t="s">
        <v>148</v>
      </c>
      <c r="B605" s="15" t="s">
        <v>94</v>
      </c>
      <c r="C605" s="15" t="s">
        <v>26</v>
      </c>
      <c r="D605" s="15" t="s">
        <v>26</v>
      </c>
      <c r="E605" s="15" t="s">
        <v>192</v>
      </c>
      <c r="F605" s="15" t="s">
        <v>149</v>
      </c>
      <c r="G605" s="69">
        <f>G606</f>
        <v>0</v>
      </c>
      <c r="H605" s="86">
        <f>H606</f>
        <v>0</v>
      </c>
      <c r="I605" s="17"/>
      <c r="O605" s="17"/>
      <c r="P605" s="17"/>
      <c r="Q605" s="17"/>
      <c r="R605" s="17"/>
      <c r="S605" s="17"/>
    </row>
    <row r="606" spans="1:19" s="18" customFormat="1" ht="27" hidden="1" customHeight="1">
      <c r="A606" s="16" t="s">
        <v>150</v>
      </c>
      <c r="B606" s="15" t="s">
        <v>94</v>
      </c>
      <c r="C606" s="15" t="s">
        <v>26</v>
      </c>
      <c r="D606" s="15" t="s">
        <v>26</v>
      </c>
      <c r="E606" s="15" t="s">
        <v>192</v>
      </c>
      <c r="F606" s="15" t="s">
        <v>151</v>
      </c>
      <c r="G606" s="69"/>
      <c r="H606" s="86"/>
      <c r="I606" s="17"/>
      <c r="O606" s="17"/>
      <c r="P606" s="17"/>
      <c r="Q606" s="17"/>
      <c r="R606" s="17"/>
      <c r="S606" s="17"/>
    </row>
    <row r="607" spans="1:19" s="18" customFormat="1" hidden="1">
      <c r="A607" s="16" t="s">
        <v>148</v>
      </c>
      <c r="B607" s="15" t="s">
        <v>94</v>
      </c>
      <c r="C607" s="15" t="s">
        <v>26</v>
      </c>
      <c r="D607" s="15" t="s">
        <v>26</v>
      </c>
      <c r="E607" s="15" t="s">
        <v>192</v>
      </c>
      <c r="F607" s="15" t="s">
        <v>149</v>
      </c>
      <c r="G607" s="69">
        <f>G608</f>
        <v>0</v>
      </c>
      <c r="H607" s="86">
        <f>H608</f>
        <v>0</v>
      </c>
      <c r="I607" s="17"/>
      <c r="O607" s="17"/>
      <c r="P607" s="17"/>
      <c r="Q607" s="17"/>
      <c r="R607" s="17"/>
      <c r="S607" s="17"/>
    </row>
    <row r="608" spans="1:19" s="18" customFormat="1" ht="25.5" hidden="1">
      <c r="A608" s="16" t="s">
        <v>150</v>
      </c>
      <c r="B608" s="15" t="s">
        <v>94</v>
      </c>
      <c r="C608" s="15" t="s">
        <v>26</v>
      </c>
      <c r="D608" s="15" t="s">
        <v>26</v>
      </c>
      <c r="E608" s="15" t="s">
        <v>192</v>
      </c>
      <c r="F608" s="15" t="s">
        <v>151</v>
      </c>
      <c r="G608" s="69">
        <f>'прил 5,'!G923</f>
        <v>0</v>
      </c>
      <c r="H608" s="86">
        <f>'прил 5,'!AG923</f>
        <v>0</v>
      </c>
      <c r="I608" s="17"/>
      <c r="O608" s="17"/>
      <c r="P608" s="17"/>
      <c r="Q608" s="17"/>
      <c r="R608" s="17"/>
      <c r="S608" s="17"/>
    </row>
    <row r="609" spans="1:19" s="18" customFormat="1" ht="25.5" hidden="1">
      <c r="A609" s="16" t="s">
        <v>30</v>
      </c>
      <c r="B609" s="15" t="s">
        <v>94</v>
      </c>
      <c r="C609" s="15" t="s">
        <v>26</v>
      </c>
      <c r="D609" s="15" t="s">
        <v>26</v>
      </c>
      <c r="E609" s="15" t="s">
        <v>192</v>
      </c>
      <c r="F609" s="15" t="s">
        <v>31</v>
      </c>
      <c r="G609" s="69">
        <f>G610</f>
        <v>0</v>
      </c>
      <c r="H609" s="86">
        <f>H610</f>
        <v>0</v>
      </c>
      <c r="I609" s="17"/>
      <c r="O609" s="17"/>
      <c r="P609" s="17"/>
      <c r="Q609" s="17"/>
      <c r="R609" s="17"/>
      <c r="S609" s="17"/>
    </row>
    <row r="610" spans="1:19" s="18" customFormat="1" hidden="1">
      <c r="A610" s="16" t="s">
        <v>32</v>
      </c>
      <c r="B610" s="15" t="s">
        <v>94</v>
      </c>
      <c r="C610" s="15" t="s">
        <v>26</v>
      </c>
      <c r="D610" s="15" t="s">
        <v>26</v>
      </c>
      <c r="E610" s="15" t="s">
        <v>192</v>
      </c>
      <c r="F610" s="15" t="s">
        <v>33</v>
      </c>
      <c r="G610" s="69">
        <f>'прил 5,'!G925</f>
        <v>0</v>
      </c>
      <c r="H610" s="86">
        <f>'прил 5,'!AG925</f>
        <v>0</v>
      </c>
      <c r="I610" s="17"/>
      <c r="O610" s="17"/>
      <c r="P610" s="17"/>
      <c r="Q610" s="17"/>
      <c r="R610" s="17"/>
      <c r="S610" s="17"/>
    </row>
    <row r="611" spans="1:19" s="18" customFormat="1" ht="25.5">
      <c r="A611" s="16" t="s">
        <v>30</v>
      </c>
      <c r="B611" s="15" t="s">
        <v>94</v>
      </c>
      <c r="C611" s="15" t="s">
        <v>26</v>
      </c>
      <c r="D611" s="15" t="s">
        <v>26</v>
      </c>
      <c r="E611" s="15" t="s">
        <v>192</v>
      </c>
      <c r="F611" s="15" t="s">
        <v>31</v>
      </c>
      <c r="G611" s="69">
        <f>G612</f>
        <v>362055.67999999999</v>
      </c>
      <c r="H611" s="69">
        <f t="shared" ref="H611" si="156">H612</f>
        <v>362054.68</v>
      </c>
      <c r="I611" s="17"/>
      <c r="O611" s="17"/>
      <c r="P611" s="17"/>
      <c r="Q611" s="17"/>
      <c r="R611" s="17"/>
      <c r="S611" s="17"/>
    </row>
    <row r="612" spans="1:19" s="18" customFormat="1">
      <c r="A612" s="16" t="s">
        <v>32</v>
      </c>
      <c r="B612" s="15" t="s">
        <v>94</v>
      </c>
      <c r="C612" s="15" t="s">
        <v>26</v>
      </c>
      <c r="D612" s="15" t="s">
        <v>26</v>
      </c>
      <c r="E612" s="15" t="s">
        <v>192</v>
      </c>
      <c r="F612" s="15" t="s">
        <v>33</v>
      </c>
      <c r="G612" s="69">
        <f>'прил 5,'!G919+'прил 5,'!G109</f>
        <v>362055.67999999999</v>
      </c>
      <c r="H612" s="69">
        <f>'прил 5,'!H919+'прил 5,'!H109</f>
        <v>362054.68</v>
      </c>
      <c r="I612" s="17"/>
      <c r="O612" s="17"/>
      <c r="P612" s="17"/>
      <c r="Q612" s="17"/>
      <c r="R612" s="17"/>
      <c r="S612" s="17"/>
    </row>
    <row r="613" spans="1:19" s="3" customFormat="1" ht="38.25" hidden="1">
      <c r="A613" s="141" t="s">
        <v>526</v>
      </c>
      <c r="B613" s="14">
        <v>774</v>
      </c>
      <c r="C613" s="15" t="s">
        <v>26</v>
      </c>
      <c r="D613" s="15" t="s">
        <v>26</v>
      </c>
      <c r="E613" s="15" t="s">
        <v>559</v>
      </c>
      <c r="F613" s="15"/>
      <c r="G613" s="69">
        <f t="shared" ref="G613:H614" si="157">G614</f>
        <v>0</v>
      </c>
      <c r="H613" s="69">
        <f t="shared" si="157"/>
        <v>0</v>
      </c>
      <c r="O613" s="108"/>
      <c r="P613" s="108"/>
      <c r="Q613" s="108"/>
      <c r="R613" s="108"/>
      <c r="S613" s="108"/>
    </row>
    <row r="614" spans="1:19" s="3" customFormat="1" ht="25.5" hidden="1">
      <c r="A614" s="16" t="s">
        <v>30</v>
      </c>
      <c r="B614" s="14">
        <v>774</v>
      </c>
      <c r="C614" s="15" t="s">
        <v>26</v>
      </c>
      <c r="D614" s="15" t="s">
        <v>26</v>
      </c>
      <c r="E614" s="15" t="s">
        <v>559</v>
      </c>
      <c r="F614" s="15" t="s">
        <v>31</v>
      </c>
      <c r="G614" s="69">
        <f t="shared" si="157"/>
        <v>0</v>
      </c>
      <c r="H614" s="69">
        <f t="shared" si="157"/>
        <v>0</v>
      </c>
      <c r="O614" s="108"/>
      <c r="P614" s="108"/>
      <c r="Q614" s="108"/>
      <c r="R614" s="108"/>
      <c r="S614" s="108"/>
    </row>
    <row r="615" spans="1:19" s="3" customFormat="1" hidden="1">
      <c r="A615" s="16" t="s">
        <v>32</v>
      </c>
      <c r="B615" s="14">
        <v>774</v>
      </c>
      <c r="C615" s="15" t="s">
        <v>26</v>
      </c>
      <c r="D615" s="15" t="s">
        <v>26</v>
      </c>
      <c r="E615" s="15" t="s">
        <v>559</v>
      </c>
      <c r="F615" s="15" t="s">
        <v>33</v>
      </c>
      <c r="G615" s="69"/>
      <c r="H615" s="69">
        <v>0</v>
      </c>
      <c r="O615" s="108"/>
      <c r="P615" s="108"/>
      <c r="Q615" s="108"/>
      <c r="R615" s="108"/>
      <c r="S615" s="108"/>
    </row>
    <row r="616" spans="1:19" s="3" customFormat="1" ht="25.5" hidden="1">
      <c r="A616" s="16" t="s">
        <v>298</v>
      </c>
      <c r="B616" s="14">
        <v>774</v>
      </c>
      <c r="C616" s="15" t="s">
        <v>26</v>
      </c>
      <c r="D616" s="15" t="s">
        <v>26</v>
      </c>
      <c r="E616" s="15" t="s">
        <v>580</v>
      </c>
      <c r="F616" s="15"/>
      <c r="G616" s="69">
        <f t="shared" ref="G616:H617" si="158">G617</f>
        <v>0</v>
      </c>
      <c r="H616" s="69">
        <f t="shared" si="158"/>
        <v>0</v>
      </c>
      <c r="O616" s="108"/>
      <c r="P616" s="108"/>
      <c r="Q616" s="108"/>
      <c r="R616" s="108"/>
      <c r="S616" s="108"/>
    </row>
    <row r="617" spans="1:19" s="3" customFormat="1" ht="25.5" hidden="1">
      <c r="A617" s="16" t="s">
        <v>30</v>
      </c>
      <c r="B617" s="14">
        <v>774</v>
      </c>
      <c r="C617" s="15" t="s">
        <v>26</v>
      </c>
      <c r="D617" s="15" t="s">
        <v>26</v>
      </c>
      <c r="E617" s="15" t="s">
        <v>580</v>
      </c>
      <c r="F617" s="15" t="s">
        <v>31</v>
      </c>
      <c r="G617" s="69">
        <f t="shared" si="158"/>
        <v>0</v>
      </c>
      <c r="H617" s="69">
        <f t="shared" si="158"/>
        <v>0</v>
      </c>
      <c r="O617" s="108"/>
      <c r="P617" s="108"/>
      <c r="Q617" s="108"/>
      <c r="R617" s="108"/>
      <c r="S617" s="108"/>
    </row>
    <row r="618" spans="1:19" s="3" customFormat="1" hidden="1">
      <c r="A618" s="16" t="s">
        <v>32</v>
      </c>
      <c r="B618" s="14">
        <v>774</v>
      </c>
      <c r="C618" s="15" t="s">
        <v>26</v>
      </c>
      <c r="D618" s="15" t="s">
        <v>26</v>
      </c>
      <c r="E618" s="15" t="s">
        <v>580</v>
      </c>
      <c r="F618" s="15" t="s">
        <v>33</v>
      </c>
      <c r="G618" s="69"/>
      <c r="H618" s="69">
        <v>0</v>
      </c>
      <c r="O618" s="108"/>
      <c r="P618" s="108"/>
      <c r="Q618" s="108"/>
      <c r="R618" s="108"/>
      <c r="S618" s="108"/>
    </row>
    <row r="619" spans="1:19" s="18" customFormat="1" ht="52.5" hidden="1" customHeight="1">
      <c r="A619" s="131" t="s">
        <v>759</v>
      </c>
      <c r="B619" s="15" t="s">
        <v>94</v>
      </c>
      <c r="C619" s="15" t="s">
        <v>26</v>
      </c>
      <c r="D619" s="15" t="s">
        <v>26</v>
      </c>
      <c r="E619" s="15" t="s">
        <v>758</v>
      </c>
      <c r="F619" s="15"/>
      <c r="G619" s="69">
        <f>G620+G622</f>
        <v>0</v>
      </c>
      <c r="H619" s="69">
        <f>H620+H622</f>
        <v>0</v>
      </c>
      <c r="O619" s="17"/>
      <c r="P619" s="17"/>
      <c r="Q619" s="17"/>
      <c r="R619" s="17"/>
      <c r="S619" s="17"/>
    </row>
    <row r="620" spans="1:19" s="18" customFormat="1" ht="25.5" hidden="1">
      <c r="A620" s="81" t="s">
        <v>36</v>
      </c>
      <c r="B620" s="15" t="s">
        <v>94</v>
      </c>
      <c r="C620" s="15" t="s">
        <v>26</v>
      </c>
      <c r="D620" s="15" t="s">
        <v>26</v>
      </c>
      <c r="E620" s="15" t="s">
        <v>135</v>
      </c>
      <c r="F620" s="15" t="s">
        <v>37</v>
      </c>
      <c r="G620" s="69">
        <f>G621</f>
        <v>0</v>
      </c>
      <c r="H620" s="69">
        <f>H621</f>
        <v>0</v>
      </c>
      <c r="O620" s="17"/>
      <c r="P620" s="17"/>
      <c r="Q620" s="17"/>
      <c r="R620" s="17"/>
      <c r="S620" s="17"/>
    </row>
    <row r="621" spans="1:19" s="18" customFormat="1" ht="25.5" hidden="1">
      <c r="A621" s="81" t="s">
        <v>38</v>
      </c>
      <c r="B621" s="15" t="s">
        <v>94</v>
      </c>
      <c r="C621" s="15" t="s">
        <v>26</v>
      </c>
      <c r="D621" s="15" t="s">
        <v>26</v>
      </c>
      <c r="E621" s="15" t="s">
        <v>135</v>
      </c>
      <c r="F621" s="15" t="s">
        <v>39</v>
      </c>
      <c r="G621" s="69"/>
      <c r="H621" s="69"/>
      <c r="O621" s="17"/>
      <c r="P621" s="17"/>
      <c r="Q621" s="17"/>
      <c r="R621" s="17"/>
      <c r="S621" s="17"/>
    </row>
    <row r="622" spans="1:19" s="18" customFormat="1" hidden="1">
      <c r="A622" s="81" t="s">
        <v>63</v>
      </c>
      <c r="B622" s="15" t="s">
        <v>94</v>
      </c>
      <c r="C622" s="15" t="s">
        <v>26</v>
      </c>
      <c r="D622" s="15" t="s">
        <v>26</v>
      </c>
      <c r="E622" s="15" t="s">
        <v>758</v>
      </c>
      <c r="F622" s="15" t="s">
        <v>64</v>
      </c>
      <c r="G622" s="69">
        <f>G623</f>
        <v>0</v>
      </c>
      <c r="H622" s="69">
        <f>H623</f>
        <v>0</v>
      </c>
      <c r="O622" s="17"/>
      <c r="P622" s="17"/>
      <c r="Q622" s="17"/>
      <c r="R622" s="17"/>
      <c r="S622" s="17"/>
    </row>
    <row r="623" spans="1:19" s="18" customFormat="1" ht="13.5" hidden="1" customHeight="1">
      <c r="A623" s="81" t="s">
        <v>180</v>
      </c>
      <c r="B623" s="15" t="s">
        <v>94</v>
      </c>
      <c r="C623" s="15" t="s">
        <v>26</v>
      </c>
      <c r="D623" s="15" t="s">
        <v>26</v>
      </c>
      <c r="E623" s="15" t="s">
        <v>758</v>
      </c>
      <c r="F623" s="15" t="s">
        <v>181</v>
      </c>
      <c r="G623" s="69">
        <f>'прил 5,'!G937</f>
        <v>0</v>
      </c>
      <c r="H623" s="69"/>
      <c r="O623" s="17"/>
      <c r="P623" s="17"/>
      <c r="Q623" s="17"/>
      <c r="R623" s="17"/>
      <c r="S623" s="17"/>
    </row>
    <row r="624" spans="1:19" s="18" customFormat="1" ht="38.25" hidden="1" customHeight="1">
      <c r="A624" s="131" t="s">
        <v>761</v>
      </c>
      <c r="B624" s="15" t="s">
        <v>94</v>
      </c>
      <c r="C624" s="15" t="s">
        <v>26</v>
      </c>
      <c r="D624" s="15" t="s">
        <v>26</v>
      </c>
      <c r="E624" s="15" t="s">
        <v>760</v>
      </c>
      <c r="F624" s="15"/>
      <c r="G624" s="69">
        <f>G625+G627</f>
        <v>0</v>
      </c>
      <c r="H624" s="69">
        <f>H625+H627</f>
        <v>0</v>
      </c>
      <c r="O624" s="17"/>
      <c r="P624" s="17"/>
      <c r="Q624" s="17"/>
      <c r="R624" s="17"/>
      <c r="S624" s="17"/>
    </row>
    <row r="625" spans="1:19" s="18" customFormat="1" ht="25.5" hidden="1">
      <c r="A625" s="81" t="s">
        <v>36</v>
      </c>
      <c r="B625" s="15" t="s">
        <v>94</v>
      </c>
      <c r="C625" s="15" t="s">
        <v>26</v>
      </c>
      <c r="D625" s="15" t="s">
        <v>26</v>
      </c>
      <c r="E625" s="15" t="s">
        <v>135</v>
      </c>
      <c r="F625" s="15" t="s">
        <v>37</v>
      </c>
      <c r="G625" s="69">
        <f>G626</f>
        <v>0</v>
      </c>
      <c r="H625" s="69">
        <f>H626</f>
        <v>0</v>
      </c>
      <c r="O625" s="17"/>
      <c r="P625" s="17"/>
      <c r="Q625" s="17"/>
      <c r="R625" s="17"/>
      <c r="S625" s="17"/>
    </row>
    <row r="626" spans="1:19" s="18" customFormat="1" ht="25.5" hidden="1">
      <c r="A626" s="81" t="s">
        <v>38</v>
      </c>
      <c r="B626" s="15" t="s">
        <v>94</v>
      </c>
      <c r="C626" s="15" t="s">
        <v>26</v>
      </c>
      <c r="D626" s="15" t="s">
        <v>26</v>
      </c>
      <c r="E626" s="15" t="s">
        <v>135</v>
      </c>
      <c r="F626" s="15" t="s">
        <v>39</v>
      </c>
      <c r="G626" s="69"/>
      <c r="H626" s="69"/>
      <c r="O626" s="17"/>
      <c r="P626" s="17"/>
      <c r="Q626" s="17"/>
      <c r="R626" s="17"/>
      <c r="S626" s="17"/>
    </row>
    <row r="627" spans="1:19" s="18" customFormat="1" ht="25.5" hidden="1">
      <c r="A627" s="16" t="s">
        <v>30</v>
      </c>
      <c r="B627" s="15" t="s">
        <v>94</v>
      </c>
      <c r="C627" s="15" t="s">
        <v>26</v>
      </c>
      <c r="D627" s="15" t="s">
        <v>26</v>
      </c>
      <c r="E627" s="15" t="s">
        <v>760</v>
      </c>
      <c r="F627" s="15" t="s">
        <v>31</v>
      </c>
      <c r="G627" s="69">
        <f>G628</f>
        <v>0</v>
      </c>
      <c r="H627" s="69">
        <f>H628</f>
        <v>0</v>
      </c>
      <c r="O627" s="17"/>
      <c r="P627" s="17"/>
      <c r="Q627" s="17"/>
      <c r="R627" s="17"/>
      <c r="S627" s="17"/>
    </row>
    <row r="628" spans="1:19" s="18" customFormat="1" ht="13.5" hidden="1" customHeight="1">
      <c r="A628" s="16" t="s">
        <v>32</v>
      </c>
      <c r="B628" s="15" t="s">
        <v>94</v>
      </c>
      <c r="C628" s="15" t="s">
        <v>26</v>
      </c>
      <c r="D628" s="15" t="s">
        <v>26</v>
      </c>
      <c r="E628" s="15" t="s">
        <v>760</v>
      </c>
      <c r="F628" s="15" t="s">
        <v>33</v>
      </c>
      <c r="G628" s="69">
        <f>'прил 5,'!G945</f>
        <v>0</v>
      </c>
      <c r="H628" s="69"/>
      <c r="O628" s="17"/>
      <c r="P628" s="17"/>
      <c r="Q628" s="17"/>
      <c r="R628" s="17"/>
      <c r="S628" s="17"/>
    </row>
    <row r="629" spans="1:19" s="18" customFormat="1" ht="56.25" hidden="1" customHeight="1">
      <c r="A629" s="131" t="s">
        <v>763</v>
      </c>
      <c r="B629" s="15" t="s">
        <v>94</v>
      </c>
      <c r="C629" s="15" t="s">
        <v>26</v>
      </c>
      <c r="D629" s="15" t="s">
        <v>26</v>
      </c>
      <c r="E629" s="15" t="s">
        <v>762</v>
      </c>
      <c r="F629" s="15"/>
      <c r="G629" s="69">
        <f>G630+G632</f>
        <v>0</v>
      </c>
      <c r="H629" s="69">
        <f>H630+H632</f>
        <v>0</v>
      </c>
      <c r="O629" s="17"/>
      <c r="P629" s="17"/>
      <c r="Q629" s="17"/>
      <c r="R629" s="17"/>
      <c r="S629" s="17"/>
    </row>
    <row r="630" spans="1:19" s="18" customFormat="1" ht="25.5" hidden="1">
      <c r="A630" s="81" t="s">
        <v>36</v>
      </c>
      <c r="B630" s="15" t="s">
        <v>94</v>
      </c>
      <c r="C630" s="15" t="s">
        <v>26</v>
      </c>
      <c r="D630" s="15" t="s">
        <v>26</v>
      </c>
      <c r="E630" s="15" t="s">
        <v>135</v>
      </c>
      <c r="F630" s="15" t="s">
        <v>37</v>
      </c>
      <c r="G630" s="69">
        <f>G631</f>
        <v>0</v>
      </c>
      <c r="H630" s="69">
        <f>H631</f>
        <v>0</v>
      </c>
      <c r="O630" s="17"/>
      <c r="P630" s="17"/>
      <c r="Q630" s="17"/>
      <c r="R630" s="17"/>
      <c r="S630" s="17"/>
    </row>
    <row r="631" spans="1:19" s="18" customFormat="1" ht="25.5" hidden="1">
      <c r="A631" s="81" t="s">
        <v>38</v>
      </c>
      <c r="B631" s="15" t="s">
        <v>94</v>
      </c>
      <c r="C631" s="15" t="s">
        <v>26</v>
      </c>
      <c r="D631" s="15" t="s">
        <v>26</v>
      </c>
      <c r="E631" s="15" t="s">
        <v>135</v>
      </c>
      <c r="F631" s="15" t="s">
        <v>39</v>
      </c>
      <c r="G631" s="69"/>
      <c r="H631" s="69"/>
      <c r="O631" s="17"/>
      <c r="P631" s="17"/>
      <c r="Q631" s="17"/>
      <c r="R631" s="17"/>
      <c r="S631" s="17"/>
    </row>
    <row r="632" spans="1:19" s="18" customFormat="1" hidden="1">
      <c r="A632" s="81" t="s">
        <v>63</v>
      </c>
      <c r="B632" s="15" t="s">
        <v>94</v>
      </c>
      <c r="C632" s="15" t="s">
        <v>26</v>
      </c>
      <c r="D632" s="15" t="s">
        <v>26</v>
      </c>
      <c r="E632" s="15" t="s">
        <v>762</v>
      </c>
      <c r="F632" s="15" t="s">
        <v>64</v>
      </c>
      <c r="G632" s="69">
        <f>G633</f>
        <v>0</v>
      </c>
      <c r="H632" s="69">
        <f>H633</f>
        <v>0</v>
      </c>
      <c r="O632" s="17"/>
      <c r="P632" s="17"/>
      <c r="Q632" s="17"/>
      <c r="R632" s="17"/>
      <c r="S632" s="17"/>
    </row>
    <row r="633" spans="1:19" s="18" customFormat="1" ht="13.5" hidden="1" customHeight="1">
      <c r="A633" s="81" t="s">
        <v>180</v>
      </c>
      <c r="B633" s="15" t="s">
        <v>94</v>
      </c>
      <c r="C633" s="15" t="s">
        <v>26</v>
      </c>
      <c r="D633" s="15" t="s">
        <v>26</v>
      </c>
      <c r="E633" s="15" t="s">
        <v>762</v>
      </c>
      <c r="F633" s="15" t="s">
        <v>181</v>
      </c>
      <c r="G633" s="69">
        <f>'прил 5,'!G950</f>
        <v>0</v>
      </c>
      <c r="H633" s="69"/>
      <c r="O633" s="17"/>
      <c r="P633" s="17"/>
      <c r="Q633" s="17"/>
      <c r="R633" s="17"/>
      <c r="S633" s="17"/>
    </row>
    <row r="634" spans="1:19" s="18" customFormat="1" ht="61.5" hidden="1" customHeight="1">
      <c r="A634" s="131" t="s">
        <v>424</v>
      </c>
      <c r="B634" s="15" t="s">
        <v>94</v>
      </c>
      <c r="C634" s="15" t="s">
        <v>26</v>
      </c>
      <c r="D634" s="15" t="s">
        <v>26</v>
      </c>
      <c r="E634" s="15" t="s">
        <v>423</v>
      </c>
      <c r="F634" s="15"/>
      <c r="G634" s="69">
        <f>G635</f>
        <v>0</v>
      </c>
      <c r="H634" s="69">
        <f t="shared" ref="H634" si="159">H635</f>
        <v>0</v>
      </c>
      <c r="O634" s="17"/>
      <c r="P634" s="17"/>
      <c r="Q634" s="17"/>
      <c r="R634" s="17"/>
      <c r="S634" s="17"/>
    </row>
    <row r="635" spans="1:19" s="18" customFormat="1" ht="25.5" hidden="1">
      <c r="A635" s="16" t="s">
        <v>30</v>
      </c>
      <c r="B635" s="15" t="s">
        <v>94</v>
      </c>
      <c r="C635" s="15" t="s">
        <v>26</v>
      </c>
      <c r="D635" s="15" t="s">
        <v>26</v>
      </c>
      <c r="E635" s="15" t="s">
        <v>423</v>
      </c>
      <c r="F635" s="15" t="s">
        <v>31</v>
      </c>
      <c r="G635" s="69">
        <f>G636</f>
        <v>0</v>
      </c>
      <c r="H635" s="69">
        <f>H636</f>
        <v>0</v>
      </c>
      <c r="O635" s="17"/>
      <c r="P635" s="17"/>
      <c r="Q635" s="17"/>
      <c r="R635" s="17"/>
      <c r="S635" s="17"/>
    </row>
    <row r="636" spans="1:19" s="18" customFormat="1" hidden="1">
      <c r="A636" s="16" t="s">
        <v>32</v>
      </c>
      <c r="B636" s="15" t="s">
        <v>94</v>
      </c>
      <c r="C636" s="15" t="s">
        <v>26</v>
      </c>
      <c r="D636" s="15" t="s">
        <v>26</v>
      </c>
      <c r="E636" s="15" t="s">
        <v>423</v>
      </c>
      <c r="F636" s="15" t="s">
        <v>33</v>
      </c>
      <c r="G636" s="69"/>
      <c r="H636" s="69"/>
      <c r="O636" s="17"/>
      <c r="P636" s="17"/>
      <c r="Q636" s="17"/>
      <c r="R636" s="17"/>
      <c r="S636" s="17"/>
    </row>
    <row r="637" spans="1:19" s="18" customFormat="1" ht="61.5" hidden="1" customHeight="1">
      <c r="A637" s="131" t="s">
        <v>912</v>
      </c>
      <c r="B637" s="15" t="s">
        <v>94</v>
      </c>
      <c r="C637" s="15" t="s">
        <v>26</v>
      </c>
      <c r="D637" s="15" t="s">
        <v>26</v>
      </c>
      <c r="E637" s="15" t="s">
        <v>911</v>
      </c>
      <c r="F637" s="15"/>
      <c r="G637" s="69">
        <f>G638</f>
        <v>0</v>
      </c>
      <c r="H637" s="69">
        <f t="shared" ref="H637" si="160">H638</f>
        <v>0</v>
      </c>
      <c r="I637" s="170"/>
    </row>
    <row r="638" spans="1:19" s="18" customFormat="1" hidden="1">
      <c r="A638" s="81" t="s">
        <v>63</v>
      </c>
      <c r="B638" s="15" t="s">
        <v>94</v>
      </c>
      <c r="C638" s="15" t="s">
        <v>26</v>
      </c>
      <c r="D638" s="15" t="s">
        <v>26</v>
      </c>
      <c r="E638" s="15" t="s">
        <v>911</v>
      </c>
      <c r="F638" s="15" t="s">
        <v>64</v>
      </c>
      <c r="G638" s="69">
        <f>G639</f>
        <v>0</v>
      </c>
      <c r="H638" s="69">
        <f>H639</f>
        <v>0</v>
      </c>
      <c r="I638" s="170"/>
    </row>
    <row r="639" spans="1:19" s="18" customFormat="1" hidden="1">
      <c r="A639" s="81" t="s">
        <v>180</v>
      </c>
      <c r="B639" s="15" t="s">
        <v>94</v>
      </c>
      <c r="C639" s="15" t="s">
        <v>26</v>
      </c>
      <c r="D639" s="15" t="s">
        <v>26</v>
      </c>
      <c r="E639" s="15" t="s">
        <v>911</v>
      </c>
      <c r="F639" s="15" t="s">
        <v>181</v>
      </c>
      <c r="G639" s="69">
        <f>'прил 5,'!G956</f>
        <v>0</v>
      </c>
      <c r="H639" s="69">
        <v>0</v>
      </c>
      <c r="I639" s="170"/>
    </row>
    <row r="640" spans="1:19" s="3" customFormat="1" ht="29.25" customHeight="1">
      <c r="A640" s="16" t="s">
        <v>141</v>
      </c>
      <c r="B640" s="14">
        <v>774</v>
      </c>
      <c r="C640" s="15" t="s">
        <v>26</v>
      </c>
      <c r="D640" s="15" t="s">
        <v>28</v>
      </c>
      <c r="E640" s="15" t="s">
        <v>224</v>
      </c>
      <c r="F640" s="15"/>
      <c r="G640" s="69">
        <f>G641</f>
        <v>550591.55000000005</v>
      </c>
      <c r="H640" s="69">
        <f t="shared" ref="H640" si="161">H641</f>
        <v>550591.55000000005</v>
      </c>
      <c r="I640" s="108"/>
      <c r="O640" s="108"/>
      <c r="P640" s="108"/>
      <c r="Q640" s="108"/>
      <c r="R640" s="108"/>
      <c r="S640" s="108"/>
    </row>
    <row r="641" spans="1:19" s="3" customFormat="1" ht="32.25" customHeight="1">
      <c r="A641" s="16" t="s">
        <v>142</v>
      </c>
      <c r="B641" s="14">
        <v>774</v>
      </c>
      <c r="C641" s="15" t="s">
        <v>26</v>
      </c>
      <c r="D641" s="15" t="s">
        <v>28</v>
      </c>
      <c r="E641" s="15" t="s">
        <v>225</v>
      </c>
      <c r="F641" s="15"/>
      <c r="G641" s="86">
        <f>G642</f>
        <v>550591.55000000005</v>
      </c>
      <c r="H641" s="86">
        <f t="shared" ref="H641" si="162">H642</f>
        <v>550591.55000000005</v>
      </c>
      <c r="I641" s="108"/>
      <c r="O641" s="108"/>
      <c r="P641" s="108"/>
      <c r="Q641" s="108"/>
      <c r="R641" s="108"/>
      <c r="S641" s="108"/>
    </row>
    <row r="642" spans="1:19" s="18" customFormat="1" ht="25.5">
      <c r="A642" s="16" t="s">
        <v>30</v>
      </c>
      <c r="B642" s="15" t="s">
        <v>94</v>
      </c>
      <c r="C642" s="15" t="s">
        <v>26</v>
      </c>
      <c r="D642" s="15" t="s">
        <v>28</v>
      </c>
      <c r="E642" s="15" t="s">
        <v>225</v>
      </c>
      <c r="F642" s="15" t="s">
        <v>31</v>
      </c>
      <c r="G642" s="86">
        <f>G643</f>
        <v>550591.55000000005</v>
      </c>
      <c r="H642" s="86">
        <f t="shared" ref="H642:N642" si="163">H643</f>
        <v>550591.55000000005</v>
      </c>
      <c r="I642" s="86">
        <f t="shared" si="163"/>
        <v>0</v>
      </c>
      <c r="J642" s="86">
        <f t="shared" si="163"/>
        <v>0</v>
      </c>
      <c r="K642" s="86">
        <f t="shared" si="163"/>
        <v>0</v>
      </c>
      <c r="L642" s="86">
        <f t="shared" si="163"/>
        <v>0</v>
      </c>
      <c r="M642" s="86">
        <f t="shared" si="163"/>
        <v>0</v>
      </c>
      <c r="N642" s="86">
        <f t="shared" si="163"/>
        <v>0</v>
      </c>
      <c r="O642" s="17"/>
      <c r="P642" s="17"/>
      <c r="Q642" s="17"/>
      <c r="R642" s="17"/>
      <c r="S642" s="17"/>
    </row>
    <row r="643" spans="1:19" s="18" customFormat="1">
      <c r="A643" s="16" t="s">
        <v>32</v>
      </c>
      <c r="B643" s="15" t="s">
        <v>94</v>
      </c>
      <c r="C643" s="15" t="s">
        <v>26</v>
      </c>
      <c r="D643" s="15" t="s">
        <v>28</v>
      </c>
      <c r="E643" s="15" t="s">
        <v>225</v>
      </c>
      <c r="F643" s="15" t="s">
        <v>33</v>
      </c>
      <c r="G643" s="86">
        <f>'прил 5,'!G728+'прил 5,'!G852</f>
        <v>550591.55000000005</v>
      </c>
      <c r="H643" s="86">
        <f>'прил 5,'!H728+'прил 5,'!H852</f>
        <v>550591.55000000005</v>
      </c>
      <c r="I643" s="17"/>
      <c r="O643" s="17"/>
      <c r="P643" s="17"/>
      <c r="Q643" s="17"/>
      <c r="R643" s="17"/>
      <c r="S643" s="17"/>
    </row>
    <row r="644" spans="1:19" s="18" customFormat="1" ht="32.25" customHeight="1">
      <c r="A644" s="16" t="s">
        <v>143</v>
      </c>
      <c r="B644" s="15" t="s">
        <v>94</v>
      </c>
      <c r="C644" s="15" t="s">
        <v>26</v>
      </c>
      <c r="D644" s="15" t="s">
        <v>123</v>
      </c>
      <c r="E644" s="15" t="s">
        <v>227</v>
      </c>
      <c r="F644" s="15"/>
      <c r="G644" s="69">
        <f>G645+G661</f>
        <v>14738271</v>
      </c>
      <c r="H644" s="69">
        <f>H645+H661</f>
        <v>14738271</v>
      </c>
      <c r="I644" s="17"/>
      <c r="O644" s="17"/>
      <c r="P644" s="17"/>
      <c r="Q644" s="17"/>
      <c r="R644" s="17"/>
      <c r="S644" s="17"/>
    </row>
    <row r="645" spans="1:19" s="18" customFormat="1" ht="25.5">
      <c r="A645" s="16" t="s">
        <v>76</v>
      </c>
      <c r="B645" s="15" t="s">
        <v>94</v>
      </c>
      <c r="C645" s="15" t="s">
        <v>26</v>
      </c>
      <c r="D645" s="15" t="s">
        <v>123</v>
      </c>
      <c r="E645" s="15" t="s">
        <v>228</v>
      </c>
      <c r="F645" s="15"/>
      <c r="G645" s="86">
        <f>G646+G648+G650</f>
        <v>14738271</v>
      </c>
      <c r="H645" s="86">
        <f t="shared" ref="H645" si="164">H646+H648+H650</f>
        <v>14738271</v>
      </c>
      <c r="I645" s="17"/>
      <c r="O645" s="17"/>
      <c r="P645" s="17"/>
      <c r="Q645" s="17"/>
      <c r="R645" s="17"/>
      <c r="S645" s="17"/>
    </row>
    <row r="646" spans="1:19" ht="51">
      <c r="A646" s="16" t="s">
        <v>55</v>
      </c>
      <c r="B646" s="15" t="s">
        <v>94</v>
      </c>
      <c r="C646" s="15" t="s">
        <v>26</v>
      </c>
      <c r="D646" s="15" t="s">
        <v>123</v>
      </c>
      <c r="E646" s="15" t="s">
        <v>228</v>
      </c>
      <c r="F646" s="15" t="s">
        <v>58</v>
      </c>
      <c r="G646" s="86">
        <f>G647</f>
        <v>14212915.199999999</v>
      </c>
      <c r="H646" s="86">
        <f t="shared" ref="H646" si="165">H647</f>
        <v>14212915.199999999</v>
      </c>
    </row>
    <row r="647" spans="1:19" ht="25.5">
      <c r="A647" s="16" t="s">
        <v>56</v>
      </c>
      <c r="B647" s="15" t="s">
        <v>94</v>
      </c>
      <c r="C647" s="15" t="s">
        <v>26</v>
      </c>
      <c r="D647" s="15" t="s">
        <v>123</v>
      </c>
      <c r="E647" s="15" t="s">
        <v>228</v>
      </c>
      <c r="F647" s="15" t="s">
        <v>59</v>
      </c>
      <c r="G647" s="69">
        <f>'прил 5,'!G981</f>
        <v>14212915.199999999</v>
      </c>
      <c r="H647" s="69">
        <f>'прил 5,'!H981</f>
        <v>14212915.199999999</v>
      </c>
    </row>
    <row r="648" spans="1:19" ht="25.5">
      <c r="A648" s="16" t="s">
        <v>36</v>
      </c>
      <c r="B648" s="15" t="s">
        <v>94</v>
      </c>
      <c r="C648" s="15" t="s">
        <v>26</v>
      </c>
      <c r="D648" s="15" t="s">
        <v>123</v>
      </c>
      <c r="E648" s="15" t="s">
        <v>228</v>
      </c>
      <c r="F648" s="15" t="s">
        <v>37</v>
      </c>
      <c r="G648" s="69">
        <f>G649</f>
        <v>525355.80000000005</v>
      </c>
      <c r="H648" s="69">
        <f t="shared" ref="H648" si="166">H649</f>
        <v>525355.80000000005</v>
      </c>
    </row>
    <row r="649" spans="1:19" ht="25.5">
      <c r="A649" s="16" t="s">
        <v>38</v>
      </c>
      <c r="B649" s="15" t="s">
        <v>94</v>
      </c>
      <c r="C649" s="15" t="s">
        <v>26</v>
      </c>
      <c r="D649" s="15" t="s">
        <v>123</v>
      </c>
      <c r="E649" s="15" t="s">
        <v>228</v>
      </c>
      <c r="F649" s="15" t="s">
        <v>39</v>
      </c>
      <c r="G649" s="69">
        <f>'прил 5,'!G983</f>
        <v>525355.80000000005</v>
      </c>
      <c r="H649" s="69">
        <f>'прил 5,'!H983</f>
        <v>525355.80000000005</v>
      </c>
    </row>
    <row r="650" spans="1:19" hidden="1">
      <c r="A650" s="141" t="s">
        <v>63</v>
      </c>
      <c r="B650" s="15" t="s">
        <v>94</v>
      </c>
      <c r="C650" s="15" t="s">
        <v>26</v>
      </c>
      <c r="D650" s="15" t="s">
        <v>123</v>
      </c>
      <c r="E650" s="15" t="s">
        <v>228</v>
      </c>
      <c r="F650" s="15" t="s">
        <v>64</v>
      </c>
      <c r="G650" s="27">
        <f>G652+G651</f>
        <v>0</v>
      </c>
      <c r="H650" s="27">
        <f>H652</f>
        <v>0</v>
      </c>
      <c r="I650" s="1"/>
    </row>
    <row r="651" spans="1:19" hidden="1">
      <c r="A651" s="16" t="s">
        <v>328</v>
      </c>
      <c r="B651" s="15" t="s">
        <v>94</v>
      </c>
      <c r="C651" s="15" t="s">
        <v>26</v>
      </c>
      <c r="D651" s="15" t="s">
        <v>123</v>
      </c>
      <c r="E651" s="15" t="s">
        <v>228</v>
      </c>
      <c r="F651" s="15" t="s">
        <v>327</v>
      </c>
      <c r="G651" s="27"/>
      <c r="H651" s="27">
        <v>0</v>
      </c>
      <c r="I651" s="1"/>
    </row>
    <row r="652" spans="1:19" hidden="1">
      <c r="A652" s="16" t="s">
        <v>66</v>
      </c>
      <c r="B652" s="15" t="s">
        <v>94</v>
      </c>
      <c r="C652" s="15" t="s">
        <v>26</v>
      </c>
      <c r="D652" s="15" t="s">
        <v>123</v>
      </c>
      <c r="E652" s="15" t="s">
        <v>228</v>
      </c>
      <c r="F652" s="15" t="s">
        <v>67</v>
      </c>
      <c r="G652" s="27"/>
      <c r="H652" s="27">
        <v>0</v>
      </c>
      <c r="I652" s="1"/>
    </row>
    <row r="653" spans="1:19" s="105" customFormat="1" ht="54" hidden="1" customHeight="1">
      <c r="A653" s="104" t="s">
        <v>464</v>
      </c>
      <c r="B653" s="85">
        <v>795</v>
      </c>
      <c r="C653" s="102" t="s">
        <v>173</v>
      </c>
      <c r="D653" s="102" t="s">
        <v>70</v>
      </c>
      <c r="E653" s="102" t="s">
        <v>139</v>
      </c>
      <c r="F653" s="102"/>
      <c r="G653" s="103">
        <f>G657+G654</f>
        <v>0</v>
      </c>
      <c r="H653" s="103">
        <f t="shared" ref="H653" si="167">H657+H654</f>
        <v>0</v>
      </c>
      <c r="I653" s="111">
        <v>634136</v>
      </c>
      <c r="O653" s="111"/>
      <c r="P653" s="111"/>
      <c r="Q653" s="111"/>
      <c r="R653" s="111"/>
      <c r="S653" s="111"/>
    </row>
    <row r="654" spans="1:19" s="22" customFormat="1" ht="36" hidden="1" customHeight="1">
      <c r="A654" s="16" t="s">
        <v>640</v>
      </c>
      <c r="B654" s="14">
        <v>795</v>
      </c>
      <c r="C654" s="15" t="s">
        <v>173</v>
      </c>
      <c r="D654" s="15" t="s">
        <v>70</v>
      </c>
      <c r="E654" s="15" t="s">
        <v>641</v>
      </c>
      <c r="F654" s="36"/>
      <c r="G654" s="69">
        <f>G655</f>
        <v>0</v>
      </c>
      <c r="H654" s="69">
        <f t="shared" ref="H654:H655" si="168">H655</f>
        <v>0</v>
      </c>
      <c r="O654" s="21"/>
      <c r="P654" s="21"/>
      <c r="Q654" s="21"/>
      <c r="R654" s="21"/>
      <c r="S654" s="21"/>
    </row>
    <row r="655" spans="1:19" s="22" customFormat="1" ht="24" hidden="1" customHeight="1">
      <c r="A655" s="16" t="s">
        <v>156</v>
      </c>
      <c r="B655" s="14">
        <v>795</v>
      </c>
      <c r="C655" s="15" t="s">
        <v>173</v>
      </c>
      <c r="D655" s="15" t="s">
        <v>70</v>
      </c>
      <c r="E655" s="15" t="s">
        <v>641</v>
      </c>
      <c r="F655" s="15" t="s">
        <v>157</v>
      </c>
      <c r="G655" s="69">
        <f>G656</f>
        <v>0</v>
      </c>
      <c r="H655" s="69">
        <f t="shared" si="168"/>
        <v>0</v>
      </c>
      <c r="O655" s="21"/>
      <c r="P655" s="21"/>
      <c r="Q655" s="21"/>
      <c r="R655" s="21"/>
      <c r="S655" s="21"/>
    </row>
    <row r="656" spans="1:19" s="22" customFormat="1" ht="24" hidden="1" customHeight="1">
      <c r="A656" s="16" t="s">
        <v>178</v>
      </c>
      <c r="B656" s="14">
        <v>795</v>
      </c>
      <c r="C656" s="15" t="s">
        <v>173</v>
      </c>
      <c r="D656" s="15" t="s">
        <v>70</v>
      </c>
      <c r="E656" s="15" t="s">
        <v>641</v>
      </c>
      <c r="F656" s="15" t="s">
        <v>179</v>
      </c>
      <c r="G656" s="69">
        <v>0</v>
      </c>
      <c r="H656" s="69">
        <v>0</v>
      </c>
      <c r="O656" s="21"/>
      <c r="P656" s="21"/>
      <c r="Q656" s="21"/>
      <c r="R656" s="21"/>
      <c r="S656" s="21"/>
    </row>
    <row r="657" spans="1:19" ht="51.75" hidden="1" customHeight="1">
      <c r="A657" s="16" t="s">
        <v>402</v>
      </c>
      <c r="B657" s="49">
        <v>795</v>
      </c>
      <c r="C657" s="15" t="s">
        <v>173</v>
      </c>
      <c r="D657" s="15" t="s">
        <v>70</v>
      </c>
      <c r="E657" s="15" t="s">
        <v>401</v>
      </c>
      <c r="F657" s="15"/>
      <c r="G657" s="86">
        <f t="shared" ref="G657:H657" si="169">G658</f>
        <v>0</v>
      </c>
      <c r="H657" s="86">
        <f t="shared" si="169"/>
        <v>0</v>
      </c>
    </row>
    <row r="658" spans="1:19" ht="30.75" hidden="1" customHeight="1">
      <c r="A658" s="16" t="s">
        <v>156</v>
      </c>
      <c r="B658" s="14">
        <v>793</v>
      </c>
      <c r="C658" s="15" t="s">
        <v>69</v>
      </c>
      <c r="D658" s="15" t="s">
        <v>70</v>
      </c>
      <c r="E658" s="15" t="s">
        <v>401</v>
      </c>
      <c r="F658" s="15" t="s">
        <v>157</v>
      </c>
      <c r="G658" s="69">
        <f>G659</f>
        <v>0</v>
      </c>
      <c r="H658" s="69">
        <f t="shared" ref="H658" si="170">H659</f>
        <v>0</v>
      </c>
    </row>
    <row r="659" spans="1:19" ht="30.75" hidden="1" customHeight="1">
      <c r="A659" s="16" t="s">
        <v>178</v>
      </c>
      <c r="B659" s="14">
        <v>793</v>
      </c>
      <c r="C659" s="15" t="s">
        <v>69</v>
      </c>
      <c r="D659" s="15" t="s">
        <v>70</v>
      </c>
      <c r="E659" s="15" t="s">
        <v>401</v>
      </c>
      <c r="F659" s="15" t="s">
        <v>179</v>
      </c>
      <c r="G659" s="69">
        <f>'прил 5,'!G2059</f>
        <v>0</v>
      </c>
      <c r="H659" s="69">
        <f>'прил 5,'!H2059</f>
        <v>0</v>
      </c>
    </row>
    <row r="660" spans="1:19" s="18" customFormat="1" ht="38.25" hidden="1">
      <c r="A660" s="175" t="s">
        <v>874</v>
      </c>
      <c r="B660" s="15" t="s">
        <v>94</v>
      </c>
      <c r="C660" s="15" t="s">
        <v>26</v>
      </c>
      <c r="D660" s="15" t="s">
        <v>123</v>
      </c>
      <c r="E660" s="15" t="s">
        <v>909</v>
      </c>
      <c r="F660" s="15"/>
      <c r="G660" s="69">
        <f t="shared" ref="G660:H660" si="171">G661</f>
        <v>0</v>
      </c>
      <c r="H660" s="69">
        <f t="shared" si="171"/>
        <v>0</v>
      </c>
      <c r="I660" s="170"/>
    </row>
    <row r="661" spans="1:19" s="18" customFormat="1" ht="38.25" hidden="1">
      <c r="A661" s="79" t="s">
        <v>874</v>
      </c>
      <c r="B661" s="15" t="s">
        <v>94</v>
      </c>
      <c r="C661" s="15" t="s">
        <v>26</v>
      </c>
      <c r="D661" s="15" t="s">
        <v>123</v>
      </c>
      <c r="E661" s="15" t="s">
        <v>908</v>
      </c>
      <c r="F661" s="15"/>
      <c r="G661" s="69">
        <f t="shared" ref="G661:H662" si="172">G662</f>
        <v>0</v>
      </c>
      <c r="H661" s="69">
        <f t="shared" si="172"/>
        <v>0</v>
      </c>
      <c r="I661" s="170"/>
    </row>
    <row r="662" spans="1:19" s="18" customFormat="1" hidden="1">
      <c r="A662" s="16" t="s">
        <v>148</v>
      </c>
      <c r="B662" s="15" t="s">
        <v>94</v>
      </c>
      <c r="C662" s="15" t="s">
        <v>26</v>
      </c>
      <c r="D662" s="15" t="s">
        <v>123</v>
      </c>
      <c r="E662" s="15" t="s">
        <v>908</v>
      </c>
      <c r="F662" s="15" t="s">
        <v>149</v>
      </c>
      <c r="G662" s="69">
        <f t="shared" si="172"/>
        <v>0</v>
      </c>
      <c r="H662" s="69">
        <f t="shared" si="172"/>
        <v>0</v>
      </c>
      <c r="I662" s="170"/>
    </row>
    <row r="663" spans="1:19" s="18" customFormat="1" hidden="1">
      <c r="A663" s="16" t="s">
        <v>913</v>
      </c>
      <c r="B663" s="15" t="s">
        <v>94</v>
      </c>
      <c r="C663" s="15" t="s">
        <v>26</v>
      </c>
      <c r="D663" s="15" t="s">
        <v>123</v>
      </c>
      <c r="E663" s="15" t="s">
        <v>908</v>
      </c>
      <c r="F663" s="15" t="s">
        <v>910</v>
      </c>
      <c r="G663" s="69">
        <f>'прил 5,'!G996</f>
        <v>0</v>
      </c>
      <c r="H663" s="69">
        <f>'прил 5,'!H996</f>
        <v>0</v>
      </c>
      <c r="I663" s="170"/>
    </row>
    <row r="664" spans="1:19" ht="33" hidden="1" customHeight="1">
      <c r="A664" s="16" t="s">
        <v>968</v>
      </c>
      <c r="B664" s="15" t="s">
        <v>94</v>
      </c>
      <c r="C664" s="15" t="s">
        <v>26</v>
      </c>
      <c r="D664" s="15" t="s">
        <v>123</v>
      </c>
      <c r="E664" s="15" t="s">
        <v>951</v>
      </c>
      <c r="F664" s="15"/>
      <c r="G664" s="69">
        <f>G665</f>
        <v>0</v>
      </c>
      <c r="H664" s="69">
        <f t="shared" ref="H664" si="173">H665</f>
        <v>0</v>
      </c>
      <c r="I664" s="171"/>
      <c r="J664" s="177"/>
      <c r="K664" s="177"/>
      <c r="L664" s="177"/>
      <c r="M664" s="177"/>
      <c r="N664" s="177"/>
      <c r="O664" s="177"/>
      <c r="P664" s="177"/>
      <c r="Q664" s="177"/>
      <c r="R664" s="1"/>
      <c r="S664" s="1"/>
    </row>
    <row r="665" spans="1:19" ht="24.75" hidden="1" customHeight="1">
      <c r="A665" s="16" t="s">
        <v>36</v>
      </c>
      <c r="B665" s="15" t="s">
        <v>94</v>
      </c>
      <c r="C665" s="15" t="s">
        <v>26</v>
      </c>
      <c r="D665" s="15" t="s">
        <v>123</v>
      </c>
      <c r="E665" s="15" t="s">
        <v>951</v>
      </c>
      <c r="F665" s="15" t="s">
        <v>37</v>
      </c>
      <c r="G665" s="69">
        <f>G666</f>
        <v>0</v>
      </c>
      <c r="H665" s="69">
        <f t="shared" ref="H665" si="174">H666</f>
        <v>0</v>
      </c>
      <c r="I665" s="171"/>
      <c r="J665" s="177"/>
      <c r="K665" s="177"/>
      <c r="L665" s="177"/>
      <c r="M665" s="177"/>
      <c r="N665" s="177"/>
      <c r="O665" s="177"/>
      <c r="P665" s="177"/>
      <c r="Q665" s="177"/>
      <c r="R665" s="1"/>
      <c r="S665" s="1"/>
    </row>
    <row r="666" spans="1:19" ht="42.75" hidden="1" customHeight="1">
      <c r="A666" s="16" t="s">
        <v>38</v>
      </c>
      <c r="B666" s="15" t="s">
        <v>94</v>
      </c>
      <c r="C666" s="15" t="s">
        <v>26</v>
      </c>
      <c r="D666" s="15" t="s">
        <v>123</v>
      </c>
      <c r="E666" s="15" t="s">
        <v>951</v>
      </c>
      <c r="F666" s="15" t="s">
        <v>39</v>
      </c>
      <c r="G666" s="86">
        <f>'прил 5,'!G999</f>
        <v>0</v>
      </c>
      <c r="H666" s="69">
        <v>0</v>
      </c>
      <c r="I666" s="171"/>
      <c r="J666" s="177"/>
      <c r="K666" s="177"/>
      <c r="L666" s="177"/>
      <c r="M666" s="177"/>
      <c r="N666" s="177"/>
      <c r="O666" s="177"/>
      <c r="P666" s="177"/>
      <c r="Q666" s="177"/>
      <c r="R666" s="1"/>
      <c r="S666" s="1"/>
    </row>
    <row r="667" spans="1:19" s="32" customFormat="1" ht="29.25" customHeight="1">
      <c r="A667" s="228" t="s">
        <v>463</v>
      </c>
      <c r="B667" s="35">
        <v>757</v>
      </c>
      <c r="C667" s="36" t="s">
        <v>44</v>
      </c>
      <c r="D667" s="36" t="s">
        <v>54</v>
      </c>
      <c r="E667" s="36" t="s">
        <v>202</v>
      </c>
      <c r="F667" s="36"/>
      <c r="G667" s="70">
        <f>G668+G673+G676+G684+G680</f>
        <v>911100</v>
      </c>
      <c r="H667" s="70">
        <f>H668+H673+H676+H684+H680</f>
        <v>911100</v>
      </c>
      <c r="I667" s="31"/>
      <c r="O667" s="31"/>
      <c r="P667" s="31"/>
      <c r="Q667" s="31"/>
      <c r="R667" s="31"/>
      <c r="S667" s="31"/>
    </row>
    <row r="668" spans="1:19" s="32" customFormat="1" ht="27.75" customHeight="1">
      <c r="A668" s="30" t="s">
        <v>137</v>
      </c>
      <c r="B668" s="14">
        <v>757</v>
      </c>
      <c r="C668" s="15" t="s">
        <v>44</v>
      </c>
      <c r="D668" s="15" t="s">
        <v>19</v>
      </c>
      <c r="E668" s="15" t="s">
        <v>203</v>
      </c>
      <c r="F668" s="15"/>
      <c r="G668" s="86">
        <f>G671+G669</f>
        <v>161100</v>
      </c>
      <c r="H668" s="86">
        <f t="shared" ref="H668" si="175">H671+H669</f>
        <v>161100</v>
      </c>
      <c r="I668" s="31"/>
      <c r="O668" s="31"/>
      <c r="P668" s="31"/>
      <c r="Q668" s="31"/>
      <c r="R668" s="31"/>
      <c r="S668" s="31"/>
    </row>
    <row r="669" spans="1:19" ht="29.25" customHeight="1">
      <c r="A669" s="16" t="s">
        <v>36</v>
      </c>
      <c r="B669" s="14">
        <v>757</v>
      </c>
      <c r="C669" s="15" t="s">
        <v>54</v>
      </c>
      <c r="D669" s="15" t="s">
        <v>88</v>
      </c>
      <c r="E669" s="15" t="s">
        <v>203</v>
      </c>
      <c r="F669" s="83" t="s">
        <v>37</v>
      </c>
      <c r="G669" s="86">
        <f>G670</f>
        <v>0</v>
      </c>
      <c r="H669" s="69">
        <f t="shared" ref="H669" si="176">H670</f>
        <v>0</v>
      </c>
      <c r="I669" s="1"/>
    </row>
    <row r="670" spans="1:19" ht="38.25" customHeight="1">
      <c r="A670" s="16" t="s">
        <v>38</v>
      </c>
      <c r="B670" s="14">
        <v>757</v>
      </c>
      <c r="C670" s="15" t="s">
        <v>54</v>
      </c>
      <c r="D670" s="15" t="s">
        <v>88</v>
      </c>
      <c r="E670" s="15" t="s">
        <v>203</v>
      </c>
      <c r="F670" s="83" t="s">
        <v>39</v>
      </c>
      <c r="G670" s="8">
        <f>'прил 5,'!G14</f>
        <v>0</v>
      </c>
      <c r="H670" s="8">
        <f>'прил 5,'!H14</f>
        <v>0</v>
      </c>
      <c r="I670" s="1"/>
    </row>
    <row r="671" spans="1:19" ht="32.25" customHeight="1">
      <c r="A671" s="16" t="s">
        <v>30</v>
      </c>
      <c r="B671" s="14">
        <v>757</v>
      </c>
      <c r="C671" s="15" t="s">
        <v>44</v>
      </c>
      <c r="D671" s="15" t="s">
        <v>19</v>
      </c>
      <c r="E671" s="15" t="s">
        <v>203</v>
      </c>
      <c r="F671" s="15" t="s">
        <v>31</v>
      </c>
      <c r="G671" s="84">
        <f t="shared" ref="G671:H671" si="177">G672</f>
        <v>161100</v>
      </c>
      <c r="H671" s="84">
        <f t="shared" si="177"/>
        <v>161100</v>
      </c>
    </row>
    <row r="672" spans="1:19">
      <c r="A672" s="16" t="s">
        <v>32</v>
      </c>
      <c r="B672" s="14">
        <v>757</v>
      </c>
      <c r="C672" s="15" t="s">
        <v>44</v>
      </c>
      <c r="D672" s="15" t="s">
        <v>19</v>
      </c>
      <c r="E672" s="15" t="s">
        <v>203</v>
      </c>
      <c r="F672" s="15" t="s">
        <v>33</v>
      </c>
      <c r="G672" s="84">
        <f>'прил 5,'!G16</f>
        <v>161100</v>
      </c>
      <c r="H672" s="84">
        <f>'прил 5,'!H16</f>
        <v>161100</v>
      </c>
      <c r="I672" s="2">
        <v>50000</v>
      </c>
    </row>
    <row r="673" spans="1:19" ht="15" hidden="1" customHeight="1">
      <c r="A673" s="141" t="s">
        <v>496</v>
      </c>
      <c r="B673" s="14">
        <v>757</v>
      </c>
      <c r="C673" s="15" t="s">
        <v>54</v>
      </c>
      <c r="D673" s="15" t="s">
        <v>88</v>
      </c>
      <c r="E673" s="83" t="s">
        <v>495</v>
      </c>
      <c r="F673" s="83"/>
      <c r="G673" s="86">
        <f>G674</f>
        <v>0</v>
      </c>
      <c r="H673" s="86">
        <f t="shared" ref="H673:H674" si="178">H674</f>
        <v>0</v>
      </c>
      <c r="I673" s="1"/>
    </row>
    <row r="674" spans="1:19" ht="27.75" hidden="1" customHeight="1">
      <c r="A674" s="16" t="s">
        <v>36</v>
      </c>
      <c r="B674" s="14">
        <v>757</v>
      </c>
      <c r="C674" s="15" t="s">
        <v>54</v>
      </c>
      <c r="D674" s="15" t="s">
        <v>88</v>
      </c>
      <c r="E674" s="83" t="s">
        <v>495</v>
      </c>
      <c r="F674" s="83" t="s">
        <v>37</v>
      </c>
      <c r="G674" s="86">
        <f>G675</f>
        <v>0</v>
      </c>
      <c r="H674" s="86">
        <f t="shared" si="178"/>
        <v>0</v>
      </c>
      <c r="I674" s="1"/>
    </row>
    <row r="675" spans="1:19" ht="30.75" hidden="1" customHeight="1">
      <c r="A675" s="16" t="s">
        <v>38</v>
      </c>
      <c r="B675" s="14">
        <v>757</v>
      </c>
      <c r="C675" s="15" t="s">
        <v>54</v>
      </c>
      <c r="D675" s="15" t="s">
        <v>88</v>
      </c>
      <c r="E675" s="83" t="s">
        <v>495</v>
      </c>
      <c r="F675" s="83" t="s">
        <v>39</v>
      </c>
      <c r="G675" s="86">
        <f>'прил 5,'!G19</f>
        <v>0</v>
      </c>
      <c r="H675" s="86">
        <v>0</v>
      </c>
      <c r="I675" s="1"/>
    </row>
    <row r="676" spans="1:19" s="18" customFormat="1" ht="32.25" hidden="1" customHeight="1">
      <c r="A676" s="16" t="s">
        <v>113</v>
      </c>
      <c r="B676" s="49">
        <v>795</v>
      </c>
      <c r="C676" s="15" t="s">
        <v>54</v>
      </c>
      <c r="D676" s="15" t="s">
        <v>123</v>
      </c>
      <c r="E676" s="15" t="s">
        <v>202</v>
      </c>
      <c r="F676" s="15"/>
      <c r="G676" s="69">
        <f t="shared" ref="G676:H678" si="179">G677</f>
        <v>0</v>
      </c>
      <c r="H676" s="69">
        <f t="shared" si="179"/>
        <v>0</v>
      </c>
      <c r="O676" s="17"/>
      <c r="P676" s="17"/>
      <c r="Q676" s="17"/>
      <c r="R676" s="17"/>
      <c r="S676" s="17"/>
    </row>
    <row r="677" spans="1:19" s="18" customFormat="1" ht="62.25" hidden="1" customHeight="1">
      <c r="A677" s="16" t="s">
        <v>786</v>
      </c>
      <c r="B677" s="49">
        <v>795</v>
      </c>
      <c r="C677" s="15" t="s">
        <v>54</v>
      </c>
      <c r="D677" s="15" t="s">
        <v>123</v>
      </c>
      <c r="E677" s="15" t="s">
        <v>417</v>
      </c>
      <c r="F677" s="15"/>
      <c r="G677" s="69">
        <f t="shared" si="179"/>
        <v>0</v>
      </c>
      <c r="H677" s="69">
        <f t="shared" si="179"/>
        <v>0</v>
      </c>
      <c r="O677" s="17"/>
      <c r="P677" s="17"/>
      <c r="Q677" s="17"/>
      <c r="R677" s="17"/>
      <c r="S677" s="17"/>
    </row>
    <row r="678" spans="1:19" s="18" customFormat="1" ht="39" hidden="1" customHeight="1">
      <c r="A678" s="16" t="s">
        <v>96</v>
      </c>
      <c r="B678" s="49">
        <v>795</v>
      </c>
      <c r="C678" s="15" t="s">
        <v>54</v>
      </c>
      <c r="D678" s="15" t="s">
        <v>123</v>
      </c>
      <c r="E678" s="15" t="s">
        <v>417</v>
      </c>
      <c r="F678" s="15" t="s">
        <v>348</v>
      </c>
      <c r="G678" s="69">
        <f t="shared" si="179"/>
        <v>0</v>
      </c>
      <c r="H678" s="69">
        <f t="shared" si="179"/>
        <v>0</v>
      </c>
      <c r="O678" s="17"/>
      <c r="P678" s="17"/>
      <c r="Q678" s="17"/>
      <c r="R678" s="17"/>
      <c r="S678" s="17"/>
    </row>
    <row r="679" spans="1:19" s="18" customFormat="1" ht="15.75" hidden="1" customHeight="1">
      <c r="A679" s="16" t="s">
        <v>349</v>
      </c>
      <c r="B679" s="49">
        <v>795</v>
      </c>
      <c r="C679" s="15" t="s">
        <v>54</v>
      </c>
      <c r="D679" s="15" t="s">
        <v>123</v>
      </c>
      <c r="E679" s="15" t="s">
        <v>417</v>
      </c>
      <c r="F679" s="15" t="s">
        <v>350</v>
      </c>
      <c r="G679" s="69">
        <f>'прил 5,'!G1908</f>
        <v>0</v>
      </c>
      <c r="H679" s="69">
        <v>0</v>
      </c>
      <c r="O679" s="17"/>
      <c r="P679" s="17"/>
      <c r="Q679" s="17"/>
      <c r="R679" s="17"/>
      <c r="S679" s="17"/>
    </row>
    <row r="680" spans="1:19" s="18" customFormat="1" ht="70.5" customHeight="1">
      <c r="A680" s="16" t="s">
        <v>786</v>
      </c>
      <c r="B680" s="14">
        <v>793</v>
      </c>
      <c r="C680" s="15" t="s">
        <v>54</v>
      </c>
      <c r="D680" s="15" t="s">
        <v>123</v>
      </c>
      <c r="E680" s="15" t="s">
        <v>417</v>
      </c>
      <c r="F680" s="15"/>
      <c r="G680" s="69">
        <f t="shared" ref="G680:H681" si="180">G681</f>
        <v>750000</v>
      </c>
      <c r="H680" s="69">
        <f t="shared" si="180"/>
        <v>750000</v>
      </c>
      <c r="I680" s="171"/>
      <c r="J680" s="191"/>
      <c r="K680" s="191"/>
      <c r="L680" s="191"/>
      <c r="M680" s="191"/>
      <c r="N680" s="191"/>
      <c r="O680" s="191"/>
      <c r="P680" s="191"/>
      <c r="Q680" s="191"/>
    </row>
    <row r="681" spans="1:19" s="18" customFormat="1" ht="39" customHeight="1">
      <c r="A681" s="16" t="s">
        <v>96</v>
      </c>
      <c r="B681" s="14">
        <v>793</v>
      </c>
      <c r="C681" s="15" t="s">
        <v>54</v>
      </c>
      <c r="D681" s="15" t="s">
        <v>123</v>
      </c>
      <c r="E681" s="15" t="s">
        <v>417</v>
      </c>
      <c r="F681" s="15" t="s">
        <v>348</v>
      </c>
      <c r="G681" s="69">
        <f t="shared" si="180"/>
        <v>750000</v>
      </c>
      <c r="H681" s="69">
        <f t="shared" si="180"/>
        <v>750000</v>
      </c>
      <c r="I681" s="171"/>
      <c r="J681" s="191"/>
      <c r="K681" s="191"/>
      <c r="L681" s="191"/>
      <c r="M681" s="191"/>
      <c r="N681" s="191"/>
      <c r="O681" s="191"/>
      <c r="P681" s="191"/>
      <c r="Q681" s="191"/>
    </row>
    <row r="682" spans="1:19" s="18" customFormat="1" ht="15.75" customHeight="1">
      <c r="A682" s="16" t="s">
        <v>349</v>
      </c>
      <c r="B682" s="14">
        <v>793</v>
      </c>
      <c r="C682" s="15" t="s">
        <v>54</v>
      </c>
      <c r="D682" s="15" t="s">
        <v>123</v>
      </c>
      <c r="E682" s="15" t="s">
        <v>417</v>
      </c>
      <c r="F682" s="15" t="s">
        <v>350</v>
      </c>
      <c r="G682" s="69">
        <v>750000</v>
      </c>
      <c r="H682" s="69">
        <v>750000</v>
      </c>
      <c r="I682" s="171"/>
      <c r="J682" s="191"/>
      <c r="K682" s="191"/>
      <c r="L682" s="191"/>
      <c r="M682" s="191"/>
      <c r="N682" s="191"/>
      <c r="O682" s="191"/>
      <c r="P682" s="191"/>
      <c r="Q682" s="191"/>
    </row>
    <row r="683" spans="1:19" s="18" customFormat="1" ht="32.25" hidden="1" customHeight="1">
      <c r="A683" s="16" t="s">
        <v>936</v>
      </c>
      <c r="B683" s="14">
        <v>793</v>
      </c>
      <c r="C683" s="15" t="s">
        <v>54</v>
      </c>
      <c r="D683" s="15" t="s">
        <v>123</v>
      </c>
      <c r="E683" s="15" t="s">
        <v>935</v>
      </c>
      <c r="F683" s="15"/>
      <c r="G683" s="69">
        <f>G684</f>
        <v>0</v>
      </c>
      <c r="H683" s="69">
        <f t="shared" ref="H683" si="181">H684</f>
        <v>0</v>
      </c>
      <c r="I683" s="171"/>
      <c r="J683" s="191"/>
      <c r="K683" s="191"/>
      <c r="L683" s="191"/>
      <c r="M683" s="191"/>
      <c r="N683" s="191"/>
      <c r="O683" s="191"/>
      <c r="P683" s="191"/>
      <c r="Q683" s="191"/>
    </row>
    <row r="684" spans="1:19" s="18" customFormat="1" ht="87" hidden="1" customHeight="1">
      <c r="A684" s="16" t="s">
        <v>937</v>
      </c>
      <c r="B684" s="49">
        <v>795</v>
      </c>
      <c r="C684" s="15" t="s">
        <v>54</v>
      </c>
      <c r="D684" s="15" t="s">
        <v>123</v>
      </c>
      <c r="E684" s="15" t="s">
        <v>938</v>
      </c>
      <c r="F684" s="15"/>
      <c r="G684" s="69">
        <f t="shared" ref="G684:H685" si="182">G685</f>
        <v>0</v>
      </c>
      <c r="H684" s="69">
        <f t="shared" si="182"/>
        <v>0</v>
      </c>
      <c r="O684" s="17"/>
      <c r="P684" s="17"/>
      <c r="Q684" s="17"/>
      <c r="R684" s="17"/>
      <c r="S684" s="17"/>
    </row>
    <row r="685" spans="1:19" s="18" customFormat="1" ht="39" hidden="1" customHeight="1">
      <c r="A685" s="16" t="s">
        <v>96</v>
      </c>
      <c r="B685" s="49">
        <v>795</v>
      </c>
      <c r="C685" s="15" t="s">
        <v>54</v>
      </c>
      <c r="D685" s="15" t="s">
        <v>123</v>
      </c>
      <c r="E685" s="15" t="s">
        <v>938</v>
      </c>
      <c r="F685" s="15" t="s">
        <v>348</v>
      </c>
      <c r="G685" s="69">
        <f t="shared" si="182"/>
        <v>0</v>
      </c>
      <c r="H685" s="69">
        <f t="shared" si="182"/>
        <v>0</v>
      </c>
      <c r="O685" s="17"/>
      <c r="P685" s="17"/>
      <c r="Q685" s="17"/>
      <c r="R685" s="17"/>
      <c r="S685" s="17"/>
    </row>
    <row r="686" spans="1:19" s="18" customFormat="1" ht="15.75" hidden="1" customHeight="1">
      <c r="A686" s="16" t="s">
        <v>349</v>
      </c>
      <c r="B686" s="49">
        <v>795</v>
      </c>
      <c r="C686" s="15" t="s">
        <v>54</v>
      </c>
      <c r="D686" s="15" t="s">
        <v>123</v>
      </c>
      <c r="E686" s="15" t="s">
        <v>938</v>
      </c>
      <c r="F686" s="15" t="s">
        <v>350</v>
      </c>
      <c r="G686" s="69">
        <f>'прил 5,'!G1426</f>
        <v>0</v>
      </c>
      <c r="H686" s="69">
        <f>'прил 5,'!H1426</f>
        <v>0</v>
      </c>
      <c r="O686" s="17"/>
      <c r="P686" s="17"/>
      <c r="Q686" s="17"/>
      <c r="R686" s="17"/>
      <c r="S686" s="17"/>
    </row>
    <row r="687" spans="1:19" s="22" customFormat="1" ht="54" customHeight="1">
      <c r="A687" s="34" t="s">
        <v>1129</v>
      </c>
      <c r="B687" s="19">
        <v>795</v>
      </c>
      <c r="C687" s="36" t="s">
        <v>161</v>
      </c>
      <c r="D687" s="36" t="s">
        <v>173</v>
      </c>
      <c r="E687" s="36" t="s">
        <v>261</v>
      </c>
      <c r="F687" s="36"/>
      <c r="G687" s="70">
        <f>G691+G700+G704+G707+G716+G719+G722+G725+G730+G733+G739+G737+G724+G736+G742+G692+G745+G711+G748+G708+G695</f>
        <v>10234846.609999999</v>
      </c>
      <c r="H687" s="70">
        <f>H691+H700+H704+H707+H716+H719+H722+H725+H730+H733+H739+H737+H724+H736+H742+H692+H745+H711+H748+H708+H695</f>
        <v>10018012.040000001</v>
      </c>
      <c r="I687" s="21">
        <v>300000</v>
      </c>
      <c r="O687" s="21"/>
      <c r="P687" s="21"/>
      <c r="Q687" s="21"/>
      <c r="R687" s="21"/>
      <c r="S687" s="21"/>
    </row>
    <row r="688" spans="1:19" s="3" customFormat="1" ht="38.25" hidden="1" customHeight="1">
      <c r="A688" s="16" t="s">
        <v>527</v>
      </c>
      <c r="B688" s="49">
        <v>795</v>
      </c>
      <c r="C688" s="15" t="s">
        <v>161</v>
      </c>
      <c r="D688" s="15" t="s">
        <v>173</v>
      </c>
      <c r="E688" s="15" t="s">
        <v>528</v>
      </c>
      <c r="F688" s="15"/>
      <c r="G688" s="69">
        <f>G690</f>
        <v>0</v>
      </c>
      <c r="H688" s="25">
        <v>0</v>
      </c>
      <c r="O688" s="108"/>
      <c r="P688" s="108"/>
      <c r="Q688" s="108"/>
      <c r="R688" s="108"/>
      <c r="S688" s="108"/>
    </row>
    <row r="689" spans="1:19" s="3" customFormat="1" ht="38.25" hidden="1" customHeight="1">
      <c r="A689" s="16"/>
      <c r="B689" s="49"/>
      <c r="C689" s="15"/>
      <c r="D689" s="15"/>
      <c r="E689" s="15"/>
      <c r="F689" s="15"/>
      <c r="G689" s="69"/>
      <c r="H689" s="114"/>
      <c r="O689" s="108"/>
      <c r="P689" s="108"/>
      <c r="Q689" s="108"/>
      <c r="R689" s="108"/>
      <c r="S689" s="108"/>
    </row>
    <row r="690" spans="1:19" s="3" customFormat="1" ht="38.25" hidden="1" customHeight="1">
      <c r="A690" s="16" t="s">
        <v>36</v>
      </c>
      <c r="B690" s="49">
        <v>795</v>
      </c>
      <c r="C690" s="15" t="s">
        <v>161</v>
      </c>
      <c r="D690" s="15" t="s">
        <v>173</v>
      </c>
      <c r="E690" s="15" t="s">
        <v>528</v>
      </c>
      <c r="F690" s="15" t="s">
        <v>37</v>
      </c>
      <c r="G690" s="69">
        <f>G691</f>
        <v>0</v>
      </c>
      <c r="H690" s="25">
        <v>0</v>
      </c>
      <c r="O690" s="108"/>
      <c r="P690" s="108"/>
      <c r="Q690" s="108"/>
      <c r="R690" s="108"/>
      <c r="S690" s="108"/>
    </row>
    <row r="691" spans="1:19" s="3" customFormat="1" ht="38.25" hidden="1" customHeight="1">
      <c r="A691" s="16" t="s">
        <v>38</v>
      </c>
      <c r="B691" s="49">
        <v>795</v>
      </c>
      <c r="C691" s="15" t="s">
        <v>161</v>
      </c>
      <c r="D691" s="15" t="s">
        <v>173</v>
      </c>
      <c r="E691" s="15" t="s">
        <v>528</v>
      </c>
      <c r="F691" s="15" t="s">
        <v>39</v>
      </c>
      <c r="G691" s="69">
        <f>'прил 5,'!G2093</f>
        <v>0</v>
      </c>
      <c r="H691" s="25">
        <v>0</v>
      </c>
      <c r="O691" s="108"/>
      <c r="P691" s="108"/>
      <c r="Q691" s="108"/>
      <c r="R691" s="108"/>
      <c r="S691" s="108"/>
    </row>
    <row r="692" spans="1:19" s="3" customFormat="1" ht="38.25" hidden="1" customHeight="1">
      <c r="A692" s="16" t="s">
        <v>753</v>
      </c>
      <c r="B692" s="49">
        <v>795</v>
      </c>
      <c r="C692" s="15" t="s">
        <v>161</v>
      </c>
      <c r="D692" s="15" t="s">
        <v>173</v>
      </c>
      <c r="E692" s="15" t="s">
        <v>752</v>
      </c>
      <c r="F692" s="15"/>
      <c r="G692" s="69">
        <f t="shared" ref="G692:H693" si="183">G693</f>
        <v>0</v>
      </c>
      <c r="H692" s="69">
        <f t="shared" si="183"/>
        <v>0</v>
      </c>
      <c r="O692" s="108"/>
      <c r="P692" s="108"/>
      <c r="Q692" s="108"/>
      <c r="R692" s="108"/>
      <c r="S692" s="108"/>
    </row>
    <row r="693" spans="1:19" s="3" customFormat="1" ht="38.25" hidden="1" customHeight="1">
      <c r="A693" s="16" t="s">
        <v>36</v>
      </c>
      <c r="B693" s="49">
        <v>795</v>
      </c>
      <c r="C693" s="15" t="s">
        <v>161</v>
      </c>
      <c r="D693" s="15" t="s">
        <v>173</v>
      </c>
      <c r="E693" s="15" t="s">
        <v>752</v>
      </c>
      <c r="F693" s="15" t="s">
        <v>37</v>
      </c>
      <c r="G693" s="69">
        <f t="shared" si="183"/>
        <v>0</v>
      </c>
      <c r="H693" s="69">
        <f t="shared" si="183"/>
        <v>0</v>
      </c>
      <c r="O693" s="108"/>
      <c r="P693" s="108"/>
      <c r="Q693" s="108"/>
      <c r="R693" s="108"/>
      <c r="S693" s="108"/>
    </row>
    <row r="694" spans="1:19" s="3" customFormat="1" ht="38.25" hidden="1" customHeight="1">
      <c r="A694" s="16" t="s">
        <v>38</v>
      </c>
      <c r="B694" s="49">
        <v>795</v>
      </c>
      <c r="C694" s="15" t="s">
        <v>161</v>
      </c>
      <c r="D694" s="15" t="s">
        <v>173</v>
      </c>
      <c r="E694" s="15" t="s">
        <v>752</v>
      </c>
      <c r="F694" s="15" t="s">
        <v>39</v>
      </c>
      <c r="G694" s="69">
        <f>'прил 5,'!G2096</f>
        <v>0</v>
      </c>
      <c r="H694" s="69"/>
      <c r="O694" s="108"/>
      <c r="P694" s="108"/>
      <c r="Q694" s="108"/>
      <c r="R694" s="108"/>
      <c r="S694" s="108"/>
    </row>
    <row r="695" spans="1:19" s="3" customFormat="1" ht="46.5" customHeight="1">
      <c r="A695" s="81" t="s">
        <v>1058</v>
      </c>
      <c r="B695" s="82">
        <v>793</v>
      </c>
      <c r="C695" s="83" t="s">
        <v>161</v>
      </c>
      <c r="D695" s="83" t="s">
        <v>173</v>
      </c>
      <c r="E695" s="83" t="s">
        <v>1057</v>
      </c>
      <c r="F695" s="83"/>
      <c r="G695" s="86">
        <f t="shared" ref="G695:H696" si="184">G696</f>
        <v>8146165.9500000002</v>
      </c>
      <c r="H695" s="86">
        <f t="shared" si="184"/>
        <v>8007663.7800000003</v>
      </c>
      <c r="I695" s="171"/>
      <c r="J695" s="190"/>
      <c r="K695" s="190"/>
      <c r="L695" s="190"/>
      <c r="M695" s="190"/>
      <c r="N695" s="190"/>
      <c r="O695" s="190"/>
      <c r="P695" s="190"/>
      <c r="Q695" s="190"/>
    </row>
    <row r="696" spans="1:19" s="3" customFormat="1" ht="38.25" customHeight="1">
      <c r="A696" s="81" t="s">
        <v>36</v>
      </c>
      <c r="B696" s="82">
        <v>793</v>
      </c>
      <c r="C696" s="83" t="s">
        <v>161</v>
      </c>
      <c r="D696" s="83" t="s">
        <v>173</v>
      </c>
      <c r="E696" s="83" t="s">
        <v>1057</v>
      </c>
      <c r="F696" s="83" t="s">
        <v>37</v>
      </c>
      <c r="G696" s="86">
        <f t="shared" si="184"/>
        <v>8146165.9500000002</v>
      </c>
      <c r="H696" s="86">
        <f t="shared" si="184"/>
        <v>8007663.7800000003</v>
      </c>
      <c r="I696" s="171"/>
      <c r="J696" s="190"/>
      <c r="K696" s="190"/>
      <c r="L696" s="190"/>
      <c r="M696" s="190"/>
      <c r="N696" s="190"/>
      <c r="O696" s="190"/>
      <c r="P696" s="190"/>
      <c r="Q696" s="190"/>
    </row>
    <row r="697" spans="1:19" s="3" customFormat="1" ht="38.25" customHeight="1">
      <c r="A697" s="81" t="s">
        <v>38</v>
      </c>
      <c r="B697" s="82">
        <v>793</v>
      </c>
      <c r="C697" s="83" t="s">
        <v>161</v>
      </c>
      <c r="D697" s="83" t="s">
        <v>173</v>
      </c>
      <c r="E697" s="83" t="s">
        <v>1057</v>
      </c>
      <c r="F697" s="83" t="s">
        <v>39</v>
      </c>
      <c r="G697" s="86">
        <f>'прил 5,'!G1651</f>
        <v>8146165.9500000002</v>
      </c>
      <c r="H697" s="86">
        <f>'прил 5,'!H1651</f>
        <v>8007663.7800000003</v>
      </c>
      <c r="I697" s="171"/>
      <c r="J697" s="190"/>
      <c r="K697" s="190"/>
      <c r="L697" s="190"/>
      <c r="M697" s="190"/>
      <c r="N697" s="190"/>
      <c r="O697" s="190"/>
      <c r="P697" s="190"/>
      <c r="Q697" s="190"/>
    </row>
    <row r="698" spans="1:19" s="3" customFormat="1" ht="24.75" customHeight="1">
      <c r="A698" s="16" t="s">
        <v>128</v>
      </c>
      <c r="B698" s="49">
        <v>795</v>
      </c>
      <c r="C698" s="15" t="s">
        <v>161</v>
      </c>
      <c r="D698" s="15" t="s">
        <v>173</v>
      </c>
      <c r="E698" s="15" t="s">
        <v>285</v>
      </c>
      <c r="F698" s="15"/>
      <c r="G698" s="69">
        <f>G700</f>
        <v>50000</v>
      </c>
      <c r="H698" s="86">
        <f>H700</f>
        <v>0</v>
      </c>
      <c r="I698" s="108">
        <v>700000</v>
      </c>
      <c r="O698" s="108"/>
      <c r="P698" s="108"/>
      <c r="Q698" s="108"/>
      <c r="R698" s="108"/>
      <c r="S698" s="108"/>
    </row>
    <row r="699" spans="1:19" s="3" customFormat="1" ht="28.5" customHeight="1">
      <c r="A699" s="16" t="s">
        <v>36</v>
      </c>
      <c r="B699" s="49">
        <v>795</v>
      </c>
      <c r="C699" s="15" t="s">
        <v>161</v>
      </c>
      <c r="D699" s="15" t="s">
        <v>173</v>
      </c>
      <c r="E699" s="15" t="s">
        <v>285</v>
      </c>
      <c r="F699" s="15" t="s">
        <v>37</v>
      </c>
      <c r="G699" s="69">
        <f>G700</f>
        <v>50000</v>
      </c>
      <c r="H699" s="86">
        <f>H700</f>
        <v>0</v>
      </c>
      <c r="I699" s="108">
        <v>30000</v>
      </c>
      <c r="O699" s="108"/>
      <c r="P699" s="108"/>
      <c r="Q699" s="108"/>
      <c r="R699" s="108"/>
      <c r="S699" s="108"/>
    </row>
    <row r="700" spans="1:19" s="3" customFormat="1" ht="29.25" customHeight="1">
      <c r="A700" s="16" t="s">
        <v>38</v>
      </c>
      <c r="B700" s="49">
        <v>795</v>
      </c>
      <c r="C700" s="15" t="s">
        <v>161</v>
      </c>
      <c r="D700" s="15" t="s">
        <v>173</v>
      </c>
      <c r="E700" s="15" t="s">
        <v>285</v>
      </c>
      <c r="F700" s="15" t="s">
        <v>39</v>
      </c>
      <c r="G700" s="69">
        <f>'прил 5,'!G1663</f>
        <v>50000</v>
      </c>
      <c r="H700" s="69">
        <f>'прил 5,'!H1663</f>
        <v>0</v>
      </c>
      <c r="I700" s="108">
        <f>SUM(I687:I699)</f>
        <v>1030000</v>
      </c>
      <c r="O700" s="108"/>
      <c r="P700" s="108"/>
      <c r="Q700" s="108"/>
      <c r="R700" s="108"/>
      <c r="S700" s="108"/>
    </row>
    <row r="701" spans="1:19" s="3" customFormat="1" ht="38.25" customHeight="1">
      <c r="A701" s="16" t="s">
        <v>483</v>
      </c>
      <c r="B701" s="49">
        <v>795</v>
      </c>
      <c r="C701" s="15" t="s">
        <v>161</v>
      </c>
      <c r="D701" s="15" t="s">
        <v>173</v>
      </c>
      <c r="E701" s="15" t="s">
        <v>375</v>
      </c>
      <c r="F701" s="15"/>
      <c r="G701" s="69">
        <f>G703</f>
        <v>426048.26</v>
      </c>
      <c r="H701" s="86">
        <f>H703</f>
        <v>426048.26</v>
      </c>
      <c r="I701" s="108"/>
      <c r="O701" s="108"/>
      <c r="P701" s="108"/>
      <c r="Q701" s="108"/>
      <c r="R701" s="108"/>
      <c r="S701" s="108"/>
    </row>
    <row r="702" spans="1:19" s="3" customFormat="1" ht="38.25" hidden="1" customHeight="1">
      <c r="A702" s="16"/>
      <c r="B702" s="49"/>
      <c r="C702" s="15"/>
      <c r="D702" s="15"/>
      <c r="E702" s="15"/>
      <c r="F702" s="15"/>
      <c r="G702" s="69"/>
      <c r="H702" s="86"/>
      <c r="I702" s="108"/>
      <c r="O702" s="108"/>
      <c r="P702" s="108"/>
      <c r="Q702" s="108"/>
      <c r="R702" s="108"/>
      <c r="S702" s="108"/>
    </row>
    <row r="703" spans="1:19" s="3" customFormat="1" ht="38.25" customHeight="1">
      <c r="A703" s="16" t="s">
        <v>36</v>
      </c>
      <c r="B703" s="49">
        <v>795</v>
      </c>
      <c r="C703" s="15" t="s">
        <v>161</v>
      </c>
      <c r="D703" s="15" t="s">
        <v>173</v>
      </c>
      <c r="E703" s="15" t="s">
        <v>375</v>
      </c>
      <c r="F703" s="15" t="s">
        <v>37</v>
      </c>
      <c r="G703" s="69">
        <f>G704</f>
        <v>426048.26</v>
      </c>
      <c r="H703" s="86">
        <f>H704</f>
        <v>426048.26</v>
      </c>
      <c r="I703" s="108"/>
      <c r="O703" s="108"/>
      <c r="P703" s="108"/>
      <c r="Q703" s="108"/>
      <c r="R703" s="108"/>
      <c r="S703" s="108"/>
    </row>
    <row r="704" spans="1:19" s="3" customFormat="1" ht="38.25" customHeight="1">
      <c r="A704" s="16" t="s">
        <v>38</v>
      </c>
      <c r="B704" s="49">
        <v>795</v>
      </c>
      <c r="C704" s="15" t="s">
        <v>161</v>
      </c>
      <c r="D704" s="15" t="s">
        <v>173</v>
      </c>
      <c r="E704" s="15" t="s">
        <v>375</v>
      </c>
      <c r="F704" s="15" t="s">
        <v>39</v>
      </c>
      <c r="G704" s="69">
        <f>'прил 5,'!G1654</f>
        <v>426048.26</v>
      </c>
      <c r="H704" s="69">
        <f>'прил 5,'!H1654</f>
        <v>426048.26</v>
      </c>
      <c r="I704" s="108"/>
      <c r="O704" s="108"/>
      <c r="P704" s="108"/>
      <c r="Q704" s="108"/>
      <c r="R704" s="108"/>
      <c r="S704" s="108"/>
    </row>
    <row r="705" spans="1:19" s="3" customFormat="1" ht="38.25" customHeight="1">
      <c r="A705" s="16" t="s">
        <v>378</v>
      </c>
      <c r="B705" s="49">
        <v>795</v>
      </c>
      <c r="C705" s="15" t="s">
        <v>161</v>
      </c>
      <c r="D705" s="15" t="s">
        <v>173</v>
      </c>
      <c r="E705" s="15" t="s">
        <v>376</v>
      </c>
      <c r="F705" s="15"/>
      <c r="G705" s="69">
        <f t="shared" ref="G705:H706" si="185">G706</f>
        <v>84300</v>
      </c>
      <c r="H705" s="86">
        <f t="shared" si="185"/>
        <v>84300</v>
      </c>
      <c r="I705" s="108"/>
      <c r="O705" s="108"/>
      <c r="P705" s="108"/>
      <c r="Q705" s="108"/>
      <c r="R705" s="108"/>
      <c r="S705" s="108"/>
    </row>
    <row r="706" spans="1:19" s="3" customFormat="1" ht="38.25" customHeight="1">
      <c r="A706" s="16" t="s">
        <v>36</v>
      </c>
      <c r="B706" s="49">
        <v>795</v>
      </c>
      <c r="C706" s="15" t="s">
        <v>161</v>
      </c>
      <c r="D706" s="15" t="s">
        <v>173</v>
      </c>
      <c r="E706" s="15" t="s">
        <v>376</v>
      </c>
      <c r="F706" s="15" t="s">
        <v>37</v>
      </c>
      <c r="G706" s="69">
        <f t="shared" si="185"/>
        <v>84300</v>
      </c>
      <c r="H706" s="86">
        <f t="shared" si="185"/>
        <v>84300</v>
      </c>
      <c r="I706" s="108"/>
      <c r="O706" s="108"/>
      <c r="P706" s="108"/>
      <c r="Q706" s="108"/>
      <c r="R706" s="108"/>
      <c r="S706" s="108"/>
    </row>
    <row r="707" spans="1:19" s="3" customFormat="1" ht="38.25" customHeight="1">
      <c r="A707" s="16" t="s">
        <v>38</v>
      </c>
      <c r="B707" s="49">
        <v>795</v>
      </c>
      <c r="C707" s="15" t="s">
        <v>161</v>
      </c>
      <c r="D707" s="15" t="s">
        <v>173</v>
      </c>
      <c r="E707" s="15" t="s">
        <v>376</v>
      </c>
      <c r="F707" s="15" t="s">
        <v>39</v>
      </c>
      <c r="G707" s="69">
        <f>'прил 5,'!G1657</f>
        <v>84300</v>
      </c>
      <c r="H707" s="69">
        <f>'прил 5,'!H1657</f>
        <v>84300</v>
      </c>
      <c r="I707" s="108"/>
      <c r="O707" s="108"/>
      <c r="P707" s="108"/>
      <c r="Q707" s="108"/>
      <c r="R707" s="108"/>
      <c r="S707" s="108"/>
    </row>
    <row r="708" spans="1:19" s="3" customFormat="1" ht="38.25" customHeight="1">
      <c r="A708" s="16" t="s">
        <v>1043</v>
      </c>
      <c r="B708" s="49">
        <v>793</v>
      </c>
      <c r="C708" s="15" t="s">
        <v>161</v>
      </c>
      <c r="D708" s="15" t="s">
        <v>173</v>
      </c>
      <c r="E708" s="15" t="s">
        <v>1042</v>
      </c>
      <c r="F708" s="15"/>
      <c r="G708" s="69">
        <f t="shared" ref="G708:H709" si="186">G709</f>
        <v>1000000</v>
      </c>
      <c r="H708" s="69">
        <f t="shared" si="186"/>
        <v>1000000</v>
      </c>
      <c r="I708" s="171"/>
      <c r="J708" s="190"/>
      <c r="K708" s="190"/>
      <c r="L708" s="190"/>
      <c r="M708" s="190"/>
      <c r="N708" s="190"/>
      <c r="O708" s="190"/>
      <c r="P708" s="190"/>
      <c r="Q708" s="190"/>
    </row>
    <row r="709" spans="1:19" s="3" customFormat="1" ht="38.25" customHeight="1">
      <c r="A709" s="16" t="s">
        <v>36</v>
      </c>
      <c r="B709" s="49">
        <v>793</v>
      </c>
      <c r="C709" s="15" t="s">
        <v>161</v>
      </c>
      <c r="D709" s="15" t="s">
        <v>173</v>
      </c>
      <c r="E709" s="15" t="s">
        <v>1042</v>
      </c>
      <c r="F709" s="15" t="s">
        <v>37</v>
      </c>
      <c r="G709" s="69">
        <f t="shared" si="186"/>
        <v>1000000</v>
      </c>
      <c r="H709" s="69">
        <f t="shared" si="186"/>
        <v>1000000</v>
      </c>
      <c r="I709" s="171"/>
      <c r="J709" s="190"/>
      <c r="K709" s="190"/>
      <c r="L709" s="190"/>
      <c r="M709" s="190"/>
      <c r="N709" s="190"/>
      <c r="O709" s="190"/>
      <c r="P709" s="190"/>
      <c r="Q709" s="190"/>
    </row>
    <row r="710" spans="1:19" s="3" customFormat="1" ht="39.75" customHeight="1">
      <c r="A710" s="16" t="s">
        <v>38</v>
      </c>
      <c r="B710" s="49">
        <v>793</v>
      </c>
      <c r="C710" s="15" t="s">
        <v>161</v>
      </c>
      <c r="D710" s="15" t="s">
        <v>173</v>
      </c>
      <c r="E710" s="15" t="s">
        <v>1042</v>
      </c>
      <c r="F710" s="15" t="s">
        <v>39</v>
      </c>
      <c r="G710" s="69">
        <f>'прил 5,'!G1660</f>
        <v>1000000</v>
      </c>
      <c r="H710" s="69">
        <f>'прил 5,'!H1660</f>
        <v>1000000</v>
      </c>
      <c r="I710" s="171"/>
      <c r="J710" s="190"/>
      <c r="K710" s="190"/>
      <c r="L710" s="190"/>
      <c r="M710" s="190"/>
      <c r="N710" s="190"/>
      <c r="O710" s="190"/>
      <c r="P710" s="190"/>
      <c r="Q710" s="190"/>
    </row>
    <row r="711" spans="1:19" s="3" customFormat="1" ht="129.75" hidden="1" customHeight="1">
      <c r="A711" s="16" t="s">
        <v>1002</v>
      </c>
      <c r="B711" s="49">
        <v>793</v>
      </c>
      <c r="C711" s="15" t="s">
        <v>161</v>
      </c>
      <c r="D711" s="15" t="s">
        <v>173</v>
      </c>
      <c r="E711" s="15" t="s">
        <v>1001</v>
      </c>
      <c r="F711" s="15"/>
      <c r="G711" s="69">
        <f>G712</f>
        <v>0</v>
      </c>
      <c r="H711" s="69">
        <f t="shared" ref="H711:H712" si="187">H712</f>
        <v>0</v>
      </c>
      <c r="I711" s="172"/>
      <c r="J711" s="190"/>
      <c r="K711" s="190"/>
      <c r="L711" s="190"/>
      <c r="M711" s="190"/>
      <c r="N711" s="190"/>
      <c r="O711" s="190"/>
      <c r="P711" s="190"/>
      <c r="Q711" s="190"/>
    </row>
    <row r="712" spans="1:19" s="3" customFormat="1" ht="38.25" hidden="1" customHeight="1">
      <c r="A712" s="16" t="s">
        <v>36</v>
      </c>
      <c r="B712" s="49">
        <v>793</v>
      </c>
      <c r="C712" s="15" t="s">
        <v>161</v>
      </c>
      <c r="D712" s="15" t="s">
        <v>173</v>
      </c>
      <c r="E712" s="15" t="s">
        <v>1001</v>
      </c>
      <c r="F712" s="15" t="s">
        <v>157</v>
      </c>
      <c r="G712" s="69">
        <f>G713</f>
        <v>0</v>
      </c>
      <c r="H712" s="69">
        <f t="shared" si="187"/>
        <v>0</v>
      </c>
      <c r="I712" s="172"/>
      <c r="J712" s="190"/>
      <c r="K712" s="190"/>
      <c r="L712" s="190"/>
      <c r="M712" s="190"/>
      <c r="N712" s="190"/>
      <c r="O712" s="190"/>
      <c r="P712" s="190"/>
      <c r="Q712" s="190"/>
    </row>
    <row r="713" spans="1:19" s="3" customFormat="1" ht="38.25" hidden="1" customHeight="1">
      <c r="A713" s="16" t="s">
        <v>38</v>
      </c>
      <c r="B713" s="49">
        <v>793</v>
      </c>
      <c r="C713" s="15" t="s">
        <v>161</v>
      </c>
      <c r="D713" s="15" t="s">
        <v>173</v>
      </c>
      <c r="E713" s="15" t="s">
        <v>1001</v>
      </c>
      <c r="F713" s="15" t="s">
        <v>179</v>
      </c>
      <c r="G713" s="69"/>
      <c r="H713" s="69"/>
      <c r="I713" s="171"/>
      <c r="J713" s="190"/>
      <c r="K713" s="190"/>
      <c r="L713" s="190"/>
      <c r="M713" s="190"/>
      <c r="N713" s="190"/>
      <c r="O713" s="190"/>
      <c r="P713" s="190"/>
      <c r="Q713" s="190"/>
    </row>
    <row r="714" spans="1:19" s="3" customFormat="1" ht="38.25" customHeight="1">
      <c r="A714" s="16" t="s">
        <v>527</v>
      </c>
      <c r="B714" s="49">
        <v>795</v>
      </c>
      <c r="C714" s="15" t="s">
        <v>161</v>
      </c>
      <c r="D714" s="15" t="s">
        <v>173</v>
      </c>
      <c r="E714" s="15" t="s">
        <v>528</v>
      </c>
      <c r="F714" s="15"/>
      <c r="G714" s="69">
        <f>G715</f>
        <v>528332.4</v>
      </c>
      <c r="H714" s="69">
        <f t="shared" ref="H714:H715" si="188">H715</f>
        <v>500000</v>
      </c>
      <c r="I714" s="108"/>
      <c r="O714" s="108"/>
      <c r="P714" s="108"/>
      <c r="Q714" s="108"/>
      <c r="R714" s="108"/>
      <c r="S714" s="108"/>
    </row>
    <row r="715" spans="1:19" s="3" customFormat="1" ht="38.25" customHeight="1">
      <c r="A715" s="16" t="s">
        <v>36</v>
      </c>
      <c r="B715" s="49">
        <v>795</v>
      </c>
      <c r="C715" s="15" t="s">
        <v>161</v>
      </c>
      <c r="D715" s="15" t="s">
        <v>173</v>
      </c>
      <c r="E715" s="15" t="s">
        <v>528</v>
      </c>
      <c r="F715" s="15" t="s">
        <v>37</v>
      </c>
      <c r="G715" s="69">
        <f>G716</f>
        <v>528332.4</v>
      </c>
      <c r="H715" s="69">
        <f t="shared" si="188"/>
        <v>500000</v>
      </c>
      <c r="I715" s="108"/>
      <c r="O715" s="108"/>
      <c r="P715" s="108"/>
      <c r="Q715" s="108"/>
      <c r="R715" s="108"/>
      <c r="S715" s="108"/>
    </row>
    <row r="716" spans="1:19" s="3" customFormat="1" ht="38.25" customHeight="1">
      <c r="A716" s="16" t="s">
        <v>38</v>
      </c>
      <c r="B716" s="49">
        <v>795</v>
      </c>
      <c r="C716" s="15" t="s">
        <v>161</v>
      </c>
      <c r="D716" s="15" t="s">
        <v>173</v>
      </c>
      <c r="E716" s="15" t="s">
        <v>528</v>
      </c>
      <c r="F716" s="15" t="s">
        <v>39</v>
      </c>
      <c r="G716" s="69">
        <f>'прил 5,'!G1648+'прил 5,'!G2247</f>
        <v>528332.4</v>
      </c>
      <c r="H716" s="69">
        <f>'прил 5,'!H1648</f>
        <v>500000</v>
      </c>
      <c r="I716" s="108"/>
      <c r="O716" s="108"/>
      <c r="P716" s="108"/>
      <c r="Q716" s="108"/>
      <c r="R716" s="108"/>
      <c r="S716" s="108"/>
    </row>
    <row r="717" spans="1:19" s="3" customFormat="1" ht="38.25" hidden="1" customHeight="1">
      <c r="A717" s="16" t="s">
        <v>456</v>
      </c>
      <c r="B717" s="49">
        <v>795</v>
      </c>
      <c r="C717" s="15" t="s">
        <v>161</v>
      </c>
      <c r="D717" s="15" t="s">
        <v>173</v>
      </c>
      <c r="E717" s="15" t="s">
        <v>457</v>
      </c>
      <c r="F717" s="15"/>
      <c r="G717" s="69">
        <f>G718</f>
        <v>0</v>
      </c>
      <c r="H717" s="69">
        <f t="shared" ref="H717:H718" si="189">H718</f>
        <v>0</v>
      </c>
      <c r="I717" s="108"/>
      <c r="O717" s="108"/>
      <c r="P717" s="108"/>
      <c r="Q717" s="108"/>
      <c r="R717" s="108"/>
      <c r="S717" s="108"/>
    </row>
    <row r="718" spans="1:19" s="3" customFormat="1" ht="38.25" hidden="1" customHeight="1">
      <c r="A718" s="16" t="s">
        <v>36</v>
      </c>
      <c r="B718" s="49">
        <v>795</v>
      </c>
      <c r="C718" s="15" t="s">
        <v>161</v>
      </c>
      <c r="D718" s="15" t="s">
        <v>173</v>
      </c>
      <c r="E718" s="15" t="s">
        <v>457</v>
      </c>
      <c r="F718" s="15" t="s">
        <v>37</v>
      </c>
      <c r="G718" s="69">
        <f>G719</f>
        <v>0</v>
      </c>
      <c r="H718" s="69">
        <f t="shared" si="189"/>
        <v>0</v>
      </c>
      <c r="I718" s="108"/>
      <c r="O718" s="108"/>
      <c r="P718" s="108"/>
      <c r="Q718" s="108"/>
      <c r="R718" s="108"/>
      <c r="S718" s="108"/>
    </row>
    <row r="719" spans="1:19" s="3" customFormat="1" ht="38.25" hidden="1" customHeight="1">
      <c r="A719" s="16" t="s">
        <v>38</v>
      </c>
      <c r="B719" s="49">
        <v>795</v>
      </c>
      <c r="C719" s="15" t="s">
        <v>161</v>
      </c>
      <c r="D719" s="15" t="s">
        <v>173</v>
      </c>
      <c r="E719" s="15" t="s">
        <v>457</v>
      </c>
      <c r="F719" s="15" t="s">
        <v>39</v>
      </c>
      <c r="G719" s="69">
        <f>'прил 5,'!G2118</f>
        <v>0</v>
      </c>
      <c r="H719" s="69">
        <f>'прил 5,'!H2123</f>
        <v>0</v>
      </c>
      <c r="I719" s="108"/>
      <c r="O719" s="108"/>
      <c r="P719" s="108"/>
      <c r="Q719" s="108"/>
      <c r="R719" s="108"/>
      <c r="S719" s="108"/>
    </row>
    <row r="720" spans="1:19" s="3" customFormat="1" ht="38.25" hidden="1" customHeight="1">
      <c r="A720" s="16" t="s">
        <v>527</v>
      </c>
      <c r="B720" s="49">
        <v>795</v>
      </c>
      <c r="C720" s="15" t="s">
        <v>161</v>
      </c>
      <c r="D720" s="15" t="s">
        <v>173</v>
      </c>
      <c r="E720" s="15" t="s">
        <v>556</v>
      </c>
      <c r="F720" s="15"/>
      <c r="G720" s="69">
        <f>G721+G723</f>
        <v>0</v>
      </c>
      <c r="H720" s="69">
        <f t="shared" ref="H720:H721" si="190">H721</f>
        <v>0</v>
      </c>
      <c r="O720" s="108"/>
      <c r="P720" s="108"/>
      <c r="Q720" s="108"/>
      <c r="R720" s="108"/>
      <c r="S720" s="108"/>
    </row>
    <row r="721" spans="1:19" s="3" customFormat="1" ht="38.25" hidden="1" customHeight="1">
      <c r="A721" s="16" t="s">
        <v>36</v>
      </c>
      <c r="B721" s="49">
        <v>795</v>
      </c>
      <c r="C721" s="15" t="s">
        <v>161</v>
      </c>
      <c r="D721" s="15" t="s">
        <v>173</v>
      </c>
      <c r="E721" s="15" t="s">
        <v>556</v>
      </c>
      <c r="F721" s="15" t="s">
        <v>37</v>
      </c>
      <c r="G721" s="69">
        <f>G722</f>
        <v>0</v>
      </c>
      <c r="H721" s="69">
        <f t="shared" si="190"/>
        <v>0</v>
      </c>
      <c r="O721" s="108"/>
      <c r="P721" s="108"/>
      <c r="Q721" s="108"/>
      <c r="R721" s="108"/>
      <c r="S721" s="108"/>
    </row>
    <row r="722" spans="1:19" s="3" customFormat="1" ht="38.25" hidden="1" customHeight="1">
      <c r="A722" s="16" t="s">
        <v>38</v>
      </c>
      <c r="B722" s="49">
        <v>795</v>
      </c>
      <c r="C722" s="15" t="s">
        <v>161</v>
      </c>
      <c r="D722" s="15" t="s">
        <v>173</v>
      </c>
      <c r="E722" s="15" t="s">
        <v>556</v>
      </c>
      <c r="F722" s="15" t="s">
        <v>39</v>
      </c>
      <c r="G722" s="69">
        <f>'прил 5,'!G2111</f>
        <v>0</v>
      </c>
      <c r="H722" s="69">
        <v>0</v>
      </c>
      <c r="O722" s="108"/>
      <c r="P722" s="108"/>
      <c r="Q722" s="108"/>
      <c r="R722" s="108"/>
      <c r="S722" s="108"/>
    </row>
    <row r="723" spans="1:19" s="3" customFormat="1" ht="24.75" hidden="1" customHeight="1">
      <c r="A723" s="16" t="s">
        <v>156</v>
      </c>
      <c r="B723" s="49">
        <v>795</v>
      </c>
      <c r="C723" s="15" t="s">
        <v>161</v>
      </c>
      <c r="D723" s="15" t="s">
        <v>173</v>
      </c>
      <c r="E723" s="15" t="s">
        <v>556</v>
      </c>
      <c r="F723" s="15" t="s">
        <v>157</v>
      </c>
      <c r="G723" s="69">
        <f>G724</f>
        <v>0</v>
      </c>
      <c r="H723" s="69">
        <v>0</v>
      </c>
      <c r="O723" s="108"/>
      <c r="P723" s="108"/>
      <c r="Q723" s="108"/>
      <c r="R723" s="108"/>
      <c r="S723" s="108"/>
    </row>
    <row r="724" spans="1:19" s="3" customFormat="1" ht="21.75" hidden="1" customHeight="1">
      <c r="A724" s="16" t="s">
        <v>170</v>
      </c>
      <c r="B724" s="49">
        <v>795</v>
      </c>
      <c r="C724" s="15" t="s">
        <v>161</v>
      </c>
      <c r="D724" s="15" t="s">
        <v>173</v>
      </c>
      <c r="E724" s="15" t="s">
        <v>556</v>
      </c>
      <c r="F724" s="15" t="s">
        <v>171</v>
      </c>
      <c r="G724" s="69">
        <f>'прил 5,'!G2113</f>
        <v>0</v>
      </c>
      <c r="H724" s="69">
        <v>0</v>
      </c>
      <c r="O724" s="108"/>
      <c r="P724" s="108"/>
      <c r="Q724" s="108"/>
      <c r="R724" s="108"/>
      <c r="S724" s="108"/>
    </row>
    <row r="725" spans="1:19" s="3" customFormat="1" ht="38.25" hidden="1" customHeight="1">
      <c r="A725" s="16" t="s">
        <v>558</v>
      </c>
      <c r="B725" s="49">
        <v>795</v>
      </c>
      <c r="C725" s="15" t="s">
        <v>161</v>
      </c>
      <c r="D725" s="15" t="s">
        <v>173</v>
      </c>
      <c r="E725" s="15" t="s">
        <v>557</v>
      </c>
      <c r="F725" s="15"/>
      <c r="G725" s="69">
        <f>G726</f>
        <v>0</v>
      </c>
      <c r="H725" s="69">
        <f t="shared" ref="H725:H726" si="191">H726</f>
        <v>0</v>
      </c>
      <c r="O725" s="108"/>
      <c r="P725" s="108"/>
      <c r="Q725" s="108"/>
      <c r="R725" s="108"/>
      <c r="S725" s="108"/>
    </row>
    <row r="726" spans="1:19" s="3" customFormat="1" ht="38.25" hidden="1" customHeight="1">
      <c r="A726" s="16" t="s">
        <v>36</v>
      </c>
      <c r="B726" s="49">
        <v>795</v>
      </c>
      <c r="C726" s="15" t="s">
        <v>161</v>
      </c>
      <c r="D726" s="15" t="s">
        <v>173</v>
      </c>
      <c r="E726" s="15" t="s">
        <v>557</v>
      </c>
      <c r="F726" s="15" t="s">
        <v>37</v>
      </c>
      <c r="G726" s="69">
        <f>G727</f>
        <v>0</v>
      </c>
      <c r="H726" s="69">
        <f t="shared" si="191"/>
        <v>0</v>
      </c>
      <c r="O726" s="108"/>
      <c r="P726" s="108"/>
      <c r="Q726" s="108"/>
      <c r="R726" s="108"/>
      <c r="S726" s="108"/>
    </row>
    <row r="727" spans="1:19" s="3" customFormat="1" ht="38.25" hidden="1" customHeight="1">
      <c r="A727" s="16" t="s">
        <v>38</v>
      </c>
      <c r="B727" s="49">
        <v>795</v>
      </c>
      <c r="C727" s="15" t="s">
        <v>161</v>
      </c>
      <c r="D727" s="15" t="s">
        <v>173</v>
      </c>
      <c r="E727" s="15" t="s">
        <v>557</v>
      </c>
      <c r="F727" s="15" t="s">
        <v>39</v>
      </c>
      <c r="G727" s="69">
        <f>'прил 5,'!G2116</f>
        <v>0</v>
      </c>
      <c r="H727" s="69">
        <v>0</v>
      </c>
      <c r="O727" s="108"/>
      <c r="P727" s="108"/>
      <c r="Q727" s="108"/>
      <c r="R727" s="108"/>
      <c r="S727" s="108"/>
    </row>
    <row r="728" spans="1:19" s="3" customFormat="1" ht="38.25" hidden="1" customHeight="1">
      <c r="A728" s="16" t="s">
        <v>555</v>
      </c>
      <c r="B728" s="49">
        <v>795</v>
      </c>
      <c r="C728" s="15" t="s">
        <v>161</v>
      </c>
      <c r="D728" s="15" t="s">
        <v>173</v>
      </c>
      <c r="E728" s="15" t="s">
        <v>554</v>
      </c>
      <c r="F728" s="15"/>
      <c r="G728" s="69">
        <f>G729</f>
        <v>0</v>
      </c>
      <c r="H728" s="69">
        <f t="shared" ref="H728:H729" si="192">H729</f>
        <v>0</v>
      </c>
      <c r="O728" s="108"/>
      <c r="P728" s="108"/>
      <c r="Q728" s="108"/>
      <c r="R728" s="108"/>
      <c r="S728" s="108"/>
    </row>
    <row r="729" spans="1:19" s="3" customFormat="1" ht="38.25" hidden="1" customHeight="1">
      <c r="A729" s="16" t="s">
        <v>36</v>
      </c>
      <c r="B729" s="49">
        <v>795</v>
      </c>
      <c r="C729" s="15" t="s">
        <v>161</v>
      </c>
      <c r="D729" s="15" t="s">
        <v>173</v>
      </c>
      <c r="E729" s="15" t="s">
        <v>554</v>
      </c>
      <c r="F729" s="15" t="s">
        <v>37</v>
      </c>
      <c r="G729" s="69">
        <f>G730</f>
        <v>0</v>
      </c>
      <c r="H729" s="69">
        <f t="shared" si="192"/>
        <v>0</v>
      </c>
      <c r="O729" s="108"/>
      <c r="P729" s="108"/>
      <c r="Q729" s="108"/>
      <c r="R729" s="108"/>
      <c r="S729" s="108"/>
    </row>
    <row r="730" spans="1:19" s="3" customFormat="1" ht="38.25" hidden="1" customHeight="1">
      <c r="A730" s="16" t="s">
        <v>38</v>
      </c>
      <c r="B730" s="49">
        <v>795</v>
      </c>
      <c r="C730" s="15" t="s">
        <v>161</v>
      </c>
      <c r="D730" s="15" t="s">
        <v>173</v>
      </c>
      <c r="E730" s="15" t="s">
        <v>554</v>
      </c>
      <c r="F730" s="15" t="s">
        <v>39</v>
      </c>
      <c r="G730" s="69">
        <f>'прил 5,'!G2122</f>
        <v>0</v>
      </c>
      <c r="H730" s="69">
        <v>0</v>
      </c>
      <c r="O730" s="108"/>
      <c r="P730" s="108"/>
      <c r="Q730" s="108"/>
      <c r="R730" s="108"/>
      <c r="S730" s="108"/>
    </row>
    <row r="731" spans="1:19" s="3" customFormat="1" ht="38.25" hidden="1" customHeight="1">
      <c r="A731" s="16" t="s">
        <v>553</v>
      </c>
      <c r="B731" s="49">
        <v>795</v>
      </c>
      <c r="C731" s="15" t="s">
        <v>161</v>
      </c>
      <c r="D731" s="15" t="s">
        <v>173</v>
      </c>
      <c r="E731" s="15" t="s">
        <v>552</v>
      </c>
      <c r="F731" s="15"/>
      <c r="G731" s="69">
        <f>G732</f>
        <v>0</v>
      </c>
      <c r="H731" s="69">
        <f t="shared" ref="H731:H732" si="193">H732</f>
        <v>0</v>
      </c>
      <c r="O731" s="108"/>
      <c r="P731" s="108"/>
      <c r="Q731" s="108"/>
      <c r="R731" s="108"/>
      <c r="S731" s="108"/>
    </row>
    <row r="732" spans="1:19" s="3" customFormat="1" ht="38.25" hidden="1" customHeight="1">
      <c r="A732" s="16" t="s">
        <v>36</v>
      </c>
      <c r="B732" s="49">
        <v>795</v>
      </c>
      <c r="C732" s="15" t="s">
        <v>161</v>
      </c>
      <c r="D732" s="15" t="s">
        <v>173</v>
      </c>
      <c r="E732" s="15" t="s">
        <v>552</v>
      </c>
      <c r="F732" s="15" t="s">
        <v>37</v>
      </c>
      <c r="G732" s="69">
        <f>G733</f>
        <v>0</v>
      </c>
      <c r="H732" s="69">
        <f t="shared" si="193"/>
        <v>0</v>
      </c>
      <c r="O732" s="108"/>
      <c r="P732" s="108"/>
      <c r="Q732" s="108"/>
      <c r="R732" s="108"/>
      <c r="S732" s="108"/>
    </row>
    <row r="733" spans="1:19" s="3" customFormat="1" ht="38.25" hidden="1" customHeight="1">
      <c r="A733" s="16" t="s">
        <v>38</v>
      </c>
      <c r="B733" s="49">
        <v>795</v>
      </c>
      <c r="C733" s="15" t="s">
        <v>161</v>
      </c>
      <c r="D733" s="15" t="s">
        <v>173</v>
      </c>
      <c r="E733" s="15" t="s">
        <v>552</v>
      </c>
      <c r="F733" s="15" t="s">
        <v>39</v>
      </c>
      <c r="G733" s="69">
        <f>'прил 5,'!G2125</f>
        <v>0</v>
      </c>
      <c r="H733" s="69">
        <v>0</v>
      </c>
      <c r="O733" s="108"/>
      <c r="P733" s="108"/>
      <c r="Q733" s="108"/>
      <c r="R733" s="108"/>
      <c r="S733" s="108"/>
    </row>
    <row r="734" spans="1:19" s="3" customFormat="1" ht="38.25" hidden="1" customHeight="1">
      <c r="A734" s="16" t="s">
        <v>551</v>
      </c>
      <c r="B734" s="49">
        <v>795</v>
      </c>
      <c r="C734" s="15" t="s">
        <v>161</v>
      </c>
      <c r="D734" s="15" t="s">
        <v>173</v>
      </c>
      <c r="E734" s="15" t="s">
        <v>550</v>
      </c>
      <c r="F734" s="15"/>
      <c r="G734" s="69">
        <f>G735</f>
        <v>0</v>
      </c>
      <c r="H734" s="69">
        <f t="shared" ref="H734" si="194">H735</f>
        <v>0</v>
      </c>
      <c r="O734" s="108"/>
      <c r="P734" s="108"/>
      <c r="Q734" s="108"/>
      <c r="R734" s="108"/>
      <c r="S734" s="108"/>
    </row>
    <row r="735" spans="1:19" s="3" customFormat="1" ht="23.25" hidden="1" customHeight="1">
      <c r="A735" s="16" t="s">
        <v>156</v>
      </c>
      <c r="B735" s="49">
        <v>795</v>
      </c>
      <c r="C735" s="15" t="s">
        <v>161</v>
      </c>
      <c r="D735" s="15" t="s">
        <v>173</v>
      </c>
      <c r="E735" s="15" t="s">
        <v>550</v>
      </c>
      <c r="F735" s="15" t="s">
        <v>157</v>
      </c>
      <c r="G735" s="69">
        <f>G736</f>
        <v>0</v>
      </c>
      <c r="H735" s="69">
        <f t="shared" ref="H735" si="195">H736</f>
        <v>0</v>
      </c>
      <c r="O735" s="108"/>
      <c r="P735" s="108"/>
      <c r="Q735" s="108"/>
      <c r="R735" s="108"/>
      <c r="S735" s="108"/>
    </row>
    <row r="736" spans="1:19" s="3" customFormat="1" ht="21.75" hidden="1" customHeight="1">
      <c r="A736" s="16" t="s">
        <v>170</v>
      </c>
      <c r="B736" s="49">
        <v>795</v>
      </c>
      <c r="C736" s="15" t="s">
        <v>161</v>
      </c>
      <c r="D736" s="15" t="s">
        <v>173</v>
      </c>
      <c r="E736" s="15" t="s">
        <v>550</v>
      </c>
      <c r="F736" s="15" t="s">
        <v>171</v>
      </c>
      <c r="G736" s="69"/>
      <c r="H736" s="69">
        <v>0</v>
      </c>
      <c r="O736" s="108"/>
      <c r="P736" s="108"/>
      <c r="Q736" s="108"/>
      <c r="R736" s="108"/>
      <c r="S736" s="108"/>
    </row>
    <row r="737" spans="1:19" s="3" customFormat="1" ht="38.25" hidden="1" customHeight="1">
      <c r="A737" s="16" t="s">
        <v>549</v>
      </c>
      <c r="B737" s="49">
        <v>795</v>
      </c>
      <c r="C737" s="15" t="s">
        <v>161</v>
      </c>
      <c r="D737" s="15" t="s">
        <v>173</v>
      </c>
      <c r="E737" s="15" t="s">
        <v>548</v>
      </c>
      <c r="F737" s="15"/>
      <c r="G737" s="69">
        <f>G738+G740</f>
        <v>0</v>
      </c>
      <c r="H737" s="69">
        <f t="shared" ref="H737:H738" si="196">H738</f>
        <v>0</v>
      </c>
      <c r="O737" s="108"/>
      <c r="P737" s="108"/>
      <c r="Q737" s="108"/>
      <c r="R737" s="108"/>
      <c r="S737" s="108"/>
    </row>
    <row r="738" spans="1:19" s="3" customFormat="1" ht="38.25" hidden="1" customHeight="1">
      <c r="A738" s="16" t="s">
        <v>36</v>
      </c>
      <c r="B738" s="49">
        <v>795</v>
      </c>
      <c r="C738" s="15" t="s">
        <v>161</v>
      </c>
      <c r="D738" s="15" t="s">
        <v>173</v>
      </c>
      <c r="E738" s="15" t="s">
        <v>548</v>
      </c>
      <c r="F738" s="15" t="s">
        <v>37</v>
      </c>
      <c r="G738" s="69">
        <f>G739</f>
        <v>0</v>
      </c>
      <c r="H738" s="69">
        <f t="shared" si="196"/>
        <v>0</v>
      </c>
      <c r="O738" s="108"/>
      <c r="P738" s="108"/>
      <c r="Q738" s="108"/>
      <c r="R738" s="108"/>
      <c r="S738" s="108"/>
    </row>
    <row r="739" spans="1:19" s="3" customFormat="1" ht="38.25" hidden="1" customHeight="1">
      <c r="A739" s="16" t="s">
        <v>38</v>
      </c>
      <c r="B739" s="49">
        <v>795</v>
      </c>
      <c r="C739" s="15" t="s">
        <v>161</v>
      </c>
      <c r="D739" s="15" t="s">
        <v>173</v>
      </c>
      <c r="E739" s="15" t="s">
        <v>548</v>
      </c>
      <c r="F739" s="15" t="s">
        <v>39</v>
      </c>
      <c r="G739" s="69"/>
      <c r="H739" s="69">
        <v>0</v>
      </c>
      <c r="O739" s="108"/>
      <c r="P739" s="108"/>
      <c r="Q739" s="108"/>
      <c r="R739" s="108"/>
      <c r="S739" s="108"/>
    </row>
    <row r="740" spans="1:19" s="3" customFormat="1" ht="26.25" hidden="1" customHeight="1">
      <c r="A740" s="16" t="s">
        <v>156</v>
      </c>
      <c r="B740" s="49">
        <v>795</v>
      </c>
      <c r="C740" s="15" t="s">
        <v>161</v>
      </c>
      <c r="D740" s="15" t="s">
        <v>173</v>
      </c>
      <c r="E740" s="15" t="s">
        <v>548</v>
      </c>
      <c r="F740" s="15" t="s">
        <v>157</v>
      </c>
      <c r="G740" s="69">
        <f>G741</f>
        <v>0</v>
      </c>
      <c r="H740" s="69">
        <f t="shared" ref="H740" si="197">H741</f>
        <v>0</v>
      </c>
      <c r="O740" s="108"/>
      <c r="P740" s="108"/>
      <c r="Q740" s="108"/>
      <c r="R740" s="108"/>
      <c r="S740" s="108"/>
    </row>
    <row r="741" spans="1:19" s="3" customFormat="1" ht="19.5" hidden="1" customHeight="1">
      <c r="A741" s="16" t="s">
        <v>170</v>
      </c>
      <c r="B741" s="49">
        <v>795</v>
      </c>
      <c r="C741" s="15" t="s">
        <v>161</v>
      </c>
      <c r="D741" s="15" t="s">
        <v>173</v>
      </c>
      <c r="E741" s="15" t="s">
        <v>548</v>
      </c>
      <c r="F741" s="15" t="s">
        <v>171</v>
      </c>
      <c r="G741" s="69">
        <f>'прил 5,'!G2131</f>
        <v>0</v>
      </c>
      <c r="H741" s="69">
        <v>0</v>
      </c>
      <c r="O741" s="108"/>
      <c r="P741" s="108"/>
      <c r="Q741" s="108"/>
      <c r="R741" s="108"/>
      <c r="S741" s="108"/>
    </row>
    <row r="742" spans="1:19" s="3" customFormat="1" ht="38.25" hidden="1" customHeight="1">
      <c r="A742" s="16" t="s">
        <v>700</v>
      </c>
      <c r="B742" s="49">
        <v>795</v>
      </c>
      <c r="C742" s="15" t="s">
        <v>161</v>
      </c>
      <c r="D742" s="15" t="s">
        <v>173</v>
      </c>
      <c r="E742" s="15" t="s">
        <v>699</v>
      </c>
      <c r="F742" s="15"/>
      <c r="G742" s="69">
        <f>G743</f>
        <v>0</v>
      </c>
      <c r="H742" s="69">
        <f t="shared" ref="H742:H743" si="198">H743</f>
        <v>0</v>
      </c>
      <c r="O742" s="108"/>
      <c r="P742" s="108"/>
      <c r="Q742" s="108"/>
      <c r="R742" s="108"/>
      <c r="S742" s="108"/>
    </row>
    <row r="743" spans="1:19" s="3" customFormat="1" ht="38.25" hidden="1" customHeight="1">
      <c r="A743" s="16" t="s">
        <v>36</v>
      </c>
      <c r="B743" s="49">
        <v>795</v>
      </c>
      <c r="C743" s="15" t="s">
        <v>161</v>
      </c>
      <c r="D743" s="15" t="s">
        <v>173</v>
      </c>
      <c r="E743" s="15" t="s">
        <v>699</v>
      </c>
      <c r="F743" s="15" t="s">
        <v>37</v>
      </c>
      <c r="G743" s="69">
        <f>G744</f>
        <v>0</v>
      </c>
      <c r="H743" s="69">
        <f t="shared" si="198"/>
        <v>0</v>
      </c>
      <c r="O743" s="108"/>
      <c r="P743" s="108"/>
      <c r="Q743" s="108"/>
      <c r="R743" s="108"/>
      <c r="S743" s="108"/>
    </row>
    <row r="744" spans="1:19" s="3" customFormat="1" ht="38.25" hidden="1" customHeight="1">
      <c r="A744" s="16" t="s">
        <v>38</v>
      </c>
      <c r="B744" s="49">
        <v>795</v>
      </c>
      <c r="C744" s="15" t="s">
        <v>161</v>
      </c>
      <c r="D744" s="15" t="s">
        <v>173</v>
      </c>
      <c r="E744" s="15" t="s">
        <v>699</v>
      </c>
      <c r="F744" s="15" t="s">
        <v>39</v>
      </c>
      <c r="G744" s="69"/>
      <c r="H744" s="69"/>
      <c r="O744" s="108"/>
      <c r="P744" s="108"/>
      <c r="Q744" s="108"/>
      <c r="R744" s="108"/>
      <c r="S744" s="108"/>
    </row>
    <row r="745" spans="1:19" s="3" customFormat="1" ht="63" hidden="1" customHeight="1">
      <c r="A745" s="16" t="s">
        <v>774</v>
      </c>
      <c r="B745" s="49">
        <v>795</v>
      </c>
      <c r="C745" s="15" t="s">
        <v>161</v>
      </c>
      <c r="D745" s="15" t="s">
        <v>173</v>
      </c>
      <c r="E745" s="15" t="s">
        <v>773</v>
      </c>
      <c r="F745" s="15"/>
      <c r="G745" s="69">
        <f>G746</f>
        <v>0</v>
      </c>
      <c r="H745" s="69">
        <f t="shared" ref="H745:H746" si="199">H746</f>
        <v>0</v>
      </c>
      <c r="O745" s="108"/>
      <c r="P745" s="108"/>
      <c r="Q745" s="108"/>
      <c r="R745" s="108"/>
      <c r="S745" s="108"/>
    </row>
    <row r="746" spans="1:19" s="3" customFormat="1" ht="38.25" hidden="1" customHeight="1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773</v>
      </c>
      <c r="F746" s="15" t="s">
        <v>37</v>
      </c>
      <c r="G746" s="69">
        <f>G747</f>
        <v>0</v>
      </c>
      <c r="H746" s="69">
        <f t="shared" si="199"/>
        <v>0</v>
      </c>
      <c r="O746" s="108"/>
      <c r="P746" s="108"/>
      <c r="Q746" s="108"/>
      <c r="R746" s="108"/>
      <c r="S746" s="108"/>
    </row>
    <row r="747" spans="1:19" s="3" customFormat="1" ht="38.25" hidden="1" customHeight="1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773</v>
      </c>
      <c r="F747" s="15" t="s">
        <v>39</v>
      </c>
      <c r="G747" s="69"/>
      <c r="H747" s="69"/>
      <c r="O747" s="108"/>
      <c r="P747" s="108"/>
      <c r="Q747" s="108"/>
      <c r="R747" s="108"/>
      <c r="S747" s="108"/>
    </row>
    <row r="748" spans="1:19" s="3" customFormat="1" ht="129.75" customHeight="1">
      <c r="A748" s="16" t="s">
        <v>1002</v>
      </c>
      <c r="B748" s="49">
        <v>793</v>
      </c>
      <c r="C748" s="15" t="s">
        <v>161</v>
      </c>
      <c r="D748" s="15" t="s">
        <v>173</v>
      </c>
      <c r="E748" s="15" t="s">
        <v>1001</v>
      </c>
      <c r="F748" s="15"/>
      <c r="G748" s="69">
        <f>G749</f>
        <v>0</v>
      </c>
      <c r="H748" s="69">
        <f t="shared" ref="H748:H749" si="200">H749</f>
        <v>0</v>
      </c>
      <c r="I748" s="172"/>
      <c r="J748" s="190"/>
      <c r="K748" s="190"/>
      <c r="L748" s="190"/>
      <c r="M748" s="190"/>
      <c r="N748" s="190"/>
      <c r="O748" s="190"/>
      <c r="P748" s="190"/>
      <c r="Q748" s="190"/>
    </row>
    <row r="749" spans="1:19" s="3" customFormat="1" ht="38.25" customHeight="1">
      <c r="A749" s="81" t="s">
        <v>63</v>
      </c>
      <c r="B749" s="49">
        <v>793</v>
      </c>
      <c r="C749" s="15" t="s">
        <v>161</v>
      </c>
      <c r="D749" s="15" t="s">
        <v>173</v>
      </c>
      <c r="E749" s="15" t="s">
        <v>1001</v>
      </c>
      <c r="F749" s="15" t="s">
        <v>64</v>
      </c>
      <c r="G749" s="69">
        <f>G750</f>
        <v>0</v>
      </c>
      <c r="H749" s="69">
        <f t="shared" si="200"/>
        <v>0</v>
      </c>
      <c r="I749" s="172"/>
      <c r="J749" s="190"/>
      <c r="K749" s="190"/>
      <c r="L749" s="190"/>
      <c r="M749" s="190"/>
      <c r="N749" s="190"/>
      <c r="O749" s="190"/>
      <c r="P749" s="190"/>
      <c r="Q749" s="190"/>
    </row>
    <row r="750" spans="1:19" s="3" customFormat="1" ht="38.25" customHeight="1">
      <c r="A750" s="81" t="s">
        <v>180</v>
      </c>
      <c r="B750" s="49">
        <v>793</v>
      </c>
      <c r="C750" s="15" t="s">
        <v>161</v>
      </c>
      <c r="D750" s="15" t="s">
        <v>173</v>
      </c>
      <c r="E750" s="15" t="s">
        <v>1001</v>
      </c>
      <c r="F750" s="15" t="s">
        <v>181</v>
      </c>
      <c r="G750" s="69">
        <f>'прил 5,'!G1666</f>
        <v>0</v>
      </c>
      <c r="H750" s="69">
        <f>'прил 5,'!H1666</f>
        <v>0</v>
      </c>
      <c r="I750" s="171"/>
      <c r="J750" s="190"/>
      <c r="K750" s="190"/>
      <c r="L750" s="190"/>
      <c r="M750" s="190"/>
      <c r="N750" s="190"/>
      <c r="O750" s="190"/>
      <c r="P750" s="190"/>
      <c r="Q750" s="190"/>
    </row>
    <row r="751" spans="1:19" s="22" customFormat="1" ht="35.25" customHeight="1">
      <c r="A751" s="34" t="s">
        <v>482</v>
      </c>
      <c r="B751" s="35">
        <v>757</v>
      </c>
      <c r="C751" s="36" t="s">
        <v>26</v>
      </c>
      <c r="D751" s="36" t="s">
        <v>28</v>
      </c>
      <c r="E751" s="36" t="s">
        <v>193</v>
      </c>
      <c r="F751" s="36"/>
      <c r="G751" s="70">
        <f>G940+G949+G958+G961+G964+G967+G785+G788+G758+G812+G794+G797+G800+G803+G806+G815+G821+G791+G752+G774+G782+G868+G883+G927++G936+G993+G773+G946+G770+G827+G842+G830+G833+G836+G809+G930+G755+G973+G761+G970+G863+G839</f>
        <v>189197811.06999996</v>
      </c>
      <c r="H751" s="70">
        <f>H940+H949+H958+H961+H964+H967+H785+H788+H758+H812+H794+H797+H800+H803+H806+H815+H821+H791+H752+H774+H782+H868+H883+H927++H936+H993+H773+H946+H770+H827+H842+H830+H833+H836+H809+H930+H755+H973+H761+H970+H863+H839</f>
        <v>189001720.22</v>
      </c>
      <c r="I751" s="21">
        <v>24472950</v>
      </c>
      <c r="O751" s="21"/>
      <c r="P751" s="229"/>
      <c r="Q751" s="21"/>
      <c r="R751" s="21"/>
      <c r="S751" s="21"/>
    </row>
    <row r="752" spans="1:19">
      <c r="A752" s="23" t="s">
        <v>47</v>
      </c>
      <c r="B752" s="14">
        <v>757</v>
      </c>
      <c r="C752" s="15" t="s">
        <v>44</v>
      </c>
      <c r="D752" s="15" t="s">
        <v>19</v>
      </c>
      <c r="E752" s="15" t="s">
        <v>199</v>
      </c>
      <c r="F752" s="14"/>
      <c r="G752" s="84">
        <f t="shared" ref="G752:H753" si="201">G753</f>
        <v>64975828.850000001</v>
      </c>
      <c r="H752" s="8">
        <f t="shared" si="201"/>
        <v>64975828.850000001</v>
      </c>
    </row>
    <row r="753" spans="1:19" ht="25.5">
      <c r="A753" s="16" t="s">
        <v>30</v>
      </c>
      <c r="B753" s="14">
        <v>757</v>
      </c>
      <c r="C753" s="15" t="s">
        <v>44</v>
      </c>
      <c r="D753" s="15" t="s">
        <v>19</v>
      </c>
      <c r="E753" s="15" t="s">
        <v>199</v>
      </c>
      <c r="F753" s="15" t="s">
        <v>31</v>
      </c>
      <c r="G753" s="84">
        <f t="shared" si="201"/>
        <v>64975828.850000001</v>
      </c>
      <c r="H753" s="8">
        <f t="shared" si="201"/>
        <v>64975828.850000001</v>
      </c>
    </row>
    <row r="754" spans="1:19">
      <c r="A754" s="16" t="s">
        <v>32</v>
      </c>
      <c r="B754" s="14">
        <v>757</v>
      </c>
      <c r="C754" s="15" t="s">
        <v>44</v>
      </c>
      <c r="D754" s="15" t="s">
        <v>19</v>
      </c>
      <c r="E754" s="15" t="s">
        <v>199</v>
      </c>
      <c r="F754" s="15" t="s">
        <v>33</v>
      </c>
      <c r="G754" s="84">
        <f>'прил 5,'!G159</f>
        <v>64975828.850000001</v>
      </c>
      <c r="H754" s="8">
        <f>'прил 5,'!H159</f>
        <v>64975828.850000001</v>
      </c>
    </row>
    <row r="755" spans="1:19" ht="38.25">
      <c r="A755" s="16" t="s">
        <v>663</v>
      </c>
      <c r="B755" s="14">
        <v>757</v>
      </c>
      <c r="C755" s="15" t="s">
        <v>26</v>
      </c>
      <c r="D755" s="15" t="s">
        <v>70</v>
      </c>
      <c r="E755" s="15" t="s">
        <v>848</v>
      </c>
      <c r="F755" s="15"/>
      <c r="G755" s="69">
        <f>G756</f>
        <v>0</v>
      </c>
      <c r="H755" s="69">
        <f t="shared" ref="H755" si="202">H756</f>
        <v>0</v>
      </c>
      <c r="I755" s="1"/>
    </row>
    <row r="756" spans="1:19" ht="25.5">
      <c r="A756" s="16" t="s">
        <v>30</v>
      </c>
      <c r="B756" s="14">
        <v>757</v>
      </c>
      <c r="C756" s="15" t="s">
        <v>26</v>
      </c>
      <c r="D756" s="15" t="s">
        <v>70</v>
      </c>
      <c r="E756" s="15" t="s">
        <v>848</v>
      </c>
      <c r="F756" s="15" t="s">
        <v>31</v>
      </c>
      <c r="G756" s="69">
        <f>G757</f>
        <v>0</v>
      </c>
      <c r="H756" s="69">
        <f>H757</f>
        <v>0</v>
      </c>
      <c r="I756" s="1"/>
    </row>
    <row r="757" spans="1:19" ht="19.5" customHeight="1">
      <c r="A757" s="16" t="s">
        <v>32</v>
      </c>
      <c r="B757" s="14">
        <v>757</v>
      </c>
      <c r="C757" s="15" t="s">
        <v>26</v>
      </c>
      <c r="D757" s="15" t="s">
        <v>70</v>
      </c>
      <c r="E757" s="15" t="s">
        <v>848</v>
      </c>
      <c r="F757" s="15" t="s">
        <v>33</v>
      </c>
      <c r="G757" s="69">
        <v>0</v>
      </c>
      <c r="H757" s="69"/>
      <c r="I757" s="1"/>
    </row>
    <row r="758" spans="1:19" ht="31.5" customHeight="1">
      <c r="A758" s="139" t="s">
        <v>813</v>
      </c>
      <c r="B758" s="14">
        <v>757</v>
      </c>
      <c r="C758" s="15" t="s">
        <v>44</v>
      </c>
      <c r="D758" s="15" t="s">
        <v>19</v>
      </c>
      <c r="E758" s="15" t="s">
        <v>743</v>
      </c>
      <c r="F758" s="14"/>
      <c r="G758" s="8">
        <f>G759</f>
        <v>200000</v>
      </c>
      <c r="H758" s="8">
        <f t="shared" ref="H758" si="203">H759</f>
        <v>200000</v>
      </c>
      <c r="I758" s="172"/>
      <c r="J758" s="177"/>
      <c r="K758" s="177"/>
      <c r="L758" s="177"/>
      <c r="M758" s="177"/>
      <c r="N758" s="177"/>
      <c r="O758" s="177"/>
      <c r="P758" s="177"/>
      <c r="Q758" s="177"/>
      <c r="R758" s="1"/>
      <c r="S758" s="1"/>
    </row>
    <row r="759" spans="1:19" ht="49.5" customHeight="1">
      <c r="A759" s="81" t="s">
        <v>30</v>
      </c>
      <c r="B759" s="14">
        <v>757</v>
      </c>
      <c r="C759" s="15" t="s">
        <v>44</v>
      </c>
      <c r="D759" s="15" t="s">
        <v>19</v>
      </c>
      <c r="E759" s="15" t="s">
        <v>743</v>
      </c>
      <c r="F759" s="15" t="s">
        <v>31</v>
      </c>
      <c r="G759" s="8">
        <f>G760</f>
        <v>200000</v>
      </c>
      <c r="H759" s="8">
        <f>H760</f>
        <v>200000</v>
      </c>
      <c r="I759" s="172"/>
      <c r="J759" s="177"/>
      <c r="K759" s="177"/>
      <c r="L759" s="177"/>
      <c r="M759" s="177"/>
      <c r="N759" s="177"/>
      <c r="O759" s="177"/>
      <c r="P759" s="177"/>
      <c r="Q759" s="177"/>
      <c r="R759" s="1"/>
      <c r="S759" s="1"/>
    </row>
    <row r="760" spans="1:19">
      <c r="A760" s="81" t="s">
        <v>32</v>
      </c>
      <c r="B760" s="14">
        <v>757</v>
      </c>
      <c r="C760" s="15" t="s">
        <v>44</v>
      </c>
      <c r="D760" s="15" t="s">
        <v>19</v>
      </c>
      <c r="E760" s="15" t="s">
        <v>743</v>
      </c>
      <c r="F760" s="15" t="s">
        <v>33</v>
      </c>
      <c r="G760" s="8">
        <f>'прил 5,'!G182</f>
        <v>200000</v>
      </c>
      <c r="H760" s="8">
        <f>'прил 5,'!H182</f>
        <v>200000</v>
      </c>
      <c r="I760" s="172"/>
      <c r="J760" s="177"/>
      <c r="K760" s="177"/>
      <c r="L760" s="177"/>
      <c r="M760" s="177"/>
      <c r="N760" s="177"/>
      <c r="O760" s="177"/>
      <c r="P760" s="177"/>
      <c r="Q760" s="177"/>
      <c r="R760" s="1"/>
      <c r="S760" s="1"/>
    </row>
    <row r="761" spans="1:19" ht="39.75" customHeight="1">
      <c r="A761" s="139" t="s">
        <v>747</v>
      </c>
      <c r="B761" s="14">
        <v>757</v>
      </c>
      <c r="C761" s="15" t="s">
        <v>44</v>
      </c>
      <c r="D761" s="15" t="s">
        <v>19</v>
      </c>
      <c r="E761" s="15" t="s">
        <v>746</v>
      </c>
      <c r="F761" s="14"/>
      <c r="G761" s="8">
        <f>G762</f>
        <v>0</v>
      </c>
      <c r="H761" s="8">
        <f t="shared" ref="H761" si="204">H762</f>
        <v>0</v>
      </c>
      <c r="I761" s="1"/>
    </row>
    <row r="762" spans="1:19" ht="49.5" customHeight="1">
      <c r="A762" s="81" t="s">
        <v>30</v>
      </c>
      <c r="B762" s="14">
        <v>757</v>
      </c>
      <c r="C762" s="15" t="s">
        <v>44</v>
      </c>
      <c r="D762" s="15" t="s">
        <v>19</v>
      </c>
      <c r="E762" s="15" t="s">
        <v>746</v>
      </c>
      <c r="F762" s="15" t="s">
        <v>31</v>
      </c>
      <c r="G762" s="8">
        <f>G763</f>
        <v>0</v>
      </c>
      <c r="H762" s="8">
        <f>H763</f>
        <v>0</v>
      </c>
      <c r="I762" s="1"/>
    </row>
    <row r="763" spans="1:19">
      <c r="A763" s="81" t="s">
        <v>32</v>
      </c>
      <c r="B763" s="14">
        <v>757</v>
      </c>
      <c r="C763" s="15" t="s">
        <v>44</v>
      </c>
      <c r="D763" s="15" t="s">
        <v>19</v>
      </c>
      <c r="E763" s="15" t="s">
        <v>746</v>
      </c>
      <c r="F763" s="15" t="s">
        <v>33</v>
      </c>
      <c r="G763" s="8">
        <f>'прил 5,'!G188</f>
        <v>0</v>
      </c>
      <c r="H763" s="8">
        <f>'прил 5,'!H188</f>
        <v>0</v>
      </c>
      <c r="I763" s="1"/>
    </row>
    <row r="764" spans="1:19" ht="54.75" hidden="1" customHeight="1">
      <c r="A764" s="139" t="s">
        <v>779</v>
      </c>
      <c r="B764" s="14">
        <v>757</v>
      </c>
      <c r="C764" s="15" t="s">
        <v>44</v>
      </c>
      <c r="D764" s="15" t="s">
        <v>19</v>
      </c>
      <c r="E764" s="15" t="s">
        <v>778</v>
      </c>
      <c r="F764" s="14"/>
      <c r="G764" s="8">
        <f>G765</f>
        <v>0</v>
      </c>
      <c r="H764" s="8">
        <f t="shared" ref="H764" si="205">H765</f>
        <v>0</v>
      </c>
      <c r="I764" s="1"/>
    </row>
    <row r="765" spans="1:19" ht="49.5" hidden="1" customHeight="1">
      <c r="A765" s="81" t="s">
        <v>30</v>
      </c>
      <c r="B765" s="14">
        <v>757</v>
      </c>
      <c r="C765" s="15" t="s">
        <v>44</v>
      </c>
      <c r="D765" s="15" t="s">
        <v>19</v>
      </c>
      <c r="E765" s="15" t="s">
        <v>778</v>
      </c>
      <c r="F765" s="15" t="s">
        <v>31</v>
      </c>
      <c r="G765" s="8">
        <f>G766</f>
        <v>0</v>
      </c>
      <c r="H765" s="8">
        <f>H766</f>
        <v>0</v>
      </c>
      <c r="I765" s="1"/>
    </row>
    <row r="766" spans="1:19" hidden="1">
      <c r="A766" s="81" t="s">
        <v>32</v>
      </c>
      <c r="B766" s="14">
        <v>757</v>
      </c>
      <c r="C766" s="15" t="s">
        <v>44</v>
      </c>
      <c r="D766" s="15" t="s">
        <v>19</v>
      </c>
      <c r="E766" s="15" t="s">
        <v>778</v>
      </c>
      <c r="F766" s="15" t="s">
        <v>33</v>
      </c>
      <c r="G766" s="8"/>
      <c r="H766" s="8"/>
      <c r="I766" s="1"/>
    </row>
    <row r="767" spans="1:19" ht="29.25" hidden="1" customHeight="1">
      <c r="A767" s="131" t="s">
        <v>963</v>
      </c>
      <c r="B767" s="14">
        <v>757</v>
      </c>
      <c r="C767" s="15" t="s">
        <v>44</v>
      </c>
      <c r="D767" s="15" t="s">
        <v>19</v>
      </c>
      <c r="E767" s="15" t="s">
        <v>962</v>
      </c>
      <c r="F767" s="14"/>
      <c r="G767" s="8">
        <f>G768</f>
        <v>0</v>
      </c>
      <c r="H767" s="8">
        <f t="shared" ref="H767" si="206">H768</f>
        <v>0</v>
      </c>
      <c r="I767" s="172"/>
      <c r="J767" s="177"/>
      <c r="K767" s="177"/>
      <c r="L767" s="177"/>
      <c r="M767" s="177"/>
      <c r="N767" s="177"/>
      <c r="O767" s="177"/>
      <c r="P767" s="177"/>
      <c r="Q767" s="177"/>
      <c r="R767" s="1"/>
      <c r="S767" s="1"/>
    </row>
    <row r="768" spans="1:19" ht="49.5" hidden="1" customHeight="1">
      <c r="A768" s="81" t="s">
        <v>30</v>
      </c>
      <c r="B768" s="14">
        <v>757</v>
      </c>
      <c r="C768" s="15" t="s">
        <v>44</v>
      </c>
      <c r="D768" s="15" t="s">
        <v>19</v>
      </c>
      <c r="E768" s="15" t="s">
        <v>962</v>
      </c>
      <c r="F768" s="15" t="s">
        <v>31</v>
      </c>
      <c r="G768" s="8">
        <f>G769</f>
        <v>0</v>
      </c>
      <c r="H768" s="8">
        <f>H769</f>
        <v>0</v>
      </c>
      <c r="I768" s="172"/>
      <c r="J768" s="177"/>
      <c r="K768" s="177"/>
      <c r="L768" s="177"/>
      <c r="M768" s="177"/>
      <c r="N768" s="177"/>
      <c r="O768" s="177"/>
      <c r="P768" s="177"/>
      <c r="Q768" s="177"/>
      <c r="R768" s="1"/>
      <c r="S768" s="1"/>
    </row>
    <row r="769" spans="1:19" hidden="1">
      <c r="A769" s="81" t="s">
        <v>32</v>
      </c>
      <c r="B769" s="14">
        <v>757</v>
      </c>
      <c r="C769" s="15" t="s">
        <v>44</v>
      </c>
      <c r="D769" s="15" t="s">
        <v>19</v>
      </c>
      <c r="E769" s="15" t="s">
        <v>962</v>
      </c>
      <c r="F769" s="15" t="s">
        <v>33</v>
      </c>
      <c r="G769" s="8"/>
      <c r="H769" s="8">
        <v>0</v>
      </c>
      <c r="I769" s="172"/>
      <c r="J769" s="177"/>
      <c r="K769" s="177"/>
      <c r="L769" s="177"/>
      <c r="M769" s="177"/>
      <c r="N769" s="177"/>
      <c r="O769" s="177"/>
      <c r="P769" s="177"/>
      <c r="Q769" s="177"/>
      <c r="R769" s="1"/>
      <c r="S769" s="1"/>
    </row>
    <row r="770" spans="1:19" ht="29.25" customHeight="1">
      <c r="A770" s="131" t="s">
        <v>963</v>
      </c>
      <c r="B770" s="14">
        <v>757</v>
      </c>
      <c r="C770" s="15" t="s">
        <v>44</v>
      </c>
      <c r="D770" s="15" t="s">
        <v>19</v>
      </c>
      <c r="E770" s="15" t="s">
        <v>962</v>
      </c>
      <c r="F770" s="14"/>
      <c r="G770" s="8">
        <f>G771</f>
        <v>226847</v>
      </c>
      <c r="H770" s="8">
        <f t="shared" ref="H770" si="207">H771</f>
        <v>226847</v>
      </c>
      <c r="I770" s="172"/>
      <c r="J770" s="177"/>
      <c r="K770" s="177"/>
      <c r="L770" s="177"/>
      <c r="M770" s="177"/>
      <c r="N770" s="177"/>
      <c r="O770" s="177"/>
      <c r="P770" s="177"/>
      <c r="Q770" s="177"/>
      <c r="R770" s="1"/>
      <c r="S770" s="1"/>
    </row>
    <row r="771" spans="1:19" ht="49.5" customHeight="1">
      <c r="A771" s="81" t="s">
        <v>30</v>
      </c>
      <c r="B771" s="14">
        <v>757</v>
      </c>
      <c r="C771" s="15" t="s">
        <v>44</v>
      </c>
      <c r="D771" s="15" t="s">
        <v>19</v>
      </c>
      <c r="E771" s="15" t="s">
        <v>962</v>
      </c>
      <c r="F771" s="15" t="s">
        <v>31</v>
      </c>
      <c r="G771" s="8">
        <f>G772</f>
        <v>226847</v>
      </c>
      <c r="H771" s="8">
        <f>H772</f>
        <v>226847</v>
      </c>
      <c r="I771" s="172"/>
      <c r="J771" s="177"/>
      <c r="K771" s="177"/>
      <c r="L771" s="177"/>
      <c r="M771" s="177"/>
      <c r="N771" s="177"/>
      <c r="O771" s="177"/>
      <c r="P771" s="177"/>
      <c r="Q771" s="177"/>
      <c r="R771" s="1"/>
      <c r="S771" s="1"/>
    </row>
    <row r="772" spans="1:19">
      <c r="A772" s="81" t="s">
        <v>32</v>
      </c>
      <c r="B772" s="14">
        <v>757</v>
      </c>
      <c r="C772" s="15" t="s">
        <v>44</v>
      </c>
      <c r="D772" s="15" t="s">
        <v>19</v>
      </c>
      <c r="E772" s="15" t="s">
        <v>962</v>
      </c>
      <c r="F772" s="15" t="s">
        <v>33</v>
      </c>
      <c r="G772" s="8">
        <f>'прил 5,'!G194</f>
        <v>226847</v>
      </c>
      <c r="H772" s="8">
        <f>'прил 5,'!H194</f>
        <v>226847</v>
      </c>
      <c r="I772" s="172"/>
      <c r="J772" s="177"/>
      <c r="K772" s="177"/>
      <c r="L772" s="177"/>
      <c r="M772" s="177"/>
      <c r="N772" s="177"/>
      <c r="O772" s="177"/>
      <c r="P772" s="177"/>
      <c r="Q772" s="177"/>
      <c r="R772" s="1"/>
      <c r="S772" s="1"/>
    </row>
    <row r="773" spans="1:19" ht="39.75" customHeight="1">
      <c r="A773" s="139" t="s">
        <v>747</v>
      </c>
      <c r="B773" s="14">
        <v>757</v>
      </c>
      <c r="C773" s="15" t="s">
        <v>44</v>
      </c>
      <c r="D773" s="15" t="s">
        <v>19</v>
      </c>
      <c r="E773" s="15" t="s">
        <v>1024</v>
      </c>
      <c r="F773" s="14"/>
      <c r="G773" s="8">
        <f>G866</f>
        <v>155000</v>
      </c>
      <c r="H773" s="8">
        <f>H866</f>
        <v>155000</v>
      </c>
      <c r="I773" s="1"/>
    </row>
    <row r="774" spans="1:19" s="3" customFormat="1" ht="15" customHeight="1">
      <c r="A774" s="24" t="s">
        <v>48</v>
      </c>
      <c r="B774" s="14">
        <v>757</v>
      </c>
      <c r="C774" s="15" t="s">
        <v>44</v>
      </c>
      <c r="D774" s="15" t="s">
        <v>19</v>
      </c>
      <c r="E774" s="15" t="s">
        <v>200</v>
      </c>
      <c r="F774" s="15"/>
      <c r="G774" s="94">
        <f>G775+G780</f>
        <v>7927812.8600000003</v>
      </c>
      <c r="H774" s="25">
        <f t="shared" ref="G774:H775" si="208">H775</f>
        <v>7927812.8600000003</v>
      </c>
      <c r="I774" s="108"/>
      <c r="O774" s="108"/>
      <c r="P774" s="108"/>
      <c r="Q774" s="108"/>
      <c r="R774" s="108"/>
      <c r="S774" s="108"/>
    </row>
    <row r="775" spans="1:19" ht="25.5">
      <c r="A775" s="16" t="s">
        <v>30</v>
      </c>
      <c r="B775" s="14">
        <v>757</v>
      </c>
      <c r="C775" s="15" t="s">
        <v>44</v>
      </c>
      <c r="D775" s="15" t="s">
        <v>19</v>
      </c>
      <c r="E775" s="15" t="s">
        <v>200</v>
      </c>
      <c r="F775" s="15" t="s">
        <v>31</v>
      </c>
      <c r="G775" s="84">
        <f t="shared" si="208"/>
        <v>7927812.8600000003</v>
      </c>
      <c r="H775" s="8">
        <f t="shared" si="208"/>
        <v>7927812.8600000003</v>
      </c>
    </row>
    <row r="776" spans="1:19">
      <c r="A776" s="16" t="s">
        <v>32</v>
      </c>
      <c r="B776" s="14">
        <v>757</v>
      </c>
      <c r="C776" s="15" t="s">
        <v>44</v>
      </c>
      <c r="D776" s="15" t="s">
        <v>19</v>
      </c>
      <c r="E776" s="15" t="s">
        <v>200</v>
      </c>
      <c r="F776" s="15" t="s">
        <v>33</v>
      </c>
      <c r="G776" s="84">
        <f>'прил 5,'!G197</f>
        <v>7927812.8600000003</v>
      </c>
      <c r="H776" s="8">
        <f>'прил 5,'!H197</f>
        <v>7927812.8600000003</v>
      </c>
    </row>
    <row r="777" spans="1:19" s="3" customFormat="1" ht="36" hidden="1" customHeight="1">
      <c r="A777" s="136" t="s">
        <v>788</v>
      </c>
      <c r="B777" s="14">
        <v>757</v>
      </c>
      <c r="C777" s="15" t="s">
        <v>44</v>
      </c>
      <c r="D777" s="15" t="s">
        <v>19</v>
      </c>
      <c r="E777" s="15" t="s">
        <v>787</v>
      </c>
      <c r="F777" s="15"/>
      <c r="G777" s="25">
        <f>G778</f>
        <v>0</v>
      </c>
      <c r="H777" s="25">
        <f t="shared" ref="H777:H778" si="209">H778</f>
        <v>0</v>
      </c>
      <c r="O777" s="108"/>
      <c r="P777" s="108"/>
      <c r="Q777" s="108"/>
      <c r="R777" s="108"/>
      <c r="S777" s="108"/>
    </row>
    <row r="778" spans="1:19" s="89" customFormat="1" ht="19.5" hidden="1" customHeight="1">
      <c r="A778" s="81" t="s">
        <v>63</v>
      </c>
      <c r="B778" s="14">
        <v>757</v>
      </c>
      <c r="C778" s="15" t="s">
        <v>44</v>
      </c>
      <c r="D778" s="15" t="s">
        <v>19</v>
      </c>
      <c r="E778" s="15" t="s">
        <v>787</v>
      </c>
      <c r="F778" s="83" t="s">
        <v>64</v>
      </c>
      <c r="G778" s="86">
        <f>G779</f>
        <v>0</v>
      </c>
      <c r="H778" s="86">
        <f t="shared" si="209"/>
        <v>0</v>
      </c>
      <c r="O778" s="122"/>
      <c r="P778" s="122"/>
      <c r="Q778" s="122"/>
      <c r="R778" s="122"/>
      <c r="S778" s="122"/>
    </row>
    <row r="779" spans="1:19" s="89" customFormat="1" ht="18.75" hidden="1" customHeight="1">
      <c r="A779" s="81" t="s">
        <v>180</v>
      </c>
      <c r="B779" s="14">
        <v>757</v>
      </c>
      <c r="C779" s="15" t="s">
        <v>44</v>
      </c>
      <c r="D779" s="15" t="s">
        <v>19</v>
      </c>
      <c r="E779" s="15" t="s">
        <v>787</v>
      </c>
      <c r="F779" s="83" t="s">
        <v>181</v>
      </c>
      <c r="G779" s="86">
        <f>'прил 5,'!G200</f>
        <v>0</v>
      </c>
      <c r="H779" s="86">
        <v>0</v>
      </c>
      <c r="O779" s="122"/>
      <c r="P779" s="122"/>
      <c r="Q779" s="122"/>
      <c r="R779" s="122"/>
      <c r="S779" s="122"/>
    </row>
    <row r="780" spans="1:19" s="89" customFormat="1" ht="19.5" hidden="1" customHeight="1">
      <c r="A780" s="81" t="s">
        <v>63</v>
      </c>
      <c r="B780" s="14">
        <v>757</v>
      </c>
      <c r="C780" s="15" t="s">
        <v>44</v>
      </c>
      <c r="D780" s="15" t="s">
        <v>19</v>
      </c>
      <c r="E780" s="15" t="s">
        <v>200</v>
      </c>
      <c r="F780" s="83" t="s">
        <v>64</v>
      </c>
      <c r="G780" s="86">
        <f>G781</f>
        <v>0</v>
      </c>
      <c r="H780" s="86">
        <f t="shared" ref="H780" si="210">H781</f>
        <v>0</v>
      </c>
      <c r="O780" s="122"/>
      <c r="P780" s="122"/>
      <c r="Q780" s="122"/>
      <c r="R780" s="122"/>
      <c r="S780" s="122"/>
    </row>
    <row r="781" spans="1:19" s="89" customFormat="1" ht="18.75" hidden="1" customHeight="1">
      <c r="A781" s="81" t="s">
        <v>328</v>
      </c>
      <c r="B781" s="14">
        <v>757</v>
      </c>
      <c r="C781" s="15" t="s">
        <v>44</v>
      </c>
      <c r="D781" s="15" t="s">
        <v>19</v>
      </c>
      <c r="E781" s="15" t="s">
        <v>200</v>
      </c>
      <c r="F781" s="83" t="s">
        <v>181</v>
      </c>
      <c r="G781" s="86"/>
      <c r="H781" s="86">
        <v>0</v>
      </c>
      <c r="O781" s="122"/>
      <c r="P781" s="122"/>
      <c r="Q781" s="122"/>
      <c r="R781" s="122"/>
      <c r="S781" s="122"/>
    </row>
    <row r="782" spans="1:19" s="3" customFormat="1" ht="15" customHeight="1">
      <c r="A782" s="26" t="s">
        <v>49</v>
      </c>
      <c r="B782" s="14">
        <v>757</v>
      </c>
      <c r="C782" s="15" t="s">
        <v>44</v>
      </c>
      <c r="D782" s="15" t="s">
        <v>19</v>
      </c>
      <c r="E782" s="15" t="s">
        <v>201</v>
      </c>
      <c r="F782" s="15"/>
      <c r="G782" s="94">
        <f t="shared" ref="G782:H783" si="211">G783</f>
        <v>40307651.82</v>
      </c>
      <c r="H782" s="25">
        <f t="shared" si="211"/>
        <v>40307651.82</v>
      </c>
      <c r="I782" s="108"/>
      <c r="O782" s="108"/>
      <c r="P782" s="108"/>
      <c r="Q782" s="108"/>
      <c r="R782" s="108"/>
      <c r="S782" s="108"/>
    </row>
    <row r="783" spans="1:19" ht="25.5">
      <c r="A783" s="16" t="s">
        <v>30</v>
      </c>
      <c r="B783" s="14">
        <v>757</v>
      </c>
      <c r="C783" s="15" t="s">
        <v>44</v>
      </c>
      <c r="D783" s="15" t="s">
        <v>19</v>
      </c>
      <c r="E783" s="15" t="s">
        <v>201</v>
      </c>
      <c r="F783" s="15" t="s">
        <v>31</v>
      </c>
      <c r="G783" s="84">
        <f t="shared" si="211"/>
        <v>40307651.82</v>
      </c>
      <c r="H783" s="8">
        <f t="shared" si="211"/>
        <v>40307651.82</v>
      </c>
    </row>
    <row r="784" spans="1:19">
      <c r="A784" s="16" t="s">
        <v>32</v>
      </c>
      <c r="B784" s="14">
        <v>757</v>
      </c>
      <c r="C784" s="15" t="s">
        <v>44</v>
      </c>
      <c r="D784" s="15" t="s">
        <v>19</v>
      </c>
      <c r="E784" s="15" t="s">
        <v>201</v>
      </c>
      <c r="F784" s="15" t="s">
        <v>33</v>
      </c>
      <c r="G784" s="84">
        <f>'прил 5,'!G207</f>
        <v>40307651.82</v>
      </c>
      <c r="H784" s="8">
        <f>'прил 5,'!H207</f>
        <v>40307651.82</v>
      </c>
    </row>
    <row r="785" spans="1:19" ht="25.5">
      <c r="A785" s="16" t="s">
        <v>29</v>
      </c>
      <c r="B785" s="14">
        <v>757</v>
      </c>
      <c r="C785" s="15" t="s">
        <v>26</v>
      </c>
      <c r="D785" s="15" t="s">
        <v>28</v>
      </c>
      <c r="E785" s="15" t="s">
        <v>194</v>
      </c>
      <c r="F785" s="15"/>
      <c r="G785" s="86">
        <f>G786</f>
        <v>27684755.579999998</v>
      </c>
      <c r="H785" s="69">
        <f t="shared" ref="G785:H786" si="212">H786</f>
        <v>27684755.579999998</v>
      </c>
      <c r="I785" s="2">
        <v>435600</v>
      </c>
    </row>
    <row r="786" spans="1:19" ht="25.5">
      <c r="A786" s="16" t="s">
        <v>30</v>
      </c>
      <c r="B786" s="14">
        <v>757</v>
      </c>
      <c r="C786" s="15" t="s">
        <v>26</v>
      </c>
      <c r="D786" s="15" t="s">
        <v>28</v>
      </c>
      <c r="E786" s="15" t="s">
        <v>194</v>
      </c>
      <c r="F786" s="15" t="s">
        <v>31</v>
      </c>
      <c r="G786" s="86">
        <f t="shared" si="212"/>
        <v>27684755.579999998</v>
      </c>
      <c r="H786" s="69">
        <f t="shared" si="212"/>
        <v>27684755.579999998</v>
      </c>
      <c r="I786" s="2">
        <v>300</v>
      </c>
    </row>
    <row r="787" spans="1:19" ht="19.5" customHeight="1">
      <c r="A787" s="16" t="s">
        <v>32</v>
      </c>
      <c r="B787" s="14">
        <v>757</v>
      </c>
      <c r="C787" s="15" t="s">
        <v>26</v>
      </c>
      <c r="D787" s="15" t="s">
        <v>28</v>
      </c>
      <c r="E787" s="15" t="s">
        <v>194</v>
      </c>
      <c r="F787" s="15" t="s">
        <v>33</v>
      </c>
      <c r="G787" s="86">
        <f>'прил 5,'!G28</f>
        <v>27684755.579999998</v>
      </c>
      <c r="H787" s="69">
        <f>'прил 5,'!H28</f>
        <v>27684755.579999998</v>
      </c>
      <c r="I787" s="2">
        <f>SUM(I751:I786)</f>
        <v>24908850</v>
      </c>
    </row>
    <row r="788" spans="1:19" ht="25.5">
      <c r="A788" s="16" t="s">
        <v>846</v>
      </c>
      <c r="B788" s="14">
        <v>757</v>
      </c>
      <c r="C788" s="15" t="s">
        <v>26</v>
      </c>
      <c r="D788" s="15" t="s">
        <v>70</v>
      </c>
      <c r="E788" s="15" t="s">
        <v>845</v>
      </c>
      <c r="F788" s="15"/>
      <c r="G788" s="69">
        <f>G789</f>
        <v>115000</v>
      </c>
      <c r="H788" s="69">
        <f t="shared" ref="H788" si="213">H789</f>
        <v>115000</v>
      </c>
      <c r="I788" s="1"/>
    </row>
    <row r="789" spans="1:19" ht="25.5">
      <c r="A789" s="16" t="s">
        <v>30</v>
      </c>
      <c r="B789" s="14">
        <v>757</v>
      </c>
      <c r="C789" s="15" t="s">
        <v>26</v>
      </c>
      <c r="D789" s="15" t="s">
        <v>70</v>
      </c>
      <c r="E789" s="15" t="s">
        <v>845</v>
      </c>
      <c r="F789" s="15" t="s">
        <v>31</v>
      </c>
      <c r="G789" s="69">
        <f>G790</f>
        <v>115000</v>
      </c>
      <c r="H789" s="69">
        <f>H790</f>
        <v>115000</v>
      </c>
      <c r="I789" s="1"/>
    </row>
    <row r="790" spans="1:19" ht="19.5" customHeight="1">
      <c r="A790" s="16" t="s">
        <v>32</v>
      </c>
      <c r="B790" s="14">
        <v>757</v>
      </c>
      <c r="C790" s="15" t="s">
        <v>26</v>
      </c>
      <c r="D790" s="15" t="s">
        <v>70</v>
      </c>
      <c r="E790" s="15" t="s">
        <v>845</v>
      </c>
      <c r="F790" s="15" t="s">
        <v>33</v>
      </c>
      <c r="G790" s="69">
        <f>'прил 5,'!G31+'прил 5,'!G268</f>
        <v>115000</v>
      </c>
      <c r="H790" s="69">
        <f>'прил 5,'!H31+'прил 5,'!H268</f>
        <v>115000</v>
      </c>
      <c r="I790" s="1"/>
    </row>
    <row r="791" spans="1:19" s="89" customFormat="1">
      <c r="A791" s="81" t="s">
        <v>862</v>
      </c>
      <c r="B791" s="145">
        <v>757</v>
      </c>
      <c r="C791" s="83" t="s">
        <v>44</v>
      </c>
      <c r="D791" s="83" t="s">
        <v>19</v>
      </c>
      <c r="E791" s="83" t="s">
        <v>847</v>
      </c>
      <c r="F791" s="83"/>
      <c r="G791" s="86">
        <f>G792</f>
        <v>0</v>
      </c>
      <c r="H791" s="86">
        <f t="shared" ref="H791" si="214">H792</f>
        <v>0</v>
      </c>
      <c r="O791" s="122"/>
      <c r="P791" s="122"/>
      <c r="Q791" s="122"/>
      <c r="R791" s="122"/>
      <c r="S791" s="122"/>
    </row>
    <row r="792" spans="1:19" s="89" customFormat="1" ht="25.5">
      <c r="A792" s="81" t="s">
        <v>30</v>
      </c>
      <c r="B792" s="145">
        <v>757</v>
      </c>
      <c r="C792" s="83" t="s">
        <v>44</v>
      </c>
      <c r="D792" s="83" t="s">
        <v>19</v>
      </c>
      <c r="E792" s="83" t="s">
        <v>847</v>
      </c>
      <c r="F792" s="83" t="s">
        <v>31</v>
      </c>
      <c r="G792" s="86">
        <f>G793</f>
        <v>0</v>
      </c>
      <c r="H792" s="86">
        <f>H793</f>
        <v>0</v>
      </c>
      <c r="O792" s="122"/>
      <c r="P792" s="122"/>
      <c r="Q792" s="122"/>
      <c r="R792" s="122"/>
      <c r="S792" s="122"/>
    </row>
    <row r="793" spans="1:19" s="89" customFormat="1" ht="19.5" customHeight="1">
      <c r="A793" s="81" t="s">
        <v>32</v>
      </c>
      <c r="B793" s="145">
        <v>757</v>
      </c>
      <c r="C793" s="83" t="s">
        <v>44</v>
      </c>
      <c r="D793" s="83" t="s">
        <v>19</v>
      </c>
      <c r="E793" s="83" t="s">
        <v>847</v>
      </c>
      <c r="F793" s="83" t="s">
        <v>33</v>
      </c>
      <c r="G793" s="86">
        <f>'прил 5,'!G271</f>
        <v>0</v>
      </c>
      <c r="H793" s="86"/>
      <c r="O793" s="122"/>
      <c r="P793" s="122"/>
      <c r="Q793" s="122"/>
      <c r="R793" s="122"/>
      <c r="S793" s="122"/>
    </row>
    <row r="794" spans="1:19">
      <c r="A794" s="16" t="s">
        <v>851</v>
      </c>
      <c r="B794" s="14">
        <v>757</v>
      </c>
      <c r="C794" s="15" t="s">
        <v>44</v>
      </c>
      <c r="D794" s="15" t="s">
        <v>19</v>
      </c>
      <c r="E794" s="15" t="s">
        <v>850</v>
      </c>
      <c r="F794" s="15"/>
      <c r="G794" s="69">
        <f>G795</f>
        <v>185601.11</v>
      </c>
      <c r="H794" s="69">
        <f t="shared" ref="H794" si="215">H795</f>
        <v>185601.11</v>
      </c>
      <c r="I794" s="1"/>
    </row>
    <row r="795" spans="1:19" ht="25.5">
      <c r="A795" s="16" t="s">
        <v>30</v>
      </c>
      <c r="B795" s="14">
        <v>757</v>
      </c>
      <c r="C795" s="15" t="s">
        <v>44</v>
      </c>
      <c r="D795" s="15" t="s">
        <v>19</v>
      </c>
      <c r="E795" s="15" t="s">
        <v>850</v>
      </c>
      <c r="F795" s="15" t="s">
        <v>31</v>
      </c>
      <c r="G795" s="69">
        <f>G796</f>
        <v>185601.11</v>
      </c>
      <c r="H795" s="69">
        <f>H796</f>
        <v>185601.11</v>
      </c>
      <c r="I795" s="1"/>
    </row>
    <row r="796" spans="1:19" ht="19.5" customHeight="1">
      <c r="A796" s="16" t="s">
        <v>32</v>
      </c>
      <c r="B796" s="14">
        <v>757</v>
      </c>
      <c r="C796" s="15" t="s">
        <v>44</v>
      </c>
      <c r="D796" s="15" t="s">
        <v>19</v>
      </c>
      <c r="E796" s="15" t="s">
        <v>850</v>
      </c>
      <c r="F796" s="15" t="s">
        <v>33</v>
      </c>
      <c r="G796" s="69">
        <f>'прил 5,'!G265+'прил 5,'!G34</f>
        <v>185601.11</v>
      </c>
      <c r="H796" s="69">
        <f>'прил 5,'!H265+'прил 5,'!H34</f>
        <v>185601.11</v>
      </c>
      <c r="I796" s="1"/>
    </row>
    <row r="797" spans="1:19" ht="38.25">
      <c r="A797" s="16" t="s">
        <v>853</v>
      </c>
      <c r="B797" s="14">
        <v>757</v>
      </c>
      <c r="C797" s="15" t="s">
        <v>44</v>
      </c>
      <c r="D797" s="15" t="s">
        <v>19</v>
      </c>
      <c r="E797" s="15" t="s">
        <v>852</v>
      </c>
      <c r="F797" s="15"/>
      <c r="G797" s="69">
        <f>G798</f>
        <v>183800</v>
      </c>
      <c r="H797" s="69">
        <f t="shared" ref="H797" si="216">H798</f>
        <v>183800</v>
      </c>
      <c r="I797" s="1"/>
    </row>
    <row r="798" spans="1:19" ht="25.5">
      <c r="A798" s="16" t="s">
        <v>30</v>
      </c>
      <c r="B798" s="14">
        <v>757</v>
      </c>
      <c r="C798" s="15" t="s">
        <v>44</v>
      </c>
      <c r="D798" s="15" t="s">
        <v>19</v>
      </c>
      <c r="E798" s="15" t="s">
        <v>852</v>
      </c>
      <c r="F798" s="15" t="s">
        <v>31</v>
      </c>
      <c r="G798" s="69">
        <f>G799</f>
        <v>183800</v>
      </c>
      <c r="H798" s="69">
        <f>H799</f>
        <v>183800</v>
      </c>
      <c r="I798" s="1"/>
    </row>
    <row r="799" spans="1:19" ht="19.5" customHeight="1">
      <c r="A799" s="16" t="s">
        <v>32</v>
      </c>
      <c r="B799" s="14">
        <v>757</v>
      </c>
      <c r="C799" s="15" t="s">
        <v>44</v>
      </c>
      <c r="D799" s="15" t="s">
        <v>19</v>
      </c>
      <c r="E799" s="15" t="s">
        <v>852</v>
      </c>
      <c r="F799" s="15" t="s">
        <v>33</v>
      </c>
      <c r="G799" s="69">
        <f>'прил 5,'!G274</f>
        <v>183800</v>
      </c>
      <c r="H799" s="69">
        <f>'прил 5,'!H274</f>
        <v>183800</v>
      </c>
      <c r="I799" s="1"/>
    </row>
    <row r="800" spans="1:19" ht="25.5">
      <c r="A800" s="16" t="s">
        <v>855</v>
      </c>
      <c r="B800" s="14">
        <v>757</v>
      </c>
      <c r="C800" s="15" t="s">
        <v>44</v>
      </c>
      <c r="D800" s="15" t="s">
        <v>19</v>
      </c>
      <c r="E800" s="15" t="s">
        <v>854</v>
      </c>
      <c r="F800" s="15"/>
      <c r="G800" s="69">
        <f>G801</f>
        <v>211040</v>
      </c>
      <c r="H800" s="69">
        <f t="shared" ref="H800" si="217">H801</f>
        <v>211040</v>
      </c>
      <c r="I800" s="1"/>
    </row>
    <row r="801" spans="1:9" ht="25.5">
      <c r="A801" s="16" t="s">
        <v>30</v>
      </c>
      <c r="B801" s="14">
        <v>757</v>
      </c>
      <c r="C801" s="15" t="s">
        <v>44</v>
      </c>
      <c r="D801" s="15" t="s">
        <v>19</v>
      </c>
      <c r="E801" s="15" t="s">
        <v>854</v>
      </c>
      <c r="F801" s="15" t="s">
        <v>31</v>
      </c>
      <c r="G801" s="69">
        <f>G802</f>
        <v>211040</v>
      </c>
      <c r="H801" s="69">
        <f>H802</f>
        <v>211040</v>
      </c>
      <c r="I801" s="1"/>
    </row>
    <row r="802" spans="1:9" ht="19.5" customHeight="1">
      <c r="A802" s="16" t="s">
        <v>32</v>
      </c>
      <c r="B802" s="14">
        <v>757</v>
      </c>
      <c r="C802" s="15" t="s">
        <v>44</v>
      </c>
      <c r="D802" s="15" t="s">
        <v>19</v>
      </c>
      <c r="E802" s="15" t="s">
        <v>854</v>
      </c>
      <c r="F802" s="15" t="s">
        <v>33</v>
      </c>
      <c r="G802" s="69">
        <f>'прил 5,'!G277</f>
        <v>211040</v>
      </c>
      <c r="H802" s="69">
        <f>'прил 5,'!H277</f>
        <v>211040</v>
      </c>
      <c r="I802" s="1"/>
    </row>
    <row r="803" spans="1:9" ht="38.25">
      <c r="A803" s="16" t="s">
        <v>857</v>
      </c>
      <c r="B803" s="14">
        <v>757</v>
      </c>
      <c r="C803" s="15" t="s">
        <v>44</v>
      </c>
      <c r="D803" s="15" t="s">
        <v>19</v>
      </c>
      <c r="E803" s="15" t="s">
        <v>856</v>
      </c>
      <c r="F803" s="15"/>
      <c r="G803" s="69">
        <f>G804</f>
        <v>341866</v>
      </c>
      <c r="H803" s="69">
        <f t="shared" ref="H803" si="218">H804</f>
        <v>341866</v>
      </c>
      <c r="I803" s="1"/>
    </row>
    <row r="804" spans="1:9" ht="25.5">
      <c r="A804" s="16" t="s">
        <v>30</v>
      </c>
      <c r="B804" s="14">
        <v>757</v>
      </c>
      <c r="C804" s="15" t="s">
        <v>44</v>
      </c>
      <c r="D804" s="15" t="s">
        <v>19</v>
      </c>
      <c r="E804" s="15" t="s">
        <v>856</v>
      </c>
      <c r="F804" s="15" t="s">
        <v>31</v>
      </c>
      <c r="G804" s="69">
        <f>G805</f>
        <v>341866</v>
      </c>
      <c r="H804" s="69">
        <f>H805</f>
        <v>341866</v>
      </c>
      <c r="I804" s="1"/>
    </row>
    <row r="805" spans="1:9" ht="19.5" customHeight="1">
      <c r="A805" s="16" t="s">
        <v>32</v>
      </c>
      <c r="B805" s="14">
        <v>757</v>
      </c>
      <c r="C805" s="15" t="s">
        <v>44</v>
      </c>
      <c r="D805" s="15" t="s">
        <v>19</v>
      </c>
      <c r="E805" s="15" t="s">
        <v>856</v>
      </c>
      <c r="F805" s="15" t="s">
        <v>33</v>
      </c>
      <c r="G805" s="69">
        <v>341866</v>
      </c>
      <c r="H805" s="69">
        <v>341866</v>
      </c>
      <c r="I805" s="1"/>
    </row>
    <row r="806" spans="1:9" ht="36" customHeight="1">
      <c r="A806" s="16" t="s">
        <v>1018</v>
      </c>
      <c r="B806" s="14">
        <v>757</v>
      </c>
      <c r="C806" s="15" t="s">
        <v>44</v>
      </c>
      <c r="D806" s="15" t="s">
        <v>19</v>
      </c>
      <c r="E806" s="15" t="s">
        <v>858</v>
      </c>
      <c r="F806" s="15"/>
      <c r="G806" s="69">
        <f>G807</f>
        <v>32000</v>
      </c>
      <c r="H806" s="69">
        <f t="shared" ref="H806" si="219">H807</f>
        <v>32000</v>
      </c>
      <c r="I806" s="1"/>
    </row>
    <row r="807" spans="1:9" ht="25.5">
      <c r="A807" s="16" t="s">
        <v>30</v>
      </c>
      <c r="B807" s="14">
        <v>757</v>
      </c>
      <c r="C807" s="15" t="s">
        <v>44</v>
      </c>
      <c r="D807" s="15" t="s">
        <v>19</v>
      </c>
      <c r="E807" s="15" t="s">
        <v>858</v>
      </c>
      <c r="F807" s="15" t="s">
        <v>31</v>
      </c>
      <c r="G807" s="69">
        <f>G808</f>
        <v>32000</v>
      </c>
      <c r="H807" s="69">
        <f>H808</f>
        <v>32000</v>
      </c>
      <c r="I807" s="1"/>
    </row>
    <row r="808" spans="1:9" ht="19.5" customHeight="1">
      <c r="A808" s="16" t="s">
        <v>32</v>
      </c>
      <c r="B808" s="14">
        <v>757</v>
      </c>
      <c r="C808" s="15" t="s">
        <v>44</v>
      </c>
      <c r="D808" s="15" t="s">
        <v>19</v>
      </c>
      <c r="E808" s="15" t="s">
        <v>858</v>
      </c>
      <c r="F808" s="15" t="s">
        <v>33</v>
      </c>
      <c r="G808" s="69">
        <f>'прил 5,'!G283</f>
        <v>32000</v>
      </c>
      <c r="H808" s="69">
        <f>'прил 5,'!H283</f>
        <v>32000</v>
      </c>
      <c r="I808" s="1"/>
    </row>
    <row r="809" spans="1:9" ht="25.5">
      <c r="A809" s="16" t="s">
        <v>860</v>
      </c>
      <c r="B809" s="14">
        <v>757</v>
      </c>
      <c r="C809" s="15" t="s">
        <v>44</v>
      </c>
      <c r="D809" s="15" t="s">
        <v>19</v>
      </c>
      <c r="E809" s="15" t="s">
        <v>859</v>
      </c>
      <c r="F809" s="15"/>
      <c r="G809" s="69">
        <f>G810</f>
        <v>0</v>
      </c>
      <c r="H809" s="69">
        <f t="shared" ref="H809" si="220">H810</f>
        <v>0</v>
      </c>
      <c r="I809" s="1"/>
    </row>
    <row r="810" spans="1:9" ht="25.5">
      <c r="A810" s="16" t="s">
        <v>30</v>
      </c>
      <c r="B810" s="14">
        <v>757</v>
      </c>
      <c r="C810" s="15" t="s">
        <v>44</v>
      </c>
      <c r="D810" s="15" t="s">
        <v>19</v>
      </c>
      <c r="E810" s="15" t="s">
        <v>859</v>
      </c>
      <c r="F810" s="15" t="s">
        <v>31</v>
      </c>
      <c r="G810" s="69">
        <f>G811</f>
        <v>0</v>
      </c>
      <c r="H810" s="69">
        <f>H811</f>
        <v>0</v>
      </c>
      <c r="I810" s="1"/>
    </row>
    <row r="811" spans="1:9" ht="19.5" customHeight="1">
      <c r="A811" s="16" t="s">
        <v>32</v>
      </c>
      <c r="B811" s="14">
        <v>757</v>
      </c>
      <c r="C811" s="15" t="s">
        <v>44</v>
      </c>
      <c r="D811" s="15" t="s">
        <v>19</v>
      </c>
      <c r="E811" s="15" t="s">
        <v>859</v>
      </c>
      <c r="F811" s="15" t="s">
        <v>33</v>
      </c>
      <c r="G811" s="69">
        <f>'прил 5,'!G286</f>
        <v>0</v>
      </c>
      <c r="H811" s="69">
        <f>'прил 5,'!H286</f>
        <v>0</v>
      </c>
      <c r="I811" s="1"/>
    </row>
    <row r="812" spans="1:9" ht="25.5">
      <c r="A812" s="16" t="s">
        <v>849</v>
      </c>
      <c r="B812" s="14">
        <v>757</v>
      </c>
      <c r="C812" s="15" t="s">
        <v>26</v>
      </c>
      <c r="D812" s="15" t="s">
        <v>70</v>
      </c>
      <c r="E812" s="15" t="s">
        <v>861</v>
      </c>
      <c r="F812" s="15"/>
      <c r="G812" s="69">
        <f>G813</f>
        <v>611472.11</v>
      </c>
      <c r="H812" s="69">
        <f t="shared" ref="H812" si="221">H813</f>
        <v>611472.11</v>
      </c>
      <c r="I812" s="1"/>
    </row>
    <row r="813" spans="1:9" ht="25.5">
      <c r="A813" s="16" t="s">
        <v>30</v>
      </c>
      <c r="B813" s="14">
        <v>757</v>
      </c>
      <c r="C813" s="15" t="s">
        <v>26</v>
      </c>
      <c r="D813" s="15" t="s">
        <v>70</v>
      </c>
      <c r="E813" s="15" t="s">
        <v>861</v>
      </c>
      <c r="F813" s="15" t="s">
        <v>31</v>
      </c>
      <c r="G813" s="69">
        <f>G814</f>
        <v>611472.11</v>
      </c>
      <c r="H813" s="69">
        <f>H814</f>
        <v>611472.11</v>
      </c>
      <c r="I813" s="1"/>
    </row>
    <row r="814" spans="1:9" ht="19.5" customHeight="1">
      <c r="A814" s="16" t="s">
        <v>32</v>
      </c>
      <c r="B814" s="14">
        <v>757</v>
      </c>
      <c r="C814" s="15" t="s">
        <v>26</v>
      </c>
      <c r="D814" s="15" t="s">
        <v>70</v>
      </c>
      <c r="E814" s="15" t="s">
        <v>861</v>
      </c>
      <c r="F814" s="15" t="s">
        <v>33</v>
      </c>
      <c r="G814" s="69">
        <f>'прил 5,'!G37+'прил 5,'!G262</f>
        <v>611472.11</v>
      </c>
      <c r="H814" s="69">
        <f>'прил 5,'!H37+'прил 5,'!H262</f>
        <v>611472.11</v>
      </c>
      <c r="I814" s="1"/>
    </row>
    <row r="815" spans="1:9" ht="25.5">
      <c r="A815" s="16" t="s">
        <v>864</v>
      </c>
      <c r="B815" s="14">
        <v>757</v>
      </c>
      <c r="C815" s="15" t="s">
        <v>44</v>
      </c>
      <c r="D815" s="15" t="s">
        <v>19</v>
      </c>
      <c r="E815" s="15" t="s">
        <v>863</v>
      </c>
      <c r="F815" s="15"/>
      <c r="G815" s="69">
        <f>G816</f>
        <v>33000</v>
      </c>
      <c r="H815" s="69">
        <f t="shared" ref="H815" si="222">H816</f>
        <v>33000</v>
      </c>
      <c r="I815" s="1"/>
    </row>
    <row r="816" spans="1:9" ht="25.5">
      <c r="A816" s="16" t="s">
        <v>30</v>
      </c>
      <c r="B816" s="14">
        <v>757</v>
      </c>
      <c r="C816" s="15" t="s">
        <v>44</v>
      </c>
      <c r="D816" s="15" t="s">
        <v>19</v>
      </c>
      <c r="E816" s="15" t="s">
        <v>863</v>
      </c>
      <c r="F816" s="15" t="s">
        <v>31</v>
      </c>
      <c r="G816" s="69">
        <f>G817</f>
        <v>33000</v>
      </c>
      <c r="H816" s="69">
        <f>H817</f>
        <v>33000</v>
      </c>
      <c r="I816" s="1"/>
    </row>
    <row r="817" spans="1:19" ht="19.5" customHeight="1">
      <c r="A817" s="16" t="s">
        <v>32</v>
      </c>
      <c r="B817" s="14">
        <v>757</v>
      </c>
      <c r="C817" s="15" t="s">
        <v>44</v>
      </c>
      <c r="D817" s="15" t="s">
        <v>19</v>
      </c>
      <c r="E817" s="15" t="s">
        <v>863</v>
      </c>
      <c r="F817" s="15" t="s">
        <v>33</v>
      </c>
      <c r="G817" s="69">
        <f>'прил 5,'!G289</f>
        <v>33000</v>
      </c>
      <c r="H817" s="69">
        <f>'прил 5,'!H289</f>
        <v>33000</v>
      </c>
      <c r="I817" s="1"/>
    </row>
    <row r="818" spans="1:19" s="89" customFormat="1" ht="37.5" hidden="1" customHeight="1">
      <c r="A818" s="81" t="s">
        <v>1069</v>
      </c>
      <c r="B818" s="145">
        <v>757</v>
      </c>
      <c r="C818" s="83" t="s">
        <v>44</v>
      </c>
      <c r="D818" s="83" t="s">
        <v>19</v>
      </c>
      <c r="E818" s="83" t="s">
        <v>865</v>
      </c>
      <c r="F818" s="83"/>
      <c r="G818" s="86">
        <f>G819</f>
        <v>0</v>
      </c>
      <c r="H818" s="86">
        <f t="shared" ref="H818" si="223">H819</f>
        <v>0</v>
      </c>
      <c r="O818" s="122"/>
      <c r="P818" s="122"/>
      <c r="Q818" s="122"/>
      <c r="R818" s="122"/>
      <c r="S818" s="122"/>
    </row>
    <row r="819" spans="1:19" s="89" customFormat="1" ht="28.5" hidden="1" customHeight="1">
      <c r="A819" s="81" t="s">
        <v>30</v>
      </c>
      <c r="B819" s="145">
        <v>757</v>
      </c>
      <c r="C819" s="83" t="s">
        <v>44</v>
      </c>
      <c r="D819" s="83" t="s">
        <v>19</v>
      </c>
      <c r="E819" s="83" t="s">
        <v>865</v>
      </c>
      <c r="F819" s="83" t="s">
        <v>31</v>
      </c>
      <c r="G819" s="86">
        <f>G820</f>
        <v>0</v>
      </c>
      <c r="H819" s="86">
        <f>H820</f>
        <v>0</v>
      </c>
      <c r="O819" s="122"/>
      <c r="P819" s="122"/>
      <c r="Q819" s="122"/>
      <c r="R819" s="122"/>
      <c r="S819" s="122"/>
    </row>
    <row r="820" spans="1:19" s="89" customFormat="1" ht="19.5" hidden="1" customHeight="1">
      <c r="A820" s="81" t="s">
        <v>32</v>
      </c>
      <c r="B820" s="145">
        <v>757</v>
      </c>
      <c r="C820" s="83" t="s">
        <v>44</v>
      </c>
      <c r="D820" s="83" t="s">
        <v>19</v>
      </c>
      <c r="E820" s="83" t="s">
        <v>865</v>
      </c>
      <c r="F820" s="83" t="s">
        <v>33</v>
      </c>
      <c r="G820" s="86"/>
      <c r="H820" s="86">
        <v>0</v>
      </c>
      <c r="O820" s="122"/>
      <c r="P820" s="122"/>
      <c r="Q820" s="122"/>
      <c r="R820" s="122"/>
      <c r="S820" s="122"/>
    </row>
    <row r="821" spans="1:19" s="89" customFormat="1" ht="71.25" customHeight="1">
      <c r="A821" s="81" t="s">
        <v>957</v>
      </c>
      <c r="B821" s="145">
        <v>757</v>
      </c>
      <c r="C821" s="83" t="s">
        <v>44</v>
      </c>
      <c r="D821" s="83" t="s">
        <v>19</v>
      </c>
      <c r="E821" s="83" t="s">
        <v>956</v>
      </c>
      <c r="F821" s="83"/>
      <c r="G821" s="86">
        <f>G822</f>
        <v>40000</v>
      </c>
      <c r="H821" s="86">
        <f t="shared" ref="H821" si="224">H822</f>
        <v>40000</v>
      </c>
      <c r="I821" s="171"/>
      <c r="J821" s="177"/>
      <c r="K821" s="177"/>
      <c r="L821" s="177"/>
      <c r="M821" s="177"/>
      <c r="N821" s="177"/>
      <c r="O821" s="177"/>
      <c r="P821" s="177"/>
      <c r="Q821" s="177"/>
    </row>
    <row r="822" spans="1:19" s="89" customFormat="1" ht="25.5">
      <c r="A822" s="81" t="s">
        <v>30</v>
      </c>
      <c r="B822" s="145">
        <v>757</v>
      </c>
      <c r="C822" s="83" t="s">
        <v>44</v>
      </c>
      <c r="D822" s="83" t="s">
        <v>19</v>
      </c>
      <c r="E822" s="83" t="s">
        <v>956</v>
      </c>
      <c r="F822" s="83" t="s">
        <v>31</v>
      </c>
      <c r="G822" s="86">
        <f>G823</f>
        <v>40000</v>
      </c>
      <c r="H822" s="86">
        <f>H823</f>
        <v>40000</v>
      </c>
      <c r="I822" s="171"/>
      <c r="J822" s="177"/>
      <c r="K822" s="177"/>
      <c r="L822" s="177"/>
      <c r="M822" s="177"/>
      <c r="N822" s="177"/>
      <c r="O822" s="177"/>
      <c r="P822" s="177"/>
      <c r="Q822" s="177"/>
    </row>
    <row r="823" spans="1:19" s="89" customFormat="1" ht="19.5" customHeight="1">
      <c r="A823" s="81" t="s">
        <v>32</v>
      </c>
      <c r="B823" s="145">
        <v>757</v>
      </c>
      <c r="C823" s="83" t="s">
        <v>44</v>
      </c>
      <c r="D823" s="83" t="s">
        <v>19</v>
      </c>
      <c r="E823" s="83" t="s">
        <v>956</v>
      </c>
      <c r="F823" s="83" t="s">
        <v>33</v>
      </c>
      <c r="G823" s="86">
        <f>'прил 5,'!G295</f>
        <v>40000</v>
      </c>
      <c r="H823" s="86">
        <f>'прил 5,'!H295</f>
        <v>40000</v>
      </c>
      <c r="I823" s="171"/>
      <c r="J823" s="177"/>
      <c r="K823" s="177"/>
      <c r="L823" s="177"/>
      <c r="M823" s="177"/>
      <c r="N823" s="177"/>
      <c r="O823" s="177"/>
      <c r="P823" s="177"/>
      <c r="Q823" s="177"/>
    </row>
    <row r="824" spans="1:19" s="89" customFormat="1" ht="38.25" hidden="1">
      <c r="A824" s="81" t="s">
        <v>853</v>
      </c>
      <c r="B824" s="145">
        <v>757</v>
      </c>
      <c r="C824" s="83" t="s">
        <v>44</v>
      </c>
      <c r="D824" s="83" t="s">
        <v>19</v>
      </c>
      <c r="E824" s="83" t="s">
        <v>865</v>
      </c>
      <c r="F824" s="83"/>
      <c r="G824" s="86">
        <f>G825</f>
        <v>0</v>
      </c>
      <c r="H824" s="86">
        <f t="shared" ref="H824" si="225">H825</f>
        <v>0</v>
      </c>
      <c r="O824" s="122"/>
      <c r="P824" s="122"/>
      <c r="Q824" s="122"/>
      <c r="R824" s="122"/>
      <c r="S824" s="122"/>
    </row>
    <row r="825" spans="1:19" s="89" customFormat="1" ht="25.5" hidden="1">
      <c r="A825" s="81" t="s">
        <v>30</v>
      </c>
      <c r="B825" s="145">
        <v>757</v>
      </c>
      <c r="C825" s="83" t="s">
        <v>44</v>
      </c>
      <c r="D825" s="83" t="s">
        <v>19</v>
      </c>
      <c r="E825" s="83" t="s">
        <v>865</v>
      </c>
      <c r="F825" s="83" t="s">
        <v>31</v>
      </c>
      <c r="G825" s="86">
        <f>G826</f>
        <v>0</v>
      </c>
      <c r="H825" s="86">
        <f>H826</f>
        <v>0</v>
      </c>
      <c r="O825" s="122"/>
      <c r="P825" s="122"/>
      <c r="Q825" s="122"/>
      <c r="R825" s="122"/>
      <c r="S825" s="122"/>
    </row>
    <row r="826" spans="1:19" s="89" customFormat="1" ht="19.5" hidden="1" customHeight="1">
      <c r="A826" s="81" t="s">
        <v>32</v>
      </c>
      <c r="B826" s="145">
        <v>757</v>
      </c>
      <c r="C826" s="83" t="s">
        <v>44</v>
      </c>
      <c r="D826" s="83" t="s">
        <v>19</v>
      </c>
      <c r="E826" s="83" t="s">
        <v>865</v>
      </c>
      <c r="F826" s="83" t="s">
        <v>33</v>
      </c>
      <c r="G826" s="86"/>
      <c r="H826" s="86">
        <v>0</v>
      </c>
      <c r="O826" s="122"/>
      <c r="P826" s="122"/>
      <c r="Q826" s="122"/>
      <c r="R826" s="122"/>
      <c r="S826" s="122"/>
    </row>
    <row r="827" spans="1:19" s="89" customFormat="1" ht="42" customHeight="1">
      <c r="A827" s="81" t="s">
        <v>1069</v>
      </c>
      <c r="B827" s="145">
        <v>757</v>
      </c>
      <c r="C827" s="83" t="s">
        <v>44</v>
      </c>
      <c r="D827" s="83" t="s">
        <v>19</v>
      </c>
      <c r="E827" s="83" t="s">
        <v>1068</v>
      </c>
      <c r="F827" s="83"/>
      <c r="G827" s="86">
        <f>G828</f>
        <v>249623.69</v>
      </c>
      <c r="H827" s="86">
        <f t="shared" ref="H827" si="226">H828</f>
        <v>249623.69</v>
      </c>
      <c r="I827" s="171"/>
      <c r="J827" s="177"/>
      <c r="K827" s="177"/>
      <c r="L827" s="177"/>
      <c r="M827" s="177"/>
      <c r="N827" s="177"/>
      <c r="O827" s="177"/>
      <c r="P827" s="177"/>
      <c r="Q827" s="177"/>
    </row>
    <row r="828" spans="1:19" s="89" customFormat="1" ht="25.5">
      <c r="A828" s="81" t="s">
        <v>30</v>
      </c>
      <c r="B828" s="145">
        <v>757</v>
      </c>
      <c r="C828" s="83" t="s">
        <v>44</v>
      </c>
      <c r="D828" s="83" t="s">
        <v>19</v>
      </c>
      <c r="E828" s="83" t="s">
        <v>1068</v>
      </c>
      <c r="F828" s="83" t="s">
        <v>31</v>
      </c>
      <c r="G828" s="86">
        <f>G829</f>
        <v>249623.69</v>
      </c>
      <c r="H828" s="86">
        <f>H829</f>
        <v>249623.69</v>
      </c>
      <c r="I828" s="171"/>
      <c r="J828" s="177"/>
      <c r="K828" s="177"/>
      <c r="L828" s="177"/>
      <c r="M828" s="177"/>
      <c r="N828" s="177"/>
      <c r="O828" s="177"/>
      <c r="P828" s="177"/>
      <c r="Q828" s="177"/>
    </row>
    <row r="829" spans="1:19" s="89" customFormat="1" ht="19.5" customHeight="1">
      <c r="A829" s="81" t="s">
        <v>32</v>
      </c>
      <c r="B829" s="145">
        <v>757</v>
      </c>
      <c r="C829" s="83" t="s">
        <v>44</v>
      </c>
      <c r="D829" s="83" t="s">
        <v>19</v>
      </c>
      <c r="E829" s="83" t="s">
        <v>1068</v>
      </c>
      <c r="F829" s="83" t="s">
        <v>33</v>
      </c>
      <c r="G829" s="86">
        <f>'прил 5,'!G298</f>
        <v>249623.69</v>
      </c>
      <c r="H829" s="86">
        <f>'прил 5,'!H298</f>
        <v>249623.69</v>
      </c>
      <c r="I829" s="171"/>
      <c r="J829" s="177"/>
      <c r="K829" s="177"/>
      <c r="L829" s="177"/>
      <c r="M829" s="177"/>
      <c r="N829" s="177"/>
      <c r="O829" s="177"/>
      <c r="P829" s="177"/>
      <c r="Q829" s="177"/>
    </row>
    <row r="830" spans="1:19" s="89" customFormat="1" ht="42" customHeight="1">
      <c r="A830" s="81" t="s">
        <v>1076</v>
      </c>
      <c r="B830" s="145">
        <v>757</v>
      </c>
      <c r="C830" s="83" t="s">
        <v>44</v>
      </c>
      <c r="D830" s="83" t="s">
        <v>19</v>
      </c>
      <c r="E830" s="83" t="s">
        <v>1070</v>
      </c>
      <c r="F830" s="83"/>
      <c r="G830" s="86">
        <f>G831</f>
        <v>0</v>
      </c>
      <c r="H830" s="86">
        <f t="shared" ref="H830" si="227">H831</f>
        <v>0</v>
      </c>
      <c r="I830" s="171"/>
      <c r="J830" s="177"/>
      <c r="K830" s="177"/>
      <c r="L830" s="177"/>
      <c r="M830" s="177"/>
      <c r="N830" s="177"/>
      <c r="O830" s="177"/>
      <c r="P830" s="177"/>
      <c r="Q830" s="177"/>
    </row>
    <row r="831" spans="1:19" s="89" customFormat="1" ht="25.5">
      <c r="A831" s="81" t="s">
        <v>30</v>
      </c>
      <c r="B831" s="145">
        <v>757</v>
      </c>
      <c r="C831" s="83" t="s">
        <v>44</v>
      </c>
      <c r="D831" s="83" t="s">
        <v>19</v>
      </c>
      <c r="E831" s="83" t="s">
        <v>1070</v>
      </c>
      <c r="F831" s="83" t="s">
        <v>31</v>
      </c>
      <c r="G831" s="86">
        <f>G832</f>
        <v>0</v>
      </c>
      <c r="H831" s="86">
        <f>H832</f>
        <v>0</v>
      </c>
      <c r="I831" s="171"/>
      <c r="J831" s="177"/>
      <c r="K831" s="177"/>
      <c r="L831" s="177"/>
      <c r="M831" s="177"/>
      <c r="N831" s="177"/>
      <c r="O831" s="177"/>
      <c r="P831" s="177"/>
      <c r="Q831" s="177"/>
    </row>
    <row r="832" spans="1:19" s="89" customFormat="1" ht="19.5" customHeight="1">
      <c r="A832" s="81" t="s">
        <v>32</v>
      </c>
      <c r="B832" s="145">
        <v>757</v>
      </c>
      <c r="C832" s="83" t="s">
        <v>44</v>
      </c>
      <c r="D832" s="83" t="s">
        <v>19</v>
      </c>
      <c r="E832" s="83" t="s">
        <v>1070</v>
      </c>
      <c r="F832" s="83" t="s">
        <v>33</v>
      </c>
      <c r="G832" s="86"/>
      <c r="H832" s="86">
        <v>0</v>
      </c>
      <c r="I832" s="171"/>
      <c r="J832" s="177"/>
      <c r="K832" s="177"/>
      <c r="L832" s="177"/>
      <c r="M832" s="177"/>
      <c r="N832" s="177"/>
      <c r="O832" s="177"/>
      <c r="P832" s="177"/>
      <c r="Q832" s="177"/>
    </row>
    <row r="833" spans="1:17" s="89" customFormat="1" ht="42" customHeight="1">
      <c r="A833" s="81" t="s">
        <v>1072</v>
      </c>
      <c r="B833" s="145">
        <v>757</v>
      </c>
      <c r="C833" s="83" t="s">
        <v>44</v>
      </c>
      <c r="D833" s="83" t="s">
        <v>19</v>
      </c>
      <c r="E833" s="83" t="s">
        <v>1071</v>
      </c>
      <c r="F833" s="83"/>
      <c r="G833" s="86">
        <f>G834</f>
        <v>0</v>
      </c>
      <c r="H833" s="86">
        <f t="shared" ref="H833" si="228">H834</f>
        <v>0</v>
      </c>
      <c r="I833" s="171"/>
      <c r="J833" s="177"/>
      <c r="K833" s="177"/>
      <c r="L833" s="177"/>
      <c r="M833" s="177"/>
      <c r="N833" s="177"/>
      <c r="O833" s="177"/>
      <c r="P833" s="177"/>
      <c r="Q833" s="177"/>
    </row>
    <row r="834" spans="1:17" s="89" customFormat="1" ht="25.5">
      <c r="A834" s="81" t="s">
        <v>30</v>
      </c>
      <c r="B834" s="145">
        <v>757</v>
      </c>
      <c r="C834" s="83" t="s">
        <v>44</v>
      </c>
      <c r="D834" s="83" t="s">
        <v>19</v>
      </c>
      <c r="E834" s="83" t="s">
        <v>1071</v>
      </c>
      <c r="F834" s="83" t="s">
        <v>31</v>
      </c>
      <c r="G834" s="86">
        <f>G835</f>
        <v>0</v>
      </c>
      <c r="H834" s="86">
        <f>H835</f>
        <v>0</v>
      </c>
      <c r="I834" s="171"/>
      <c r="J834" s="177"/>
      <c r="K834" s="177"/>
      <c r="L834" s="177"/>
      <c r="M834" s="177"/>
      <c r="N834" s="177"/>
      <c r="O834" s="177"/>
      <c r="P834" s="177"/>
      <c r="Q834" s="177"/>
    </row>
    <row r="835" spans="1:17" s="89" customFormat="1" ht="19.5" customHeight="1">
      <c r="A835" s="81" t="s">
        <v>32</v>
      </c>
      <c r="B835" s="145">
        <v>757</v>
      </c>
      <c r="C835" s="83" t="s">
        <v>44</v>
      </c>
      <c r="D835" s="83" t="s">
        <v>19</v>
      </c>
      <c r="E835" s="83" t="s">
        <v>1071</v>
      </c>
      <c r="F835" s="83" t="s">
        <v>33</v>
      </c>
      <c r="G835" s="86">
        <v>0</v>
      </c>
      <c r="H835" s="86">
        <f>'прил 5,'!H304</f>
        <v>0</v>
      </c>
      <c r="I835" s="171"/>
      <c r="J835" s="177"/>
      <c r="K835" s="177"/>
      <c r="L835" s="177"/>
      <c r="M835" s="177"/>
      <c r="N835" s="177"/>
      <c r="O835" s="177"/>
      <c r="P835" s="177"/>
      <c r="Q835" s="177"/>
    </row>
    <row r="836" spans="1:17" s="89" customFormat="1" ht="42" customHeight="1">
      <c r="A836" s="81" t="s">
        <v>1074</v>
      </c>
      <c r="B836" s="145">
        <v>757</v>
      </c>
      <c r="C836" s="83" t="s">
        <v>44</v>
      </c>
      <c r="D836" s="83" t="s">
        <v>19</v>
      </c>
      <c r="E836" s="83" t="s">
        <v>1075</v>
      </c>
      <c r="F836" s="83"/>
      <c r="G836" s="86">
        <f>G837</f>
        <v>60980</v>
      </c>
      <c r="H836" s="86">
        <f t="shared" ref="H836" si="229">H837</f>
        <v>60980</v>
      </c>
      <c r="I836" s="171"/>
      <c r="J836" s="177"/>
      <c r="K836" s="177"/>
      <c r="L836" s="177"/>
      <c r="M836" s="177"/>
      <c r="N836" s="177"/>
      <c r="O836" s="177"/>
      <c r="P836" s="177"/>
      <c r="Q836" s="177"/>
    </row>
    <row r="837" spans="1:17" s="89" customFormat="1" ht="25.5">
      <c r="A837" s="81" t="s">
        <v>30</v>
      </c>
      <c r="B837" s="145">
        <v>757</v>
      </c>
      <c r="C837" s="83" t="s">
        <v>44</v>
      </c>
      <c r="D837" s="83" t="s">
        <v>19</v>
      </c>
      <c r="E837" s="83" t="s">
        <v>1075</v>
      </c>
      <c r="F837" s="83" t="s">
        <v>31</v>
      </c>
      <c r="G837" s="86">
        <f>G838</f>
        <v>60980</v>
      </c>
      <c r="H837" s="86">
        <f>H838</f>
        <v>60980</v>
      </c>
      <c r="I837" s="171"/>
      <c r="J837" s="177"/>
      <c r="K837" s="177"/>
      <c r="L837" s="177"/>
      <c r="M837" s="177"/>
      <c r="N837" s="177"/>
      <c r="O837" s="177"/>
      <c r="P837" s="177"/>
      <c r="Q837" s="177"/>
    </row>
    <row r="838" spans="1:17" s="89" customFormat="1" ht="19.5" customHeight="1">
      <c r="A838" s="81" t="s">
        <v>32</v>
      </c>
      <c r="B838" s="145">
        <v>757</v>
      </c>
      <c r="C838" s="83" t="s">
        <v>44</v>
      </c>
      <c r="D838" s="83" t="s">
        <v>19</v>
      </c>
      <c r="E838" s="83" t="s">
        <v>1075</v>
      </c>
      <c r="F838" s="83" t="s">
        <v>33</v>
      </c>
      <c r="G838" s="86">
        <f>'прил 5,'!G307</f>
        <v>60980</v>
      </c>
      <c r="H838" s="86">
        <f>'прил 5,'!H307</f>
        <v>60980</v>
      </c>
      <c r="I838" s="171"/>
      <c r="J838" s="177"/>
      <c r="K838" s="177"/>
      <c r="L838" s="177"/>
      <c r="M838" s="177"/>
      <c r="N838" s="177"/>
      <c r="O838" s="177"/>
      <c r="P838" s="177"/>
      <c r="Q838" s="177"/>
    </row>
    <row r="839" spans="1:17" s="89" customFormat="1" ht="35.25" customHeight="1">
      <c r="A839" s="81" t="s">
        <v>1109</v>
      </c>
      <c r="B839" s="145">
        <v>757</v>
      </c>
      <c r="C839" s="83" t="s">
        <v>44</v>
      </c>
      <c r="D839" s="83" t="s">
        <v>19</v>
      </c>
      <c r="E839" s="83" t="s">
        <v>1108</v>
      </c>
      <c r="F839" s="83"/>
      <c r="G839" s="86">
        <f>G840</f>
        <v>76345</v>
      </c>
      <c r="H839" s="86">
        <f t="shared" ref="H839" si="230">H840</f>
        <v>76345</v>
      </c>
      <c r="I839" s="171"/>
      <c r="J839" s="177"/>
      <c r="K839" s="177"/>
      <c r="L839" s="177"/>
      <c r="M839" s="177"/>
      <c r="N839" s="177"/>
      <c r="O839" s="177"/>
      <c r="P839" s="177"/>
      <c r="Q839" s="177"/>
    </row>
    <row r="840" spans="1:17" s="89" customFormat="1" ht="25.5">
      <c r="A840" s="81" t="s">
        <v>30</v>
      </c>
      <c r="B840" s="145">
        <v>757</v>
      </c>
      <c r="C840" s="83" t="s">
        <v>44</v>
      </c>
      <c r="D840" s="83" t="s">
        <v>19</v>
      </c>
      <c r="E840" s="83" t="s">
        <v>1108</v>
      </c>
      <c r="F840" s="83" t="s">
        <v>31</v>
      </c>
      <c r="G840" s="86">
        <f>G841</f>
        <v>76345</v>
      </c>
      <c r="H840" s="86">
        <f>H841</f>
        <v>76345</v>
      </c>
      <c r="I840" s="171"/>
      <c r="J840" s="177"/>
      <c r="K840" s="177"/>
      <c r="L840" s="177"/>
      <c r="M840" s="177"/>
      <c r="N840" s="177"/>
      <c r="O840" s="177"/>
      <c r="P840" s="177"/>
      <c r="Q840" s="177"/>
    </row>
    <row r="841" spans="1:17" s="89" customFormat="1" ht="19.5" customHeight="1">
      <c r="A841" s="81" t="s">
        <v>32</v>
      </c>
      <c r="B841" s="145">
        <v>757</v>
      </c>
      <c r="C841" s="83" t="s">
        <v>44</v>
      </c>
      <c r="D841" s="83" t="s">
        <v>19</v>
      </c>
      <c r="E841" s="83" t="s">
        <v>1108</v>
      </c>
      <c r="F841" s="83" t="s">
        <v>33</v>
      </c>
      <c r="G841" s="86">
        <f>'прил 5,'!G310</f>
        <v>76345</v>
      </c>
      <c r="H841" s="86">
        <f>'прил 5,'!H310</f>
        <v>76345</v>
      </c>
      <c r="I841" s="171"/>
      <c r="J841" s="177"/>
      <c r="K841" s="177"/>
      <c r="L841" s="177"/>
      <c r="M841" s="177"/>
      <c r="N841" s="177"/>
      <c r="O841" s="177"/>
      <c r="P841" s="177"/>
      <c r="Q841" s="177"/>
    </row>
    <row r="842" spans="1:17" s="89" customFormat="1" ht="42" customHeight="1">
      <c r="A842" s="81" t="s">
        <v>1095</v>
      </c>
      <c r="B842" s="145">
        <v>757</v>
      </c>
      <c r="C842" s="83" t="s">
        <v>44</v>
      </c>
      <c r="D842" s="83" t="s">
        <v>19</v>
      </c>
      <c r="E842" s="83" t="s">
        <v>1096</v>
      </c>
      <c r="F842" s="83"/>
      <c r="G842" s="86">
        <f>G843</f>
        <v>10000</v>
      </c>
      <c r="H842" s="86">
        <f t="shared" ref="H842" si="231">H843</f>
        <v>10000</v>
      </c>
      <c r="I842" s="171"/>
      <c r="J842" s="177"/>
      <c r="K842" s="177"/>
      <c r="L842" s="177"/>
      <c r="M842" s="177"/>
      <c r="N842" s="177"/>
      <c r="O842" s="177"/>
      <c r="P842" s="177"/>
      <c r="Q842" s="177"/>
    </row>
    <row r="843" spans="1:17" s="89" customFormat="1" ht="25.5">
      <c r="A843" s="81" t="s">
        <v>30</v>
      </c>
      <c r="B843" s="145">
        <v>757</v>
      </c>
      <c r="C843" s="83" t="s">
        <v>44</v>
      </c>
      <c r="D843" s="83" t="s">
        <v>19</v>
      </c>
      <c r="E843" s="83" t="s">
        <v>1096</v>
      </c>
      <c r="F843" s="83" t="s">
        <v>31</v>
      </c>
      <c r="G843" s="86">
        <f>G844</f>
        <v>10000</v>
      </c>
      <c r="H843" s="86">
        <f>H844</f>
        <v>10000</v>
      </c>
      <c r="I843" s="171"/>
      <c r="J843" s="177"/>
      <c r="K843" s="177"/>
      <c r="L843" s="177"/>
      <c r="M843" s="177"/>
      <c r="N843" s="177"/>
      <c r="O843" s="177"/>
      <c r="P843" s="177"/>
      <c r="Q843" s="177"/>
    </row>
    <row r="844" spans="1:17" s="89" customFormat="1" ht="19.5" customHeight="1">
      <c r="A844" s="81" t="s">
        <v>32</v>
      </c>
      <c r="B844" s="145">
        <v>757</v>
      </c>
      <c r="C844" s="83" t="s">
        <v>44</v>
      </c>
      <c r="D844" s="83" t="s">
        <v>19</v>
      </c>
      <c r="E844" s="83" t="s">
        <v>1096</v>
      </c>
      <c r="F844" s="83" t="s">
        <v>33</v>
      </c>
      <c r="G844" s="86">
        <f>'прил 5,'!G313</f>
        <v>10000</v>
      </c>
      <c r="H844" s="86">
        <f>'прил 5,'!H313</f>
        <v>10000</v>
      </c>
      <c r="I844" s="171"/>
      <c r="J844" s="177"/>
      <c r="K844" s="177"/>
      <c r="L844" s="177"/>
      <c r="M844" s="177"/>
      <c r="N844" s="177"/>
      <c r="O844" s="177"/>
      <c r="P844" s="177"/>
      <c r="Q844" s="177"/>
    </row>
    <row r="845" spans="1:17" ht="60" hidden="1" customHeight="1">
      <c r="A845" s="16" t="s">
        <v>663</v>
      </c>
      <c r="B845" s="14">
        <v>757</v>
      </c>
      <c r="C845" s="15" t="s">
        <v>26</v>
      </c>
      <c r="D845" s="15" t="s">
        <v>70</v>
      </c>
      <c r="E845" s="15" t="s">
        <v>664</v>
      </c>
      <c r="F845" s="15"/>
      <c r="G845" s="69">
        <f>G846</f>
        <v>0</v>
      </c>
      <c r="H845" s="69">
        <f t="shared" ref="H845:J846" si="232">H846</f>
        <v>0</v>
      </c>
      <c r="I845" s="1"/>
    </row>
    <row r="846" spans="1:17" ht="60" hidden="1" customHeight="1">
      <c r="A846" s="16" t="s">
        <v>30</v>
      </c>
      <c r="B846" s="14">
        <v>757</v>
      </c>
      <c r="C846" s="15" t="s">
        <v>26</v>
      </c>
      <c r="D846" s="15" t="s">
        <v>70</v>
      </c>
      <c r="E846" s="15" t="s">
        <v>664</v>
      </c>
      <c r="F846" s="15" t="s">
        <v>31</v>
      </c>
      <c r="G846" s="69">
        <f>G847</f>
        <v>0</v>
      </c>
      <c r="H846" s="69">
        <f t="shared" si="232"/>
        <v>0</v>
      </c>
      <c r="I846" s="69">
        <f t="shared" si="232"/>
        <v>0</v>
      </c>
      <c r="J846" s="69">
        <f t="shared" si="232"/>
        <v>0</v>
      </c>
    </row>
    <row r="847" spans="1:17" ht="60" hidden="1" customHeight="1">
      <c r="A847" s="16" t="s">
        <v>32</v>
      </c>
      <c r="B847" s="14">
        <v>757</v>
      </c>
      <c r="C847" s="15" t="s">
        <v>26</v>
      </c>
      <c r="D847" s="15" t="s">
        <v>70</v>
      </c>
      <c r="E847" s="15" t="s">
        <v>664</v>
      </c>
      <c r="F847" s="15" t="s">
        <v>33</v>
      </c>
      <c r="G847" s="69"/>
      <c r="H847" s="69"/>
      <c r="I847" s="1"/>
    </row>
    <row r="848" spans="1:17" ht="36" hidden="1" customHeight="1">
      <c r="A848" s="16" t="s">
        <v>539</v>
      </c>
      <c r="B848" s="14">
        <v>757</v>
      </c>
      <c r="C848" s="15" t="s">
        <v>26</v>
      </c>
      <c r="D848" s="15" t="s">
        <v>70</v>
      </c>
      <c r="E848" s="15" t="s">
        <v>540</v>
      </c>
      <c r="F848" s="15"/>
      <c r="G848" s="86">
        <f>G850</f>
        <v>0</v>
      </c>
      <c r="H848" s="8">
        <v>0</v>
      </c>
      <c r="I848" s="1"/>
    </row>
    <row r="849" spans="1:17" ht="36" hidden="1" customHeight="1">
      <c r="A849" s="16" t="s">
        <v>30</v>
      </c>
      <c r="B849" s="14">
        <v>757</v>
      </c>
      <c r="C849" s="15" t="s">
        <v>26</v>
      </c>
      <c r="D849" s="15" t="s">
        <v>70</v>
      </c>
      <c r="E849" s="15" t="s">
        <v>540</v>
      </c>
      <c r="F849" s="15" t="s">
        <v>31</v>
      </c>
      <c r="G849" s="86">
        <f>G850</f>
        <v>0</v>
      </c>
      <c r="H849" s="8">
        <v>0</v>
      </c>
      <c r="I849" s="1"/>
    </row>
    <row r="850" spans="1:17" ht="19.5" hidden="1" customHeight="1">
      <c r="A850" s="16" t="s">
        <v>32</v>
      </c>
      <c r="B850" s="14">
        <v>757</v>
      </c>
      <c r="C850" s="15" t="s">
        <v>26</v>
      </c>
      <c r="D850" s="15" t="s">
        <v>70</v>
      </c>
      <c r="E850" s="15" t="s">
        <v>540</v>
      </c>
      <c r="F850" s="15" t="s">
        <v>33</v>
      </c>
      <c r="G850" s="86">
        <f>'прил 5,'!G43+'прил 5,'!G210</f>
        <v>0</v>
      </c>
      <c r="H850" s="8">
        <v>0</v>
      </c>
      <c r="I850" s="1"/>
    </row>
    <row r="851" spans="1:17" ht="48" hidden="1" customHeight="1">
      <c r="A851" s="79" t="s">
        <v>604</v>
      </c>
      <c r="B851" s="14">
        <v>757</v>
      </c>
      <c r="C851" s="15" t="s">
        <v>44</v>
      </c>
      <c r="D851" s="15" t="s">
        <v>19</v>
      </c>
      <c r="E851" s="15" t="s">
        <v>603</v>
      </c>
      <c r="F851" s="14"/>
      <c r="G851" s="86">
        <f t="shared" ref="G851:H852" si="233">G852</f>
        <v>0</v>
      </c>
      <c r="H851" s="69">
        <f t="shared" si="233"/>
        <v>0</v>
      </c>
      <c r="I851" s="1"/>
    </row>
    <row r="852" spans="1:17" ht="25.5" hidden="1" customHeight="1">
      <c r="A852" s="16" t="s">
        <v>30</v>
      </c>
      <c r="B852" s="14">
        <v>757</v>
      </c>
      <c r="C852" s="15" t="s">
        <v>44</v>
      </c>
      <c r="D852" s="15" t="s">
        <v>19</v>
      </c>
      <c r="E852" s="15" t="s">
        <v>603</v>
      </c>
      <c r="F852" s="15" t="s">
        <v>31</v>
      </c>
      <c r="G852" s="94">
        <f t="shared" si="233"/>
        <v>0</v>
      </c>
      <c r="H852" s="25">
        <f t="shared" si="233"/>
        <v>0</v>
      </c>
      <c r="I852" s="1"/>
    </row>
    <row r="853" spans="1:17" ht="12.75" hidden="1" customHeight="1">
      <c r="A853" s="141" t="s">
        <v>32</v>
      </c>
      <c r="B853" s="14">
        <v>757</v>
      </c>
      <c r="C853" s="15" t="s">
        <v>44</v>
      </c>
      <c r="D853" s="15" t="s">
        <v>19</v>
      </c>
      <c r="E853" s="15" t="s">
        <v>603</v>
      </c>
      <c r="F853" s="15" t="s">
        <v>33</v>
      </c>
      <c r="G853" s="94"/>
      <c r="H853" s="25">
        <f>'прил 5,'!H144</f>
        <v>0</v>
      </c>
      <c r="I853" s="1"/>
    </row>
    <row r="854" spans="1:17" ht="31.5" hidden="1" customHeight="1">
      <c r="A854" s="139" t="s">
        <v>813</v>
      </c>
      <c r="B854" s="14">
        <v>757</v>
      </c>
      <c r="C854" s="15" t="s">
        <v>44</v>
      </c>
      <c r="D854" s="15" t="s">
        <v>19</v>
      </c>
      <c r="E854" s="15" t="s">
        <v>743</v>
      </c>
      <c r="F854" s="14"/>
      <c r="G854" s="8">
        <f>G855</f>
        <v>200000</v>
      </c>
      <c r="H854" s="8">
        <f t="shared" ref="H854" si="234">H855</f>
        <v>0</v>
      </c>
      <c r="I854" s="1"/>
    </row>
    <row r="855" spans="1:17" ht="49.5" hidden="1" customHeight="1">
      <c r="A855" s="81" t="s">
        <v>30</v>
      </c>
      <c r="B855" s="14">
        <v>757</v>
      </c>
      <c r="C855" s="15" t="s">
        <v>44</v>
      </c>
      <c r="D855" s="15" t="s">
        <v>19</v>
      </c>
      <c r="E855" s="15" t="s">
        <v>743</v>
      </c>
      <c r="F855" s="15" t="s">
        <v>31</v>
      </c>
      <c r="G855" s="8">
        <f>G856</f>
        <v>200000</v>
      </c>
      <c r="H855" s="8">
        <f>H856</f>
        <v>0</v>
      </c>
      <c r="I855" s="1"/>
    </row>
    <row r="856" spans="1:17" ht="12.75" hidden="1" customHeight="1">
      <c r="A856" s="81" t="s">
        <v>32</v>
      </c>
      <c r="B856" s="14">
        <v>757</v>
      </c>
      <c r="C856" s="15" t="s">
        <v>44</v>
      </c>
      <c r="D856" s="15" t="s">
        <v>19</v>
      </c>
      <c r="E856" s="15" t="s">
        <v>743</v>
      </c>
      <c r="F856" s="15" t="s">
        <v>33</v>
      </c>
      <c r="G856" s="8">
        <f>'прил 5,'!G182</f>
        <v>200000</v>
      </c>
      <c r="H856" s="8"/>
      <c r="I856" s="1"/>
    </row>
    <row r="857" spans="1:17" ht="31.5" hidden="1" customHeight="1">
      <c r="A857" s="139" t="s">
        <v>748</v>
      </c>
      <c r="B857" s="14">
        <v>757</v>
      </c>
      <c r="C857" s="15" t="s">
        <v>44</v>
      </c>
      <c r="D857" s="15" t="s">
        <v>19</v>
      </c>
      <c r="E857" s="15" t="s">
        <v>742</v>
      </c>
      <c r="F857" s="14"/>
      <c r="G857" s="8">
        <f>G858</f>
        <v>0</v>
      </c>
      <c r="H857" s="8">
        <f t="shared" ref="H857" si="235">H858</f>
        <v>0</v>
      </c>
      <c r="I857" s="1"/>
    </row>
    <row r="858" spans="1:17" ht="49.5" hidden="1" customHeight="1">
      <c r="A858" s="81" t="s">
        <v>30</v>
      </c>
      <c r="B858" s="14">
        <v>757</v>
      </c>
      <c r="C858" s="15" t="s">
        <v>44</v>
      </c>
      <c r="D858" s="15" t="s">
        <v>19</v>
      </c>
      <c r="E858" s="15" t="s">
        <v>742</v>
      </c>
      <c r="F858" s="15" t="s">
        <v>31</v>
      </c>
      <c r="G858" s="8">
        <f>G859</f>
        <v>0</v>
      </c>
      <c r="H858" s="8">
        <f>H859</f>
        <v>0</v>
      </c>
      <c r="I858" s="1"/>
    </row>
    <row r="859" spans="1:17" ht="12.75" hidden="1" customHeight="1">
      <c r="A859" s="81" t="s">
        <v>32</v>
      </c>
      <c r="B859" s="14">
        <v>757</v>
      </c>
      <c r="C859" s="15" t="s">
        <v>44</v>
      </c>
      <c r="D859" s="15" t="s">
        <v>19</v>
      </c>
      <c r="E859" s="15" t="s">
        <v>742</v>
      </c>
      <c r="F859" s="15" t="s">
        <v>33</v>
      </c>
      <c r="G859" s="8">
        <f>'прил 5,'!G185</f>
        <v>0</v>
      </c>
      <c r="H859" s="8">
        <v>0</v>
      </c>
      <c r="I859" s="1"/>
    </row>
    <row r="860" spans="1:17" ht="27.75" hidden="1" customHeight="1">
      <c r="A860" s="16" t="s">
        <v>745</v>
      </c>
      <c r="B860" s="14">
        <v>757</v>
      </c>
      <c r="C860" s="15" t="s">
        <v>26</v>
      </c>
      <c r="D860" s="15" t="s">
        <v>70</v>
      </c>
      <c r="E860" s="15" t="s">
        <v>744</v>
      </c>
      <c r="F860" s="15"/>
      <c r="G860" s="69">
        <f>G861</f>
        <v>0</v>
      </c>
      <c r="H860" s="69">
        <f t="shared" ref="H860:J861" si="236">H861</f>
        <v>0</v>
      </c>
      <c r="I860" s="1"/>
    </row>
    <row r="861" spans="1:17" ht="45.75" hidden="1" customHeight="1">
      <c r="A861" s="16" t="s">
        <v>30</v>
      </c>
      <c r="B861" s="14">
        <v>757</v>
      </c>
      <c r="C861" s="15" t="s">
        <v>26</v>
      </c>
      <c r="D861" s="15" t="s">
        <v>70</v>
      </c>
      <c r="E861" s="15" t="s">
        <v>744</v>
      </c>
      <c r="F861" s="15" t="s">
        <v>31</v>
      </c>
      <c r="G861" s="69">
        <f>G862</f>
        <v>0</v>
      </c>
      <c r="H861" s="69">
        <f t="shared" si="236"/>
        <v>0</v>
      </c>
      <c r="I861" s="69">
        <f t="shared" si="236"/>
        <v>0</v>
      </c>
      <c r="J861" s="69">
        <f t="shared" si="236"/>
        <v>0</v>
      </c>
    </row>
    <row r="862" spans="1:17" ht="45.75" hidden="1" customHeight="1">
      <c r="A862" s="16" t="s">
        <v>32</v>
      </c>
      <c r="B862" s="14">
        <v>757</v>
      </c>
      <c r="C862" s="15" t="s">
        <v>26</v>
      </c>
      <c r="D862" s="15" t="s">
        <v>70</v>
      </c>
      <c r="E862" s="15" t="s">
        <v>744</v>
      </c>
      <c r="F862" s="15" t="s">
        <v>33</v>
      </c>
      <c r="G862" s="69">
        <f>'прил 5,'!G65</f>
        <v>0</v>
      </c>
      <c r="H862" s="69">
        <v>0</v>
      </c>
      <c r="I862" s="1"/>
    </row>
    <row r="863" spans="1:17" s="89" customFormat="1" ht="42" customHeight="1">
      <c r="A863" s="81" t="s">
        <v>1097</v>
      </c>
      <c r="B863" s="145">
        <v>757</v>
      </c>
      <c r="C863" s="83" t="s">
        <v>44</v>
      </c>
      <c r="D863" s="83" t="s">
        <v>19</v>
      </c>
      <c r="E863" s="83" t="s">
        <v>1098</v>
      </c>
      <c r="F863" s="83"/>
      <c r="G863" s="86">
        <f>G864</f>
        <v>10000</v>
      </c>
      <c r="H863" s="86">
        <f t="shared" ref="H863" si="237">H864</f>
        <v>10000</v>
      </c>
      <c r="I863" s="171"/>
      <c r="J863" s="177"/>
      <c r="K863" s="177"/>
      <c r="L863" s="177"/>
      <c r="M863" s="177"/>
      <c r="N863" s="177"/>
      <c r="O863" s="177"/>
      <c r="P863" s="177"/>
      <c r="Q863" s="177"/>
    </row>
    <row r="864" spans="1:17" s="89" customFormat="1" ht="25.5">
      <c r="A864" s="81" t="s">
        <v>30</v>
      </c>
      <c r="B864" s="145">
        <v>757</v>
      </c>
      <c r="C864" s="83" t="s">
        <v>44</v>
      </c>
      <c r="D864" s="83" t="s">
        <v>19</v>
      </c>
      <c r="E864" s="83" t="s">
        <v>1098</v>
      </c>
      <c r="F864" s="83" t="s">
        <v>31</v>
      </c>
      <c r="G864" s="86">
        <f>G865</f>
        <v>10000</v>
      </c>
      <c r="H864" s="86">
        <f>H865</f>
        <v>10000</v>
      </c>
      <c r="I864" s="171"/>
      <c r="J864" s="177"/>
      <c r="K864" s="177"/>
      <c r="L864" s="177"/>
      <c r="M864" s="177"/>
      <c r="N864" s="177"/>
      <c r="O864" s="177"/>
      <c r="P864" s="177"/>
      <c r="Q864" s="177"/>
    </row>
    <row r="865" spans="1:19" s="89" customFormat="1" ht="19.5" customHeight="1">
      <c r="A865" s="81" t="s">
        <v>32</v>
      </c>
      <c r="B865" s="145">
        <v>757</v>
      </c>
      <c r="C865" s="83" t="s">
        <v>44</v>
      </c>
      <c r="D865" s="83" t="s">
        <v>19</v>
      </c>
      <c r="E865" s="83" t="s">
        <v>1098</v>
      </c>
      <c r="F865" s="83" t="s">
        <v>33</v>
      </c>
      <c r="G865" s="86">
        <f>'прил 5,'!G316</f>
        <v>10000</v>
      </c>
      <c r="H865" s="86">
        <f>'прил 5,'!H316</f>
        <v>10000</v>
      </c>
      <c r="I865" s="86">
        <f>'прил 5,'!I316</f>
        <v>0</v>
      </c>
      <c r="J865" s="86">
        <f>'прил 5,'!J316</f>
        <v>0</v>
      </c>
      <c r="K865" s="86">
        <f>'прил 5,'!K316</f>
        <v>0</v>
      </c>
      <c r="L865" s="86">
        <f>'прил 5,'!L316</f>
        <v>0</v>
      </c>
      <c r="M865" s="86">
        <f>'прил 5,'!M316</f>
        <v>0</v>
      </c>
      <c r="N865" s="86">
        <f>'прил 5,'!N316</f>
        <v>0</v>
      </c>
      <c r="O865" s="177"/>
      <c r="P865" s="177"/>
      <c r="Q865" s="177"/>
    </row>
    <row r="866" spans="1:19" ht="49.5" customHeight="1">
      <c r="A866" s="81" t="s">
        <v>30</v>
      </c>
      <c r="B866" s="14">
        <v>757</v>
      </c>
      <c r="C866" s="15" t="s">
        <v>44</v>
      </c>
      <c r="D866" s="15" t="s">
        <v>19</v>
      </c>
      <c r="E866" s="15" t="s">
        <v>1024</v>
      </c>
      <c r="F866" s="15" t="s">
        <v>31</v>
      </c>
      <c r="G866" s="8">
        <f>G867</f>
        <v>155000</v>
      </c>
      <c r="H866" s="8">
        <f>H867</f>
        <v>155000</v>
      </c>
      <c r="I866" s="1"/>
    </row>
    <row r="867" spans="1:19">
      <c r="A867" s="81" t="s">
        <v>32</v>
      </c>
      <c r="B867" s="14">
        <v>757</v>
      </c>
      <c r="C867" s="15" t="s">
        <v>44</v>
      </c>
      <c r="D867" s="15" t="s">
        <v>19</v>
      </c>
      <c r="E867" s="15" t="s">
        <v>1024</v>
      </c>
      <c r="F867" s="15" t="s">
        <v>33</v>
      </c>
      <c r="G867" s="8">
        <v>155000</v>
      </c>
      <c r="H867" s="8">
        <v>155000</v>
      </c>
      <c r="I867" s="1"/>
    </row>
    <row r="868" spans="1:19" s="28" customFormat="1" ht="25.5">
      <c r="A868" s="13" t="s">
        <v>76</v>
      </c>
      <c r="B868" s="14">
        <v>757</v>
      </c>
      <c r="C868" s="15" t="s">
        <v>44</v>
      </c>
      <c r="D868" s="15" t="s">
        <v>54</v>
      </c>
      <c r="E868" s="15" t="s">
        <v>204</v>
      </c>
      <c r="F868" s="15"/>
      <c r="G868" s="92">
        <f>G869+G871+G873</f>
        <v>5335539</v>
      </c>
      <c r="H868" s="29">
        <f>H869+H871+H873</f>
        <v>5335237.04</v>
      </c>
      <c r="I868" s="106"/>
      <c r="O868" s="106"/>
      <c r="P868" s="106"/>
      <c r="Q868" s="106"/>
      <c r="R868" s="106"/>
      <c r="S868" s="106"/>
    </row>
    <row r="869" spans="1:19" s="32" customFormat="1" ht="51">
      <c r="A869" s="16" t="s">
        <v>55</v>
      </c>
      <c r="B869" s="14">
        <v>757</v>
      </c>
      <c r="C869" s="15" t="s">
        <v>44</v>
      </c>
      <c r="D869" s="15" t="s">
        <v>54</v>
      </c>
      <c r="E869" s="15" t="s">
        <v>204</v>
      </c>
      <c r="F869" s="15" t="s">
        <v>58</v>
      </c>
      <c r="G869" s="86">
        <f>G870</f>
        <v>5101320.4000000004</v>
      </c>
      <c r="H869" s="86">
        <f>H870</f>
        <v>5101318.4400000004</v>
      </c>
      <c r="I869" s="31"/>
      <c r="O869" s="31"/>
      <c r="P869" s="31"/>
      <c r="Q869" s="31"/>
      <c r="R869" s="31"/>
      <c r="S869" s="31"/>
    </row>
    <row r="870" spans="1:19" s="32" customFormat="1" ht="25.5">
      <c r="A870" s="16" t="s">
        <v>56</v>
      </c>
      <c r="B870" s="14">
        <v>757</v>
      </c>
      <c r="C870" s="15" t="s">
        <v>44</v>
      </c>
      <c r="D870" s="15" t="s">
        <v>54</v>
      </c>
      <c r="E870" s="15" t="s">
        <v>204</v>
      </c>
      <c r="F870" s="15" t="s">
        <v>59</v>
      </c>
      <c r="G870" s="86">
        <f>'прил 5,'!G340</f>
        <v>5101320.4000000004</v>
      </c>
      <c r="H870" s="86">
        <f>'прил 5,'!H340</f>
        <v>5101318.4400000004</v>
      </c>
      <c r="I870" s="31"/>
      <c r="O870" s="31"/>
      <c r="P870" s="31"/>
      <c r="Q870" s="31"/>
      <c r="R870" s="31"/>
      <c r="S870" s="31"/>
    </row>
    <row r="871" spans="1:19" s="32" customFormat="1" ht="28.5" customHeight="1">
      <c r="A871" s="16" t="s">
        <v>36</v>
      </c>
      <c r="B871" s="14">
        <v>757</v>
      </c>
      <c r="C871" s="15" t="s">
        <v>44</v>
      </c>
      <c r="D871" s="15" t="s">
        <v>54</v>
      </c>
      <c r="E871" s="15" t="s">
        <v>204</v>
      </c>
      <c r="F871" s="15" t="s">
        <v>37</v>
      </c>
      <c r="G871" s="86">
        <f>G872</f>
        <v>233918.6</v>
      </c>
      <c r="H871" s="86">
        <f>H872</f>
        <v>233918.6</v>
      </c>
      <c r="I871" s="31"/>
      <c r="O871" s="31"/>
      <c r="P871" s="31"/>
      <c r="Q871" s="31"/>
      <c r="R871" s="31"/>
      <c r="S871" s="31"/>
    </row>
    <row r="872" spans="1:19" s="32" customFormat="1" ht="25.5">
      <c r="A872" s="16" t="s">
        <v>38</v>
      </c>
      <c r="B872" s="14">
        <v>757</v>
      </c>
      <c r="C872" s="15" t="s">
        <v>44</v>
      </c>
      <c r="D872" s="15" t="s">
        <v>54</v>
      </c>
      <c r="E872" s="15" t="s">
        <v>204</v>
      </c>
      <c r="F872" s="15" t="s">
        <v>39</v>
      </c>
      <c r="G872" s="86">
        <f>'прил 5,'!G342</f>
        <v>233918.6</v>
      </c>
      <c r="H872" s="86">
        <f>'прил 5,'!H342</f>
        <v>233918.6</v>
      </c>
      <c r="I872" s="31"/>
      <c r="O872" s="31"/>
      <c r="P872" s="31"/>
      <c r="Q872" s="31"/>
      <c r="R872" s="31"/>
      <c r="S872" s="31"/>
    </row>
    <row r="873" spans="1:19" s="32" customFormat="1">
      <c r="A873" s="16" t="s">
        <v>63</v>
      </c>
      <c r="B873" s="14"/>
      <c r="C873" s="15"/>
      <c r="D873" s="15"/>
      <c r="E873" s="15" t="s">
        <v>204</v>
      </c>
      <c r="F873" s="15" t="s">
        <v>64</v>
      </c>
      <c r="G873" s="86">
        <f>G874</f>
        <v>300</v>
      </c>
      <c r="H873" s="86">
        <f>H874</f>
        <v>0</v>
      </c>
      <c r="I873" s="31"/>
      <c r="O873" s="31"/>
      <c r="P873" s="31"/>
      <c r="Q873" s="31"/>
      <c r="R873" s="31"/>
      <c r="S873" s="31"/>
    </row>
    <row r="874" spans="1:19">
      <c r="A874" s="16" t="s">
        <v>66</v>
      </c>
      <c r="B874" s="14">
        <v>757</v>
      </c>
      <c r="C874" s="15" t="s">
        <v>44</v>
      </c>
      <c r="D874" s="15" t="s">
        <v>54</v>
      </c>
      <c r="E874" s="15" t="s">
        <v>204</v>
      </c>
      <c r="F874" s="15" t="s">
        <v>67</v>
      </c>
      <c r="G874" s="93">
        <f>'прил 5,'!G344</f>
        <v>300</v>
      </c>
      <c r="H874" s="93">
        <f>'прил 5,'!H344</f>
        <v>0</v>
      </c>
    </row>
    <row r="875" spans="1:19" ht="76.5" hidden="1">
      <c r="A875" s="16" t="s">
        <v>394</v>
      </c>
      <c r="B875" s="14">
        <v>757</v>
      </c>
      <c r="C875" s="15" t="s">
        <v>44</v>
      </c>
      <c r="D875" s="15" t="s">
        <v>19</v>
      </c>
      <c r="E875" s="15" t="s">
        <v>393</v>
      </c>
      <c r="F875" s="15"/>
      <c r="G875" s="84">
        <f>G876</f>
        <v>0</v>
      </c>
      <c r="H875" s="84">
        <f>H876</f>
        <v>0</v>
      </c>
    </row>
    <row r="876" spans="1:19" hidden="1">
      <c r="A876" s="16" t="s">
        <v>32</v>
      </c>
      <c r="B876" s="14">
        <v>757</v>
      </c>
      <c r="C876" s="15" t="s">
        <v>44</v>
      </c>
      <c r="D876" s="15" t="s">
        <v>19</v>
      </c>
      <c r="E876" s="15" t="s">
        <v>393</v>
      </c>
      <c r="F876" s="15" t="s">
        <v>33</v>
      </c>
      <c r="G876" s="84">
        <f>'прил 5,'!G212</f>
        <v>0</v>
      </c>
      <c r="H876" s="84">
        <f>'прил 5,'!H212</f>
        <v>0</v>
      </c>
    </row>
    <row r="877" spans="1:19" ht="45" hidden="1" customHeight="1">
      <c r="A877" s="16" t="s">
        <v>594</v>
      </c>
      <c r="B877" s="15"/>
      <c r="C877" s="15"/>
      <c r="D877" s="15"/>
      <c r="E877" s="15" t="s">
        <v>536</v>
      </c>
      <c r="F877" s="15"/>
      <c r="G877" s="86">
        <f>G878</f>
        <v>0</v>
      </c>
      <c r="H877" s="84">
        <v>0</v>
      </c>
    </row>
    <row r="878" spans="1:19" ht="34.5" hidden="1" customHeight="1">
      <c r="A878" s="16" t="s">
        <v>96</v>
      </c>
      <c r="B878" s="15"/>
      <c r="C878" s="15"/>
      <c r="D878" s="15"/>
      <c r="E878" s="15" t="s">
        <v>536</v>
      </c>
      <c r="F878" s="15" t="s">
        <v>348</v>
      </c>
      <c r="G878" s="86">
        <f>G879</f>
        <v>0</v>
      </c>
      <c r="H878" s="84">
        <v>0</v>
      </c>
    </row>
    <row r="879" spans="1:19" ht="68.25" hidden="1" customHeight="1">
      <c r="A879" s="50" t="s">
        <v>419</v>
      </c>
      <c r="B879" s="15"/>
      <c r="C879" s="15"/>
      <c r="D879" s="15"/>
      <c r="E879" s="15" t="s">
        <v>536</v>
      </c>
      <c r="F879" s="15" t="s">
        <v>418</v>
      </c>
      <c r="G879" s="86">
        <f>'прил 5,'!G139</f>
        <v>0</v>
      </c>
      <c r="H879" s="84">
        <v>0</v>
      </c>
    </row>
    <row r="880" spans="1:19" ht="49.5" hidden="1" customHeight="1">
      <c r="A880" s="50" t="s">
        <v>595</v>
      </c>
      <c r="B880" s="15"/>
      <c r="C880" s="15"/>
      <c r="D880" s="15"/>
      <c r="E880" s="15" t="s">
        <v>537</v>
      </c>
      <c r="F880" s="15"/>
      <c r="G880" s="84">
        <f>G881</f>
        <v>0</v>
      </c>
      <c r="H880" s="84">
        <v>0</v>
      </c>
    </row>
    <row r="881" spans="1:9" ht="39" hidden="1" customHeight="1">
      <c r="A881" s="16" t="s">
        <v>96</v>
      </c>
      <c r="B881" s="15"/>
      <c r="C881" s="15"/>
      <c r="D881" s="15"/>
      <c r="E881" s="15" t="s">
        <v>537</v>
      </c>
      <c r="F881" s="15" t="s">
        <v>348</v>
      </c>
      <c r="G881" s="84">
        <f>G882</f>
        <v>0</v>
      </c>
      <c r="H881" s="84">
        <v>0</v>
      </c>
    </row>
    <row r="882" spans="1:9" ht="50.25" hidden="1" customHeight="1">
      <c r="A882" s="50" t="s">
        <v>419</v>
      </c>
      <c r="B882" s="15"/>
      <c r="C882" s="15"/>
      <c r="D882" s="15"/>
      <c r="E882" s="15" t="s">
        <v>538</v>
      </c>
      <c r="F882" s="15" t="s">
        <v>418</v>
      </c>
      <c r="G882" s="84"/>
      <c r="H882" s="84">
        <v>0</v>
      </c>
    </row>
    <row r="883" spans="1:9" ht="29.25" customHeight="1">
      <c r="A883" s="16" t="s">
        <v>658</v>
      </c>
      <c r="B883" s="15"/>
      <c r="C883" s="15"/>
      <c r="D883" s="15"/>
      <c r="E883" s="15" t="s">
        <v>750</v>
      </c>
      <c r="F883" s="15"/>
      <c r="G883" s="84">
        <f>G884</f>
        <v>42300</v>
      </c>
      <c r="H883" s="84">
        <f t="shared" ref="H883:H884" si="238">H884</f>
        <v>42284</v>
      </c>
    </row>
    <row r="884" spans="1:9" ht="18.75" customHeight="1">
      <c r="A884" s="50" t="s">
        <v>597</v>
      </c>
      <c r="B884" s="15"/>
      <c r="C884" s="15"/>
      <c r="D884" s="15"/>
      <c r="E884" s="15" t="s">
        <v>750</v>
      </c>
      <c r="F884" s="15" t="s">
        <v>37</v>
      </c>
      <c r="G884" s="84">
        <f>G885</f>
        <v>42300</v>
      </c>
      <c r="H884" s="84">
        <f t="shared" si="238"/>
        <v>42284</v>
      </c>
    </row>
    <row r="885" spans="1:9" ht="27" customHeight="1">
      <c r="A885" s="50" t="s">
        <v>38</v>
      </c>
      <c r="B885" s="15"/>
      <c r="C885" s="15"/>
      <c r="D885" s="15"/>
      <c r="E885" s="15" t="s">
        <v>750</v>
      </c>
      <c r="F885" s="15" t="s">
        <v>39</v>
      </c>
      <c r="G885" s="84">
        <f>'прил 5,'!G1215</f>
        <v>42300</v>
      </c>
      <c r="H885" s="84">
        <f>'прил 5,'!H1215</f>
        <v>42284</v>
      </c>
    </row>
    <row r="886" spans="1:9" ht="66" hidden="1" customHeight="1">
      <c r="A886" s="16" t="s">
        <v>535</v>
      </c>
      <c r="B886" s="14">
        <v>757</v>
      </c>
      <c r="C886" s="15" t="s">
        <v>26</v>
      </c>
      <c r="D886" s="15" t="s">
        <v>70</v>
      </c>
      <c r="E886" s="15" t="s">
        <v>623</v>
      </c>
      <c r="F886" s="15"/>
      <c r="G886" s="69">
        <f>G887</f>
        <v>0</v>
      </c>
      <c r="H886" s="69">
        <f t="shared" ref="H886:H887" si="239">H887</f>
        <v>0</v>
      </c>
      <c r="I886" s="1"/>
    </row>
    <row r="887" spans="1:9" ht="33.75" hidden="1" customHeight="1">
      <c r="A887" s="16" t="s">
        <v>30</v>
      </c>
      <c r="B887" s="14">
        <v>757</v>
      </c>
      <c r="C887" s="15" t="s">
        <v>26</v>
      </c>
      <c r="D887" s="15" t="s">
        <v>70</v>
      </c>
      <c r="E887" s="15" t="s">
        <v>623</v>
      </c>
      <c r="F887" s="15" t="s">
        <v>31</v>
      </c>
      <c r="G887" s="69">
        <f>G888</f>
        <v>0</v>
      </c>
      <c r="H887" s="69">
        <f t="shared" si="239"/>
        <v>0</v>
      </c>
      <c r="I887" s="1"/>
    </row>
    <row r="888" spans="1:9" ht="27.75" hidden="1" customHeight="1">
      <c r="A888" s="16" t="s">
        <v>32</v>
      </c>
      <c r="B888" s="14">
        <v>757</v>
      </c>
      <c r="C888" s="15" t="s">
        <v>26</v>
      </c>
      <c r="D888" s="15" t="s">
        <v>70</v>
      </c>
      <c r="E888" s="15" t="s">
        <v>623</v>
      </c>
      <c r="F888" s="15" t="s">
        <v>33</v>
      </c>
      <c r="G888" s="69"/>
      <c r="H888" s="69"/>
      <c r="I888" s="1"/>
    </row>
    <row r="889" spans="1:9" ht="18" hidden="1" customHeight="1">
      <c r="A889" s="16" t="s">
        <v>656</v>
      </c>
      <c r="B889" s="14">
        <v>793</v>
      </c>
      <c r="C889" s="15" t="s">
        <v>19</v>
      </c>
      <c r="D889" s="15" t="s">
        <v>23</v>
      </c>
      <c r="E889" s="15" t="s">
        <v>655</v>
      </c>
      <c r="F889" s="15"/>
      <c r="G889" s="69">
        <f>G890</f>
        <v>0</v>
      </c>
      <c r="H889" s="69">
        <f t="shared" ref="H889:H890" si="240">H890</f>
        <v>0</v>
      </c>
      <c r="I889" s="1"/>
    </row>
    <row r="890" spans="1:9" ht="19.5" hidden="1" customHeight="1">
      <c r="A890" s="16" t="s">
        <v>323</v>
      </c>
      <c r="B890" s="14">
        <v>793</v>
      </c>
      <c r="C890" s="15" t="s">
        <v>19</v>
      </c>
      <c r="D890" s="15" t="s">
        <v>23</v>
      </c>
      <c r="E890" s="15" t="s">
        <v>655</v>
      </c>
      <c r="F890" s="15" t="s">
        <v>37</v>
      </c>
      <c r="G890" s="69">
        <f>G891</f>
        <v>0</v>
      </c>
      <c r="H890" s="69">
        <f t="shared" si="240"/>
        <v>0</v>
      </c>
      <c r="I890" s="1"/>
    </row>
    <row r="891" spans="1:9" ht="25.5" hidden="1" customHeight="1">
      <c r="A891" s="16" t="s">
        <v>38</v>
      </c>
      <c r="B891" s="14">
        <v>793</v>
      </c>
      <c r="C891" s="15" t="s">
        <v>19</v>
      </c>
      <c r="D891" s="15" t="s">
        <v>23</v>
      </c>
      <c r="E891" s="15" t="s">
        <v>655</v>
      </c>
      <c r="F891" s="15" t="s">
        <v>39</v>
      </c>
      <c r="G891" s="69">
        <f>'прил 5,'!G1218</f>
        <v>0</v>
      </c>
      <c r="H891" s="69">
        <f>'прил 5,'!H1218</f>
        <v>0</v>
      </c>
      <c r="I891" s="1"/>
    </row>
    <row r="892" spans="1:9" ht="81.75" hidden="1" customHeight="1">
      <c r="A892" s="16" t="s">
        <v>625</v>
      </c>
      <c r="B892" s="14">
        <v>757</v>
      </c>
      <c r="C892" s="15" t="s">
        <v>26</v>
      </c>
      <c r="D892" s="15" t="s">
        <v>70</v>
      </c>
      <c r="E892" s="15" t="s">
        <v>624</v>
      </c>
      <c r="F892" s="15"/>
      <c r="G892" s="69">
        <f>G893</f>
        <v>0</v>
      </c>
      <c r="H892" s="69">
        <f t="shared" ref="H892:H893" si="241">H893</f>
        <v>0</v>
      </c>
      <c r="I892" s="1"/>
    </row>
    <row r="893" spans="1:9" ht="47.25" hidden="1" customHeight="1">
      <c r="A893" s="16" t="s">
        <v>96</v>
      </c>
      <c r="B893" s="14">
        <v>757</v>
      </c>
      <c r="C893" s="15" t="s">
        <v>26</v>
      </c>
      <c r="D893" s="15" t="s">
        <v>70</v>
      </c>
      <c r="E893" s="15" t="s">
        <v>624</v>
      </c>
      <c r="F893" s="15" t="s">
        <v>348</v>
      </c>
      <c r="G893" s="69">
        <f>G894</f>
        <v>0</v>
      </c>
      <c r="H893" s="69">
        <f t="shared" si="241"/>
        <v>0</v>
      </c>
      <c r="I893" s="1"/>
    </row>
    <row r="894" spans="1:9" ht="98.25" hidden="1" customHeight="1">
      <c r="A894" s="50" t="s">
        <v>419</v>
      </c>
      <c r="B894" s="14">
        <v>757</v>
      </c>
      <c r="C894" s="15" t="s">
        <v>26</v>
      </c>
      <c r="D894" s="15" t="s">
        <v>70</v>
      </c>
      <c r="E894" s="15" t="s">
        <v>624</v>
      </c>
      <c r="F894" s="15" t="s">
        <v>418</v>
      </c>
      <c r="G894" s="69"/>
      <c r="H894" s="69">
        <v>0</v>
      </c>
      <c r="I894" s="1"/>
    </row>
    <row r="895" spans="1:9" ht="19.5" hidden="1" customHeight="1">
      <c r="A895" s="16" t="s">
        <v>392</v>
      </c>
      <c r="B895" s="14">
        <v>757</v>
      </c>
      <c r="C895" s="15" t="s">
        <v>26</v>
      </c>
      <c r="D895" s="15" t="s">
        <v>70</v>
      </c>
      <c r="E895" s="15" t="s">
        <v>126</v>
      </c>
      <c r="F895" s="15"/>
      <c r="G895" s="86">
        <f>G896</f>
        <v>0</v>
      </c>
      <c r="H895" s="84">
        <v>0</v>
      </c>
      <c r="I895" s="1"/>
    </row>
    <row r="896" spans="1:9" ht="39.75" hidden="1" customHeight="1">
      <c r="A896" s="16" t="s">
        <v>30</v>
      </c>
      <c r="B896" s="14">
        <v>757</v>
      </c>
      <c r="C896" s="15" t="s">
        <v>26</v>
      </c>
      <c r="D896" s="15" t="s">
        <v>70</v>
      </c>
      <c r="E896" s="15" t="s">
        <v>126</v>
      </c>
      <c r="F896" s="15" t="s">
        <v>31</v>
      </c>
      <c r="G896" s="86">
        <f>G897</f>
        <v>0</v>
      </c>
      <c r="H896" s="84">
        <v>0</v>
      </c>
      <c r="I896" s="1"/>
    </row>
    <row r="897" spans="1:10" ht="20.25" hidden="1" customHeight="1">
      <c r="A897" s="16" t="s">
        <v>32</v>
      </c>
      <c r="B897" s="14">
        <v>757</v>
      </c>
      <c r="C897" s="15" t="s">
        <v>26</v>
      </c>
      <c r="D897" s="15" t="s">
        <v>70</v>
      </c>
      <c r="E897" s="15" t="s">
        <v>126</v>
      </c>
      <c r="F897" s="15" t="s">
        <v>33</v>
      </c>
      <c r="G897" s="86">
        <f>'прил 5,'!G55+'прил 5,'!G215</f>
        <v>0</v>
      </c>
      <c r="H897" s="84">
        <v>0</v>
      </c>
      <c r="I897" s="1"/>
    </row>
    <row r="898" spans="1:10" ht="39" hidden="1" customHeight="1">
      <c r="A898" s="16" t="s">
        <v>184</v>
      </c>
      <c r="B898" s="14">
        <v>757</v>
      </c>
      <c r="C898" s="15" t="s">
        <v>44</v>
      </c>
      <c r="D898" s="15" t="s">
        <v>19</v>
      </c>
      <c r="E898" s="15" t="s">
        <v>183</v>
      </c>
      <c r="F898" s="15"/>
      <c r="G898" s="86">
        <f>G899</f>
        <v>0</v>
      </c>
      <c r="H898" s="69">
        <f t="shared" ref="H898:H899" si="242">H899</f>
        <v>0</v>
      </c>
      <c r="I898" s="1"/>
    </row>
    <row r="899" spans="1:10" ht="39.75" hidden="1" customHeight="1">
      <c r="A899" s="16" t="s">
        <v>30</v>
      </c>
      <c r="B899" s="14">
        <v>757</v>
      </c>
      <c r="C899" s="15" t="s">
        <v>44</v>
      </c>
      <c r="D899" s="15" t="s">
        <v>19</v>
      </c>
      <c r="E899" s="15" t="s">
        <v>183</v>
      </c>
      <c r="F899" s="15" t="s">
        <v>31</v>
      </c>
      <c r="G899" s="86">
        <f>G900</f>
        <v>0</v>
      </c>
      <c r="H899" s="69">
        <f t="shared" si="242"/>
        <v>0</v>
      </c>
      <c r="I899" s="1"/>
    </row>
    <row r="900" spans="1:10" ht="20.25" hidden="1" customHeight="1">
      <c r="A900" s="16" t="s">
        <v>32</v>
      </c>
      <c r="B900" s="14">
        <v>757</v>
      </c>
      <c r="C900" s="15" t="s">
        <v>44</v>
      </c>
      <c r="D900" s="15" t="s">
        <v>19</v>
      </c>
      <c r="E900" s="15" t="s">
        <v>183</v>
      </c>
      <c r="F900" s="15" t="s">
        <v>33</v>
      </c>
      <c r="G900" s="86">
        <v>0</v>
      </c>
      <c r="H900" s="69">
        <f>'прил 5,'!H218</f>
        <v>0</v>
      </c>
      <c r="I900" s="1"/>
    </row>
    <row r="901" spans="1:10" ht="87.75" hidden="1" customHeight="1">
      <c r="A901" s="16" t="s">
        <v>506</v>
      </c>
      <c r="B901" s="14">
        <v>757</v>
      </c>
      <c r="C901" s="15" t="s">
        <v>26</v>
      </c>
      <c r="D901" s="15" t="s">
        <v>70</v>
      </c>
      <c r="E901" s="15" t="s">
        <v>507</v>
      </c>
      <c r="F901" s="15"/>
      <c r="G901" s="86">
        <f>G902</f>
        <v>0</v>
      </c>
      <c r="H901" s="69">
        <f t="shared" ref="H901:J902" si="243">H902</f>
        <v>0</v>
      </c>
      <c r="I901" s="1"/>
    </row>
    <row r="902" spans="1:10" ht="45" hidden="1" customHeight="1">
      <c r="A902" s="16" t="s">
        <v>30</v>
      </c>
      <c r="B902" s="14">
        <v>757</v>
      </c>
      <c r="C902" s="15" t="s">
        <v>26</v>
      </c>
      <c r="D902" s="15" t="s">
        <v>70</v>
      </c>
      <c r="E902" s="15" t="s">
        <v>507</v>
      </c>
      <c r="F902" s="15" t="s">
        <v>31</v>
      </c>
      <c r="G902" s="86">
        <f>G903</f>
        <v>0</v>
      </c>
      <c r="H902" s="69">
        <f t="shared" si="243"/>
        <v>0</v>
      </c>
      <c r="I902" s="69">
        <f t="shared" si="243"/>
        <v>0</v>
      </c>
      <c r="J902" s="69">
        <f t="shared" si="243"/>
        <v>0</v>
      </c>
    </row>
    <row r="903" spans="1:10" ht="19.5" hidden="1" customHeight="1">
      <c r="A903" s="16" t="s">
        <v>32</v>
      </c>
      <c r="B903" s="14">
        <v>757</v>
      </c>
      <c r="C903" s="15" t="s">
        <v>26</v>
      </c>
      <c r="D903" s="15" t="s">
        <v>70</v>
      </c>
      <c r="E903" s="15" t="s">
        <v>507</v>
      </c>
      <c r="F903" s="15" t="s">
        <v>33</v>
      </c>
      <c r="G903" s="86">
        <v>0</v>
      </c>
      <c r="H903" s="69">
        <f>'прил 5,'!H58</f>
        <v>0</v>
      </c>
      <c r="I903" s="1"/>
    </row>
    <row r="904" spans="1:10" ht="36" hidden="1" customHeight="1">
      <c r="A904" s="16" t="s">
        <v>518</v>
      </c>
      <c r="B904" s="14">
        <v>757</v>
      </c>
      <c r="C904" s="15" t="s">
        <v>44</v>
      </c>
      <c r="D904" s="15" t="s">
        <v>19</v>
      </c>
      <c r="E904" s="15" t="s">
        <v>517</v>
      </c>
      <c r="F904" s="15"/>
      <c r="G904" s="86">
        <f>G905</f>
        <v>0</v>
      </c>
      <c r="H904" s="69">
        <f t="shared" ref="H904:J905" si="244">H905</f>
        <v>0</v>
      </c>
      <c r="I904" s="1"/>
    </row>
    <row r="905" spans="1:10" ht="45" hidden="1" customHeight="1">
      <c r="A905" s="16" t="s">
        <v>30</v>
      </c>
      <c r="B905" s="14">
        <v>757</v>
      </c>
      <c r="C905" s="15" t="s">
        <v>44</v>
      </c>
      <c r="D905" s="15" t="s">
        <v>19</v>
      </c>
      <c r="E905" s="15" t="s">
        <v>517</v>
      </c>
      <c r="F905" s="15" t="s">
        <v>31</v>
      </c>
      <c r="G905" s="86">
        <f>G906</f>
        <v>0</v>
      </c>
      <c r="H905" s="69">
        <f t="shared" si="244"/>
        <v>0</v>
      </c>
      <c r="I905" s="69">
        <f t="shared" si="244"/>
        <v>0</v>
      </c>
      <c r="J905" s="69">
        <f t="shared" si="244"/>
        <v>0</v>
      </c>
    </row>
    <row r="906" spans="1:10" ht="19.5" hidden="1" customHeight="1">
      <c r="A906" s="16" t="s">
        <v>32</v>
      </c>
      <c r="B906" s="14">
        <v>757</v>
      </c>
      <c r="C906" s="15" t="s">
        <v>44</v>
      </c>
      <c r="D906" s="15" t="s">
        <v>19</v>
      </c>
      <c r="E906" s="15" t="s">
        <v>517</v>
      </c>
      <c r="F906" s="15" t="s">
        <v>33</v>
      </c>
      <c r="G906" s="86">
        <v>0</v>
      </c>
      <c r="H906" s="69">
        <f>'прил 5,'!H237</f>
        <v>0</v>
      </c>
      <c r="I906" s="1"/>
    </row>
    <row r="907" spans="1:10" ht="82.5" hidden="1" customHeight="1">
      <c r="A907" s="16" t="s">
        <v>570</v>
      </c>
      <c r="B907" s="14">
        <v>757</v>
      </c>
      <c r="C907" s="15" t="s">
        <v>44</v>
      </c>
      <c r="D907" s="15" t="s">
        <v>19</v>
      </c>
      <c r="E907" s="15" t="s">
        <v>569</v>
      </c>
      <c r="F907" s="15"/>
      <c r="G907" s="84">
        <f>G908+G913+G916+G919</f>
        <v>0</v>
      </c>
      <c r="H907" s="8">
        <f t="shared" ref="H907" si="245">H908</f>
        <v>0</v>
      </c>
      <c r="I907" s="1"/>
    </row>
    <row r="908" spans="1:10" ht="91.5" hidden="1" customHeight="1">
      <c r="A908" s="23" t="s">
        <v>568</v>
      </c>
      <c r="B908" s="14">
        <v>757</v>
      </c>
      <c r="C908" s="15" t="s">
        <v>44</v>
      </c>
      <c r="D908" s="15" t="s">
        <v>19</v>
      </c>
      <c r="E908" s="15" t="s">
        <v>567</v>
      </c>
      <c r="F908" s="14"/>
      <c r="G908" s="84">
        <f>G909+G911</f>
        <v>0</v>
      </c>
      <c r="H908" s="84">
        <v>0</v>
      </c>
      <c r="I908" s="1"/>
    </row>
    <row r="909" spans="1:10" ht="25.5" hidden="1">
      <c r="A909" s="16" t="s">
        <v>30</v>
      </c>
      <c r="B909" s="14">
        <v>757</v>
      </c>
      <c r="C909" s="15" t="s">
        <v>44</v>
      </c>
      <c r="D909" s="15" t="s">
        <v>19</v>
      </c>
      <c r="E909" s="15" t="s">
        <v>567</v>
      </c>
      <c r="F909" s="15" t="s">
        <v>31</v>
      </c>
      <c r="G909" s="84">
        <f>G910</f>
        <v>0</v>
      </c>
      <c r="H909" s="8">
        <f>H910</f>
        <v>0</v>
      </c>
      <c r="I909" s="1"/>
    </row>
    <row r="910" spans="1:10" hidden="1">
      <c r="A910" s="16" t="s">
        <v>32</v>
      </c>
      <c r="B910" s="14">
        <v>757</v>
      </c>
      <c r="C910" s="15" t="s">
        <v>44</v>
      </c>
      <c r="D910" s="15" t="s">
        <v>19</v>
      </c>
      <c r="E910" s="15" t="s">
        <v>567</v>
      </c>
      <c r="F910" s="15" t="s">
        <v>33</v>
      </c>
      <c r="G910" s="84">
        <f>'прил 5,'!G163</f>
        <v>0</v>
      </c>
      <c r="H910" s="84">
        <v>0</v>
      </c>
      <c r="I910" s="1"/>
    </row>
    <row r="911" spans="1:10" hidden="1">
      <c r="A911" s="16" t="s">
        <v>156</v>
      </c>
      <c r="B911" s="14">
        <v>757</v>
      </c>
      <c r="C911" s="15" t="s">
        <v>44</v>
      </c>
      <c r="D911" s="15" t="s">
        <v>19</v>
      </c>
      <c r="E911" s="15" t="s">
        <v>567</v>
      </c>
      <c r="F911" s="15" t="s">
        <v>157</v>
      </c>
      <c r="G911" s="84">
        <f>G912</f>
        <v>0</v>
      </c>
      <c r="H911" s="84">
        <v>0</v>
      </c>
      <c r="I911" s="1"/>
    </row>
    <row r="912" spans="1:10" hidden="1">
      <c r="A912" s="16" t="s">
        <v>170</v>
      </c>
      <c r="B912" s="14">
        <v>757</v>
      </c>
      <c r="C912" s="15" t="s">
        <v>44</v>
      </c>
      <c r="D912" s="15" t="s">
        <v>19</v>
      </c>
      <c r="E912" s="15" t="s">
        <v>567</v>
      </c>
      <c r="F912" s="15" t="s">
        <v>171</v>
      </c>
      <c r="G912" s="84">
        <f>'прил 5,'!G165</f>
        <v>0</v>
      </c>
      <c r="H912" s="84">
        <v>0</v>
      </c>
      <c r="I912" s="1"/>
    </row>
    <row r="913" spans="1:10" ht="91.5" hidden="1" customHeight="1">
      <c r="A913" s="23" t="s">
        <v>572</v>
      </c>
      <c r="B913" s="14">
        <v>757</v>
      </c>
      <c r="C913" s="15" t="s">
        <v>44</v>
      </c>
      <c r="D913" s="15" t="s">
        <v>19</v>
      </c>
      <c r="E913" s="15" t="s">
        <v>571</v>
      </c>
      <c r="F913" s="14"/>
      <c r="G913" s="84">
        <f>G914</f>
        <v>0</v>
      </c>
      <c r="H913" s="84">
        <v>0</v>
      </c>
      <c r="I913" s="1"/>
    </row>
    <row r="914" spans="1:10" ht="25.5" hidden="1">
      <c r="A914" s="16" t="s">
        <v>30</v>
      </c>
      <c r="B914" s="14">
        <v>757</v>
      </c>
      <c r="C914" s="15" t="s">
        <v>44</v>
      </c>
      <c r="D914" s="15" t="s">
        <v>19</v>
      </c>
      <c r="E914" s="15" t="s">
        <v>571</v>
      </c>
      <c r="F914" s="15" t="s">
        <v>31</v>
      </c>
      <c r="G914" s="84">
        <f>G915</f>
        <v>0</v>
      </c>
      <c r="H914" s="8">
        <f>H915</f>
        <v>0</v>
      </c>
      <c r="I914" s="1"/>
    </row>
    <row r="915" spans="1:10" hidden="1">
      <c r="A915" s="16" t="s">
        <v>32</v>
      </c>
      <c r="B915" s="14">
        <v>757</v>
      </c>
      <c r="C915" s="15" t="s">
        <v>44</v>
      </c>
      <c r="D915" s="15" t="s">
        <v>19</v>
      </c>
      <c r="E915" s="15" t="s">
        <v>571</v>
      </c>
      <c r="F915" s="15" t="s">
        <v>33</v>
      </c>
      <c r="G915" s="84">
        <f>'прил 5,'!G168</f>
        <v>0</v>
      </c>
      <c r="H915" s="84">
        <v>0</v>
      </c>
      <c r="I915" s="1"/>
    </row>
    <row r="916" spans="1:10" ht="91.5" hidden="1" customHeight="1">
      <c r="A916" s="23" t="s">
        <v>573</v>
      </c>
      <c r="B916" s="14">
        <v>757</v>
      </c>
      <c r="C916" s="15" t="s">
        <v>44</v>
      </c>
      <c r="D916" s="15" t="s">
        <v>19</v>
      </c>
      <c r="E916" s="15" t="s">
        <v>574</v>
      </c>
      <c r="F916" s="14"/>
      <c r="G916" s="84">
        <f>G917</f>
        <v>0</v>
      </c>
      <c r="H916" s="84">
        <v>0</v>
      </c>
      <c r="I916" s="1"/>
    </row>
    <row r="917" spans="1:10" ht="25.5" hidden="1">
      <c r="A917" s="16" t="s">
        <v>30</v>
      </c>
      <c r="B917" s="14">
        <v>757</v>
      </c>
      <c r="C917" s="15" t="s">
        <v>44</v>
      </c>
      <c r="D917" s="15" t="s">
        <v>19</v>
      </c>
      <c r="E917" s="15" t="s">
        <v>574</v>
      </c>
      <c r="F917" s="15" t="s">
        <v>31</v>
      </c>
      <c r="G917" s="84">
        <f>G918</f>
        <v>0</v>
      </c>
      <c r="H917" s="8">
        <f>H918</f>
        <v>0</v>
      </c>
      <c r="I917" s="1"/>
    </row>
    <row r="918" spans="1:10" hidden="1">
      <c r="A918" s="16" t="s">
        <v>32</v>
      </c>
      <c r="B918" s="14">
        <v>757</v>
      </c>
      <c r="C918" s="15" t="s">
        <v>44</v>
      </c>
      <c r="D918" s="15" t="s">
        <v>19</v>
      </c>
      <c r="E918" s="15" t="s">
        <v>574</v>
      </c>
      <c r="F918" s="15" t="s">
        <v>33</v>
      </c>
      <c r="G918" s="84">
        <f>'прил 5,'!G171</f>
        <v>0</v>
      </c>
      <c r="H918" s="84">
        <v>0</v>
      </c>
      <c r="I918" s="1"/>
    </row>
    <row r="919" spans="1:10" ht="68.25" hidden="1" customHeight="1">
      <c r="A919" s="23" t="s">
        <v>576</v>
      </c>
      <c r="B919" s="14">
        <v>757</v>
      </c>
      <c r="C919" s="15" t="s">
        <v>44</v>
      </c>
      <c r="D919" s="15" t="s">
        <v>19</v>
      </c>
      <c r="E919" s="15" t="s">
        <v>575</v>
      </c>
      <c r="F919" s="14"/>
      <c r="G919" s="84">
        <f>G922+G920</f>
        <v>0</v>
      </c>
      <c r="H919" s="84">
        <f t="shared" ref="H919" si="246">H922+H920</f>
        <v>0</v>
      </c>
      <c r="I919" s="1"/>
    </row>
    <row r="920" spans="1:10" ht="19.5" hidden="1" customHeight="1">
      <c r="A920" s="126" t="s">
        <v>156</v>
      </c>
      <c r="B920" s="14">
        <v>757</v>
      </c>
      <c r="C920" s="15" t="s">
        <v>44</v>
      </c>
      <c r="D920" s="15" t="s">
        <v>19</v>
      </c>
      <c r="E920" s="15" t="s">
        <v>575</v>
      </c>
      <c r="F920" s="14">
        <v>500</v>
      </c>
      <c r="G920" s="84">
        <f>G921</f>
        <v>0</v>
      </c>
      <c r="H920" s="69"/>
      <c r="I920" s="1"/>
    </row>
    <row r="921" spans="1:10" ht="21.75" hidden="1" customHeight="1">
      <c r="A921" s="126" t="s">
        <v>178</v>
      </c>
      <c r="B921" s="14">
        <v>757</v>
      </c>
      <c r="C921" s="15" t="s">
        <v>44</v>
      </c>
      <c r="D921" s="15" t="s">
        <v>19</v>
      </c>
      <c r="E921" s="15" t="s">
        <v>575</v>
      </c>
      <c r="F921" s="14">
        <v>520</v>
      </c>
      <c r="G921" s="84">
        <f>'прил 5,'!G175</f>
        <v>0</v>
      </c>
      <c r="H921" s="69"/>
      <c r="I921" s="1"/>
    </row>
    <row r="922" spans="1:10" hidden="1">
      <c r="A922" s="16" t="s">
        <v>63</v>
      </c>
      <c r="B922" s="14">
        <v>757</v>
      </c>
      <c r="C922" s="15" t="s">
        <v>44</v>
      </c>
      <c r="D922" s="15" t="s">
        <v>19</v>
      </c>
      <c r="E922" s="15" t="s">
        <v>575</v>
      </c>
      <c r="F922" s="15" t="s">
        <v>64</v>
      </c>
      <c r="G922" s="84">
        <f>G923</f>
        <v>0</v>
      </c>
      <c r="H922" s="8">
        <f>H923</f>
        <v>0</v>
      </c>
      <c r="I922" s="1"/>
    </row>
    <row r="923" spans="1:10" hidden="1">
      <c r="A923" s="16" t="s">
        <v>180</v>
      </c>
      <c r="B923" s="14">
        <v>757</v>
      </c>
      <c r="C923" s="15" t="s">
        <v>44</v>
      </c>
      <c r="D923" s="15" t="s">
        <v>19</v>
      </c>
      <c r="E923" s="15" t="s">
        <v>575</v>
      </c>
      <c r="F923" s="15" t="s">
        <v>181</v>
      </c>
      <c r="G923" s="84">
        <f>'прил 5,'!G179</f>
        <v>0</v>
      </c>
      <c r="H923" s="84">
        <v>0</v>
      </c>
      <c r="I923" s="1"/>
    </row>
    <row r="924" spans="1:10" ht="84" hidden="1" customHeight="1">
      <c r="A924" s="16" t="s">
        <v>506</v>
      </c>
      <c r="B924" s="14">
        <v>757</v>
      </c>
      <c r="C924" s="15" t="s">
        <v>26</v>
      </c>
      <c r="D924" s="15" t="s">
        <v>70</v>
      </c>
      <c r="E924" s="15" t="s">
        <v>681</v>
      </c>
      <c r="F924" s="15"/>
      <c r="G924" s="69">
        <f>G925</f>
        <v>0</v>
      </c>
      <c r="H924" s="69">
        <v>0</v>
      </c>
      <c r="I924" s="1"/>
    </row>
    <row r="925" spans="1:10" ht="60" hidden="1" customHeight="1">
      <c r="A925" s="16" t="s">
        <v>30</v>
      </c>
      <c r="B925" s="14">
        <v>757</v>
      </c>
      <c r="C925" s="15" t="s">
        <v>26</v>
      </c>
      <c r="D925" s="15" t="s">
        <v>70</v>
      </c>
      <c r="E925" s="15" t="s">
        <v>681</v>
      </c>
      <c r="F925" s="15" t="s">
        <v>31</v>
      </c>
      <c r="G925" s="69">
        <f>G926</f>
        <v>0</v>
      </c>
      <c r="H925" s="69">
        <v>0</v>
      </c>
      <c r="I925" s="69">
        <f t="shared" ref="I925:J925" si="247">I926</f>
        <v>0</v>
      </c>
      <c r="J925" s="69">
        <f t="shared" si="247"/>
        <v>0</v>
      </c>
    </row>
    <row r="926" spans="1:10" ht="60" hidden="1" customHeight="1">
      <c r="A926" s="16" t="s">
        <v>32</v>
      </c>
      <c r="B926" s="14">
        <v>757</v>
      </c>
      <c r="C926" s="15" t="s">
        <v>26</v>
      </c>
      <c r="D926" s="15" t="s">
        <v>70</v>
      </c>
      <c r="E926" s="15" t="s">
        <v>681</v>
      </c>
      <c r="F926" s="15" t="s">
        <v>33</v>
      </c>
      <c r="G926" s="69"/>
      <c r="H926" s="69"/>
      <c r="I926" s="1"/>
    </row>
    <row r="927" spans="1:10" ht="28.5" customHeight="1">
      <c r="A927" s="16" t="s">
        <v>919</v>
      </c>
      <c r="B927" s="14">
        <v>757</v>
      </c>
      <c r="C927" s="15" t="s">
        <v>44</v>
      </c>
      <c r="D927" s="15" t="s">
        <v>19</v>
      </c>
      <c r="E927" s="15" t="s">
        <v>918</v>
      </c>
      <c r="F927" s="15"/>
      <c r="G927" s="69">
        <f>G928</f>
        <v>12715225.859999999</v>
      </c>
      <c r="H927" s="69">
        <f t="shared" ref="H927" si="248">H928</f>
        <v>12715225.859999999</v>
      </c>
      <c r="I927" s="1"/>
    </row>
    <row r="928" spans="1:10" ht="42" customHeight="1">
      <c r="A928" s="16" t="s">
        <v>30</v>
      </c>
      <c r="B928" s="14">
        <v>757</v>
      </c>
      <c r="C928" s="15" t="s">
        <v>44</v>
      </c>
      <c r="D928" s="15" t="s">
        <v>19</v>
      </c>
      <c r="E928" s="15" t="s">
        <v>918</v>
      </c>
      <c r="F928" s="15" t="s">
        <v>31</v>
      </c>
      <c r="G928" s="69">
        <f>G929</f>
        <v>12715225.859999999</v>
      </c>
      <c r="H928" s="69">
        <f t="shared" ref="H928" si="249">H929</f>
        <v>12715225.859999999</v>
      </c>
      <c r="I928" s="69">
        <f t="shared" ref="I928:J928" si="250">I929</f>
        <v>0</v>
      </c>
      <c r="J928" s="69">
        <f t="shared" si="250"/>
        <v>0</v>
      </c>
    </row>
    <row r="929" spans="1:19" ht="30" customHeight="1">
      <c r="A929" s="16" t="s">
        <v>32</v>
      </c>
      <c r="B929" s="14">
        <v>757</v>
      </c>
      <c r="C929" s="15" t="s">
        <v>44</v>
      </c>
      <c r="D929" s="15" t="s">
        <v>19</v>
      </c>
      <c r="E929" s="15" t="s">
        <v>918</v>
      </c>
      <c r="F929" s="15" t="s">
        <v>33</v>
      </c>
      <c r="G929" s="69">
        <f>'прил 5,'!G246</f>
        <v>12715225.859999999</v>
      </c>
      <c r="H929" s="69">
        <f>'прил 5,'!H246</f>
        <v>12715225.859999999</v>
      </c>
      <c r="I929" s="1"/>
    </row>
    <row r="930" spans="1:19" ht="52.5" customHeight="1">
      <c r="A930" s="16" t="s">
        <v>685</v>
      </c>
      <c r="B930" s="14">
        <v>757</v>
      </c>
      <c r="C930" s="15" t="s">
        <v>44</v>
      </c>
      <c r="D930" s="15" t="s">
        <v>19</v>
      </c>
      <c r="E930" s="15" t="s">
        <v>684</v>
      </c>
      <c r="F930" s="15"/>
      <c r="G930" s="69">
        <f>G931</f>
        <v>0</v>
      </c>
      <c r="H930" s="69">
        <f t="shared" ref="H930:J931" si="251">H931</f>
        <v>0</v>
      </c>
      <c r="I930" s="1"/>
    </row>
    <row r="931" spans="1:19" ht="36" customHeight="1">
      <c r="A931" s="16" t="s">
        <v>30</v>
      </c>
      <c r="B931" s="14">
        <v>757</v>
      </c>
      <c r="C931" s="15" t="s">
        <v>44</v>
      </c>
      <c r="D931" s="15" t="s">
        <v>19</v>
      </c>
      <c r="E931" s="15" t="s">
        <v>684</v>
      </c>
      <c r="F931" s="15" t="s">
        <v>31</v>
      </c>
      <c r="G931" s="69">
        <f>G932</f>
        <v>0</v>
      </c>
      <c r="H931" s="69">
        <f t="shared" si="251"/>
        <v>0</v>
      </c>
      <c r="I931" s="69">
        <f t="shared" si="251"/>
        <v>0</v>
      </c>
      <c r="J931" s="69">
        <f t="shared" si="251"/>
        <v>0</v>
      </c>
    </row>
    <row r="932" spans="1:19" ht="26.25" customHeight="1">
      <c r="A932" s="16" t="s">
        <v>32</v>
      </c>
      <c r="B932" s="14">
        <v>757</v>
      </c>
      <c r="C932" s="15" t="s">
        <v>44</v>
      </c>
      <c r="D932" s="15" t="s">
        <v>19</v>
      </c>
      <c r="E932" s="15" t="s">
        <v>684</v>
      </c>
      <c r="F932" s="15" t="s">
        <v>33</v>
      </c>
      <c r="G932" s="69">
        <f>'прил 5,'!G249</f>
        <v>0</v>
      </c>
      <c r="H932" s="69">
        <f>'прил 5,'!H249</f>
        <v>0</v>
      </c>
      <c r="I932" s="1"/>
    </row>
    <row r="933" spans="1:19" ht="84" hidden="1" customHeight="1">
      <c r="A933" s="16" t="s">
        <v>683</v>
      </c>
      <c r="B933" s="14">
        <v>757</v>
      </c>
      <c r="C933" s="15" t="s">
        <v>26</v>
      </c>
      <c r="D933" s="15" t="s">
        <v>70</v>
      </c>
      <c r="E933" s="15" t="s">
        <v>682</v>
      </c>
      <c r="F933" s="15"/>
      <c r="G933" s="69">
        <f>G934</f>
        <v>0</v>
      </c>
      <c r="H933" s="69">
        <f>H934</f>
        <v>0</v>
      </c>
      <c r="I933" s="1"/>
    </row>
    <row r="934" spans="1:19" ht="60" hidden="1" customHeight="1">
      <c r="A934" s="16" t="s">
        <v>30</v>
      </c>
      <c r="B934" s="14">
        <v>757</v>
      </c>
      <c r="C934" s="15" t="s">
        <v>26</v>
      </c>
      <c r="D934" s="15" t="s">
        <v>70</v>
      </c>
      <c r="E934" s="15" t="s">
        <v>682</v>
      </c>
      <c r="F934" s="15" t="s">
        <v>31</v>
      </c>
      <c r="G934" s="69">
        <f>G935</f>
        <v>0</v>
      </c>
      <c r="H934" s="69">
        <f t="shared" ref="H934:J934" si="252">H935</f>
        <v>0</v>
      </c>
      <c r="I934" s="69">
        <f t="shared" si="252"/>
        <v>0</v>
      </c>
      <c r="J934" s="69">
        <f t="shared" si="252"/>
        <v>0</v>
      </c>
    </row>
    <row r="935" spans="1:19" ht="60" hidden="1" customHeight="1">
      <c r="A935" s="16" t="s">
        <v>32</v>
      </c>
      <c r="B935" s="14">
        <v>757</v>
      </c>
      <c r="C935" s="15" t="s">
        <v>26</v>
      </c>
      <c r="D935" s="15" t="s">
        <v>70</v>
      </c>
      <c r="E935" s="15" t="s">
        <v>682</v>
      </c>
      <c r="F935" s="15" t="s">
        <v>33</v>
      </c>
      <c r="G935" s="69"/>
      <c r="H935" s="69"/>
      <c r="I935" s="1"/>
    </row>
    <row r="936" spans="1:19" ht="28.5" customHeight="1">
      <c r="A936" s="16" t="s">
        <v>926</v>
      </c>
      <c r="B936" s="14">
        <v>757</v>
      </c>
      <c r="C936" s="15" t="s">
        <v>44</v>
      </c>
      <c r="D936" s="15" t="s">
        <v>19</v>
      </c>
      <c r="E936" s="15" t="s">
        <v>925</v>
      </c>
      <c r="F936" s="15"/>
      <c r="G936" s="69">
        <f>G937</f>
        <v>65359.48</v>
      </c>
      <c r="H936" s="69">
        <f t="shared" ref="H936" si="253">H937</f>
        <v>65359.48</v>
      </c>
      <c r="I936" s="171"/>
      <c r="J936" s="177"/>
      <c r="K936" s="177"/>
      <c r="L936" s="177"/>
      <c r="M936" s="177"/>
      <c r="N936" s="177"/>
      <c r="O936" s="177"/>
      <c r="P936" s="177"/>
      <c r="Q936" s="177"/>
      <c r="R936" s="1"/>
      <c r="S936" s="1"/>
    </row>
    <row r="937" spans="1:19" ht="36" customHeight="1">
      <c r="A937" s="16" t="s">
        <v>927</v>
      </c>
      <c r="B937" s="14">
        <v>757</v>
      </c>
      <c r="C937" s="15" t="s">
        <v>44</v>
      </c>
      <c r="D937" s="15" t="s">
        <v>19</v>
      </c>
      <c r="E937" s="15" t="s">
        <v>924</v>
      </c>
      <c r="F937" s="15"/>
      <c r="G937" s="69">
        <f>G938</f>
        <v>65359.48</v>
      </c>
      <c r="H937" s="69">
        <f t="shared" ref="H937:H938" si="254">H938</f>
        <v>65359.48</v>
      </c>
      <c r="I937" s="171"/>
      <c r="J937" s="177"/>
      <c r="K937" s="177"/>
      <c r="L937" s="177"/>
      <c r="M937" s="177"/>
      <c r="N937" s="177"/>
      <c r="O937" s="177"/>
      <c r="P937" s="177"/>
      <c r="Q937" s="177"/>
      <c r="R937" s="1"/>
      <c r="S937" s="1"/>
    </row>
    <row r="938" spans="1:19" ht="41.25" customHeight="1">
      <c r="A938" s="16" t="s">
        <v>30</v>
      </c>
      <c r="B938" s="14">
        <v>757</v>
      </c>
      <c r="C938" s="15" t="s">
        <v>44</v>
      </c>
      <c r="D938" s="15" t="s">
        <v>19</v>
      </c>
      <c r="E938" s="15" t="s">
        <v>924</v>
      </c>
      <c r="F938" s="15" t="s">
        <v>31</v>
      </c>
      <c r="G938" s="69">
        <f>G939</f>
        <v>65359.48</v>
      </c>
      <c r="H938" s="69">
        <f t="shared" si="254"/>
        <v>65359.48</v>
      </c>
      <c r="I938" s="171"/>
      <c r="J938" s="171"/>
      <c r="K938" s="171"/>
      <c r="L938" s="177"/>
      <c r="M938" s="177"/>
      <c r="N938" s="177"/>
      <c r="O938" s="177"/>
      <c r="P938" s="177"/>
      <c r="Q938" s="177"/>
      <c r="R938" s="1"/>
      <c r="S938" s="1"/>
    </row>
    <row r="939" spans="1:19" ht="22.5" customHeight="1">
      <c r="A939" s="16" t="s">
        <v>32</v>
      </c>
      <c r="B939" s="14">
        <v>757</v>
      </c>
      <c r="C939" s="15" t="s">
        <v>44</v>
      </c>
      <c r="D939" s="15" t="s">
        <v>19</v>
      </c>
      <c r="E939" s="15" t="s">
        <v>924</v>
      </c>
      <c r="F939" s="15" t="s">
        <v>33</v>
      </c>
      <c r="G939" s="69">
        <v>65359.48</v>
      </c>
      <c r="H939" s="69">
        <v>65359.48</v>
      </c>
      <c r="I939" s="171"/>
      <c r="J939" s="177"/>
      <c r="K939" s="177"/>
      <c r="L939" s="177"/>
      <c r="M939" s="177"/>
      <c r="N939" s="177"/>
      <c r="O939" s="177"/>
      <c r="P939" s="177"/>
      <c r="Q939" s="177"/>
      <c r="R939" s="1"/>
      <c r="S939" s="1"/>
    </row>
    <row r="940" spans="1:19" ht="37.5" customHeight="1">
      <c r="A940" s="16" t="s">
        <v>433</v>
      </c>
      <c r="B940" s="14">
        <v>757</v>
      </c>
      <c r="C940" s="15" t="s">
        <v>44</v>
      </c>
      <c r="D940" s="15" t="s">
        <v>19</v>
      </c>
      <c r="E940" s="15" t="s">
        <v>406</v>
      </c>
      <c r="F940" s="15"/>
      <c r="G940" s="84">
        <f t="shared" ref="G940:H941" si="255">G941</f>
        <v>128051.19999999998</v>
      </c>
      <c r="H940" s="8">
        <f>H941</f>
        <v>128051.2</v>
      </c>
      <c r="I940" s="2">
        <v>25800</v>
      </c>
      <c r="J940" s="2" t="e">
        <f>G940+G943+G967+G785+G752+G774+G782+G848+#REF!+G868+G875+G877+G880+G883+G895+G907</f>
        <v>#REF!</v>
      </c>
      <c r="P940" s="167"/>
    </row>
    <row r="941" spans="1:19" ht="25.5">
      <c r="A941" s="16" t="s">
        <v>30</v>
      </c>
      <c r="B941" s="14">
        <v>757</v>
      </c>
      <c r="C941" s="15" t="s">
        <v>44</v>
      </c>
      <c r="D941" s="15" t="s">
        <v>19</v>
      </c>
      <c r="E941" s="15" t="s">
        <v>406</v>
      </c>
      <c r="F941" s="15" t="s">
        <v>31</v>
      </c>
      <c r="G941" s="84">
        <f t="shared" si="255"/>
        <v>128051.19999999998</v>
      </c>
      <c r="H941" s="8">
        <f t="shared" si="255"/>
        <v>128051.2</v>
      </c>
      <c r="I941" s="2">
        <v>60633148</v>
      </c>
    </row>
    <row r="942" spans="1:19">
      <c r="A942" s="16" t="s">
        <v>32</v>
      </c>
      <c r="B942" s="14">
        <v>757</v>
      </c>
      <c r="C942" s="15" t="s">
        <v>44</v>
      </c>
      <c r="D942" s="15" t="s">
        <v>19</v>
      </c>
      <c r="E942" s="15" t="s">
        <v>406</v>
      </c>
      <c r="F942" s="15" t="s">
        <v>33</v>
      </c>
      <c r="G942" s="84">
        <f>'прил 5,'!G221</f>
        <v>128051.19999999998</v>
      </c>
      <c r="H942" s="8">
        <f>'прил 5,'!H221</f>
        <v>128051.2</v>
      </c>
      <c r="I942" s="2">
        <v>7498067</v>
      </c>
    </row>
    <row r="943" spans="1:19" ht="93" hidden="1" customHeight="1">
      <c r="A943" s="16" t="s">
        <v>271</v>
      </c>
      <c r="B943" s="14">
        <v>757</v>
      </c>
      <c r="C943" s="15" t="s">
        <v>26</v>
      </c>
      <c r="D943" s="15" t="s">
        <v>70</v>
      </c>
      <c r="E943" s="15" t="s">
        <v>587</v>
      </c>
      <c r="F943" s="15"/>
      <c r="G943" s="86">
        <f>G945</f>
        <v>125300</v>
      </c>
      <c r="H943" s="8">
        <v>0</v>
      </c>
      <c r="I943" s="1"/>
    </row>
    <row r="944" spans="1:19" ht="36" hidden="1" customHeight="1">
      <c r="A944" s="16" t="s">
        <v>30</v>
      </c>
      <c r="B944" s="14">
        <v>757</v>
      </c>
      <c r="C944" s="15" t="s">
        <v>26</v>
      </c>
      <c r="D944" s="15" t="s">
        <v>70</v>
      </c>
      <c r="E944" s="15" t="s">
        <v>587</v>
      </c>
      <c r="F944" s="15" t="s">
        <v>31</v>
      </c>
      <c r="G944" s="86">
        <f>G945</f>
        <v>125300</v>
      </c>
      <c r="H944" s="8">
        <v>0</v>
      </c>
      <c r="I944" s="1"/>
    </row>
    <row r="945" spans="1:19" ht="19.5" hidden="1" customHeight="1">
      <c r="A945" s="16" t="s">
        <v>32</v>
      </c>
      <c r="B945" s="14">
        <v>757</v>
      </c>
      <c r="C945" s="15" t="s">
        <v>26</v>
      </c>
      <c r="D945" s="15" t="s">
        <v>70</v>
      </c>
      <c r="E945" s="15" t="s">
        <v>587</v>
      </c>
      <c r="F945" s="15" t="s">
        <v>33</v>
      </c>
      <c r="G945" s="86">
        <f>'прил 5,'!G49</f>
        <v>125300</v>
      </c>
      <c r="H945" s="8">
        <v>0</v>
      </c>
      <c r="I945" s="1"/>
    </row>
    <row r="946" spans="1:19" ht="69" customHeight="1">
      <c r="A946" s="16" t="s">
        <v>1028</v>
      </c>
      <c r="B946" s="14">
        <v>757</v>
      </c>
      <c r="C946" s="15" t="s">
        <v>44</v>
      </c>
      <c r="D946" s="15" t="s">
        <v>19</v>
      </c>
      <c r="E946" s="15" t="s">
        <v>1027</v>
      </c>
      <c r="F946" s="15"/>
      <c r="G946" s="8">
        <f t="shared" ref="G946:H947" si="256">G947</f>
        <v>0</v>
      </c>
      <c r="H946" s="8">
        <f t="shared" si="256"/>
        <v>0</v>
      </c>
      <c r="I946" s="172"/>
      <c r="J946" s="177"/>
      <c r="K946" s="177"/>
      <c r="L946" s="177"/>
      <c r="M946" s="177"/>
      <c r="N946" s="177"/>
      <c r="O946" s="177"/>
      <c r="P946" s="177"/>
      <c r="Q946" s="177"/>
      <c r="R946" s="1"/>
      <c r="S946" s="1"/>
    </row>
    <row r="947" spans="1:19" ht="25.5">
      <c r="A947" s="16" t="s">
        <v>30</v>
      </c>
      <c r="B947" s="14">
        <v>757</v>
      </c>
      <c r="C947" s="15" t="s">
        <v>44</v>
      </c>
      <c r="D947" s="15" t="s">
        <v>19</v>
      </c>
      <c r="E947" s="15" t="s">
        <v>1027</v>
      </c>
      <c r="F947" s="15" t="s">
        <v>31</v>
      </c>
      <c r="G947" s="8">
        <f t="shared" si="256"/>
        <v>0</v>
      </c>
      <c r="H947" s="8">
        <f t="shared" si="256"/>
        <v>0</v>
      </c>
      <c r="I947" s="172"/>
      <c r="J947" s="177"/>
      <c r="K947" s="177"/>
      <c r="L947" s="177"/>
      <c r="M947" s="177"/>
      <c r="N947" s="177"/>
      <c r="O947" s="177"/>
      <c r="P947" s="177"/>
      <c r="Q947" s="177"/>
      <c r="R947" s="1"/>
      <c r="S947" s="1"/>
    </row>
    <row r="948" spans="1:19">
      <c r="A948" s="16" t="s">
        <v>32</v>
      </c>
      <c r="B948" s="14">
        <v>757</v>
      </c>
      <c r="C948" s="15" t="s">
        <v>44</v>
      </c>
      <c r="D948" s="15" t="s">
        <v>19</v>
      </c>
      <c r="E948" s="15" t="s">
        <v>1027</v>
      </c>
      <c r="F948" s="15" t="s">
        <v>33</v>
      </c>
      <c r="G948" s="8"/>
      <c r="H948" s="8"/>
      <c r="I948" s="172"/>
      <c r="J948" s="177"/>
      <c r="K948" s="177"/>
      <c r="L948" s="177"/>
      <c r="M948" s="177"/>
      <c r="N948" s="177"/>
      <c r="O948" s="177"/>
      <c r="P948" s="177"/>
      <c r="Q948" s="177"/>
      <c r="R948" s="1"/>
      <c r="S948" s="1"/>
    </row>
    <row r="949" spans="1:19" ht="59.25" customHeight="1">
      <c r="A949" s="50" t="s">
        <v>923</v>
      </c>
      <c r="B949" s="15" t="s">
        <v>51</v>
      </c>
      <c r="C949" s="15" t="s">
        <v>44</v>
      </c>
      <c r="D949" s="15" t="s">
        <v>19</v>
      </c>
      <c r="E949" s="15" t="s">
        <v>922</v>
      </c>
      <c r="F949" s="15"/>
      <c r="G949" s="84">
        <f>G950</f>
        <v>519291.86</v>
      </c>
      <c r="H949" s="84">
        <f t="shared" ref="H949" si="257">H950</f>
        <v>519291.86</v>
      </c>
      <c r="I949" s="171"/>
      <c r="J949" s="177"/>
      <c r="K949" s="177"/>
      <c r="L949" s="177"/>
      <c r="M949" s="177"/>
      <c r="N949" s="177"/>
      <c r="O949" s="177"/>
      <c r="P949" s="177"/>
      <c r="Q949" s="177"/>
      <c r="R949" s="1"/>
      <c r="S949" s="1"/>
    </row>
    <row r="950" spans="1:19" ht="39.75" customHeight="1">
      <c r="A950" s="16" t="s">
        <v>30</v>
      </c>
      <c r="B950" s="15" t="s">
        <v>51</v>
      </c>
      <c r="C950" s="15" t="s">
        <v>44</v>
      </c>
      <c r="D950" s="15" t="s">
        <v>19</v>
      </c>
      <c r="E950" s="15" t="s">
        <v>922</v>
      </c>
      <c r="F950" s="15" t="s">
        <v>31</v>
      </c>
      <c r="G950" s="84">
        <f>G951</f>
        <v>519291.86</v>
      </c>
      <c r="H950" s="84">
        <f t="shared" ref="H950" si="258">H951</f>
        <v>519291.86</v>
      </c>
      <c r="I950" s="171"/>
      <c r="J950" s="177"/>
      <c r="K950" s="177"/>
      <c r="L950" s="177"/>
      <c r="M950" s="177"/>
      <c r="N950" s="177"/>
      <c r="O950" s="177"/>
      <c r="P950" s="177"/>
      <c r="Q950" s="177"/>
      <c r="R950" s="1"/>
      <c r="S950" s="1"/>
    </row>
    <row r="951" spans="1:19" ht="19.5" customHeight="1">
      <c r="A951" s="50" t="s">
        <v>32</v>
      </c>
      <c r="B951" s="15" t="s">
        <v>51</v>
      </c>
      <c r="C951" s="15" t="s">
        <v>44</v>
      </c>
      <c r="D951" s="15" t="s">
        <v>19</v>
      </c>
      <c r="E951" s="15" t="s">
        <v>922</v>
      </c>
      <c r="F951" s="15" t="s">
        <v>33</v>
      </c>
      <c r="G951" s="84">
        <v>519291.86</v>
      </c>
      <c r="H951" s="84">
        <v>519291.86</v>
      </c>
      <c r="I951" s="171"/>
      <c r="J951" s="177"/>
      <c r="K951" s="177"/>
      <c r="L951" s="177"/>
      <c r="M951" s="177"/>
      <c r="N951" s="177"/>
      <c r="O951" s="177"/>
      <c r="P951" s="177"/>
      <c r="Q951" s="177"/>
      <c r="R951" s="1"/>
      <c r="S951" s="1"/>
    </row>
    <row r="952" spans="1:19" ht="25.5" hidden="1" customHeight="1">
      <c r="A952" s="79" t="s">
        <v>921</v>
      </c>
      <c r="B952" s="14">
        <v>757</v>
      </c>
      <c r="C952" s="15" t="s">
        <v>44</v>
      </c>
      <c r="D952" s="15" t="s">
        <v>19</v>
      </c>
      <c r="E952" s="15" t="s">
        <v>920</v>
      </c>
      <c r="F952" s="14"/>
      <c r="G952" s="86">
        <f t="shared" ref="G952:H953" si="259">G953</f>
        <v>0</v>
      </c>
      <c r="H952" s="69">
        <f t="shared" si="259"/>
        <v>0</v>
      </c>
      <c r="I952" s="171"/>
      <c r="J952" s="177"/>
      <c r="K952" s="177"/>
      <c r="L952" s="177"/>
      <c r="M952" s="177"/>
      <c r="N952" s="177"/>
      <c r="O952" s="177"/>
      <c r="P952" s="177"/>
      <c r="Q952" s="177"/>
      <c r="R952" s="1"/>
      <c r="S952" s="1"/>
    </row>
    <row r="953" spans="1:19" ht="25.5" hidden="1">
      <c r="A953" s="16" t="s">
        <v>30</v>
      </c>
      <c r="B953" s="14">
        <v>757</v>
      </c>
      <c r="C953" s="15" t="s">
        <v>44</v>
      </c>
      <c r="D953" s="15" t="s">
        <v>19</v>
      </c>
      <c r="E953" s="15" t="s">
        <v>920</v>
      </c>
      <c r="F953" s="15" t="s">
        <v>31</v>
      </c>
      <c r="G953" s="94">
        <f t="shared" si="259"/>
        <v>0</v>
      </c>
      <c r="H953" s="25">
        <f t="shared" si="259"/>
        <v>0</v>
      </c>
      <c r="I953" s="173"/>
      <c r="J953" s="177"/>
      <c r="K953" s="177"/>
      <c r="L953" s="177"/>
      <c r="M953" s="177"/>
      <c r="N953" s="177"/>
      <c r="O953" s="177"/>
      <c r="P953" s="177"/>
      <c r="Q953" s="177"/>
      <c r="R953" s="1"/>
      <c r="S953" s="1"/>
    </row>
    <row r="954" spans="1:19" hidden="1">
      <c r="A954" s="16" t="s">
        <v>32</v>
      </c>
      <c r="B954" s="14">
        <v>757</v>
      </c>
      <c r="C954" s="15" t="s">
        <v>44</v>
      </c>
      <c r="D954" s="15" t="s">
        <v>19</v>
      </c>
      <c r="E954" s="15" t="s">
        <v>920</v>
      </c>
      <c r="F954" s="15" t="s">
        <v>33</v>
      </c>
      <c r="G954" s="94"/>
      <c r="H954" s="25">
        <v>0</v>
      </c>
      <c r="I954" s="173"/>
      <c r="J954" s="177"/>
      <c r="K954" s="177"/>
      <c r="L954" s="177"/>
      <c r="M954" s="177"/>
      <c r="N954" s="177"/>
      <c r="O954" s="177"/>
      <c r="P954" s="177"/>
      <c r="Q954" s="177"/>
      <c r="R954" s="1"/>
      <c r="S954" s="1"/>
    </row>
    <row r="955" spans="1:19" ht="25.5" hidden="1" customHeight="1">
      <c r="A955" s="79" t="s">
        <v>921</v>
      </c>
      <c r="B955" s="14">
        <v>757</v>
      </c>
      <c r="C955" s="15" t="s">
        <v>44</v>
      </c>
      <c r="D955" s="15" t="s">
        <v>19</v>
      </c>
      <c r="E955" s="15" t="s">
        <v>920</v>
      </c>
      <c r="F955" s="14"/>
      <c r="G955" s="86">
        <f>G958+G961</f>
        <v>12000000</v>
      </c>
      <c r="H955" s="69">
        <f t="shared" ref="H955" si="260">H956</f>
        <v>0</v>
      </c>
      <c r="I955" s="171"/>
      <c r="J955" s="177"/>
      <c r="K955" s="177"/>
      <c r="L955" s="177"/>
      <c r="M955" s="177"/>
      <c r="N955" s="177"/>
      <c r="O955" s="177"/>
      <c r="P955" s="177"/>
      <c r="Q955" s="177"/>
      <c r="R955" s="1"/>
      <c r="S955" s="1"/>
    </row>
    <row r="956" spans="1:19" ht="25.5" hidden="1">
      <c r="A956" s="16" t="s">
        <v>30</v>
      </c>
      <c r="B956" s="14">
        <v>757</v>
      </c>
      <c r="C956" s="15" t="s">
        <v>44</v>
      </c>
      <c r="D956" s="15" t="s">
        <v>19</v>
      </c>
      <c r="E956" s="15" t="s">
        <v>920</v>
      </c>
      <c r="F956" s="15" t="s">
        <v>31</v>
      </c>
      <c r="G956" s="94">
        <f>G957</f>
        <v>0</v>
      </c>
      <c r="H956" s="25">
        <f>H957</f>
        <v>0</v>
      </c>
      <c r="I956" s="173"/>
      <c r="J956" s="177"/>
      <c r="K956" s="177"/>
      <c r="L956" s="177"/>
      <c r="M956" s="177"/>
      <c r="N956" s="177"/>
      <c r="O956" s="177"/>
      <c r="P956" s="177"/>
      <c r="Q956" s="177"/>
      <c r="R956" s="1"/>
      <c r="S956" s="1"/>
    </row>
    <row r="957" spans="1:19" hidden="1">
      <c r="A957" s="16" t="s">
        <v>32</v>
      </c>
      <c r="B957" s="14">
        <v>757</v>
      </c>
      <c r="C957" s="15" t="s">
        <v>44</v>
      </c>
      <c r="D957" s="15" t="s">
        <v>19</v>
      </c>
      <c r="E957" s="15" t="s">
        <v>920</v>
      </c>
      <c r="F957" s="15" t="s">
        <v>33</v>
      </c>
      <c r="G957" s="94"/>
      <c r="H957" s="25"/>
      <c r="I957" s="173"/>
      <c r="J957" s="177"/>
      <c r="K957" s="177"/>
      <c r="L957" s="177"/>
      <c r="M957" s="177"/>
      <c r="N957" s="177"/>
      <c r="O957" s="177"/>
      <c r="P957" s="177"/>
      <c r="Q957" s="177"/>
      <c r="R957" s="1"/>
      <c r="S957" s="1"/>
    </row>
    <row r="958" spans="1:19" ht="25.5">
      <c r="A958" s="16" t="s">
        <v>965</v>
      </c>
      <c r="B958" s="14">
        <v>757</v>
      </c>
      <c r="C958" s="15" t="s">
        <v>44</v>
      </c>
      <c r="D958" s="15" t="s">
        <v>19</v>
      </c>
      <c r="E958" s="15" t="s">
        <v>964</v>
      </c>
      <c r="F958" s="15"/>
      <c r="G958" s="94">
        <f>G959</f>
        <v>2000000</v>
      </c>
      <c r="H958" s="94">
        <f t="shared" ref="H958" si="261">H959</f>
        <v>2000000</v>
      </c>
      <c r="I958" s="173"/>
      <c r="J958" s="177"/>
      <c r="K958" s="177"/>
      <c r="L958" s="177"/>
      <c r="M958" s="177"/>
      <c r="N958" s="177"/>
      <c r="O958" s="177"/>
      <c r="P958" s="177"/>
      <c r="Q958" s="177"/>
      <c r="R958" s="1"/>
      <c r="S958" s="1"/>
    </row>
    <row r="959" spans="1:19" ht="25.5">
      <c r="A959" s="16" t="s">
        <v>30</v>
      </c>
      <c r="B959" s="14">
        <v>757</v>
      </c>
      <c r="C959" s="15" t="s">
        <v>44</v>
      </c>
      <c r="D959" s="15" t="s">
        <v>19</v>
      </c>
      <c r="E959" s="15" t="s">
        <v>964</v>
      </c>
      <c r="F959" s="15" t="s">
        <v>31</v>
      </c>
      <c r="G959" s="94">
        <f>G960</f>
        <v>2000000</v>
      </c>
      <c r="H959" s="25">
        <f>H960</f>
        <v>2000000</v>
      </c>
      <c r="I959" s="173"/>
      <c r="J959" s="177"/>
      <c r="K959" s="177"/>
      <c r="L959" s="177"/>
      <c r="M959" s="177"/>
      <c r="N959" s="177"/>
      <c r="O959" s="177"/>
      <c r="P959" s="177"/>
      <c r="Q959" s="177"/>
      <c r="R959" s="1"/>
      <c r="S959" s="1"/>
    </row>
    <row r="960" spans="1:19">
      <c r="A960" s="16" t="s">
        <v>32</v>
      </c>
      <c r="B960" s="14">
        <v>757</v>
      </c>
      <c r="C960" s="15" t="s">
        <v>44</v>
      </c>
      <c r="D960" s="15" t="s">
        <v>19</v>
      </c>
      <c r="E960" s="15" t="s">
        <v>964</v>
      </c>
      <c r="F960" s="15" t="s">
        <v>33</v>
      </c>
      <c r="G960" s="94">
        <v>2000000</v>
      </c>
      <c r="H960" s="94">
        <v>2000000</v>
      </c>
      <c r="I960" s="173"/>
      <c r="J960" s="177"/>
      <c r="K960" s="177"/>
      <c r="L960" s="177"/>
      <c r="M960" s="177"/>
      <c r="N960" s="177"/>
      <c r="O960" s="177"/>
      <c r="P960" s="177"/>
      <c r="Q960" s="177"/>
      <c r="R960" s="1"/>
      <c r="S960" s="1"/>
    </row>
    <row r="961" spans="1:19" ht="25.5">
      <c r="A961" s="16" t="s">
        <v>967</v>
      </c>
      <c r="B961" s="14">
        <v>757</v>
      </c>
      <c r="C961" s="15" t="s">
        <v>44</v>
      </c>
      <c r="D961" s="15" t="s">
        <v>19</v>
      </c>
      <c r="E961" s="15" t="s">
        <v>966</v>
      </c>
      <c r="F961" s="15"/>
      <c r="G961" s="94">
        <f>G962</f>
        <v>10000000</v>
      </c>
      <c r="H961" s="94">
        <f t="shared" ref="H961" si="262">H962</f>
        <v>10000000</v>
      </c>
      <c r="I961" s="173"/>
      <c r="J961" s="177"/>
      <c r="K961" s="177"/>
      <c r="L961" s="177"/>
      <c r="M961" s="177"/>
      <c r="N961" s="177"/>
      <c r="O961" s="177"/>
      <c r="P961" s="177"/>
      <c r="Q961" s="177"/>
      <c r="R961" s="1"/>
      <c r="S961" s="1"/>
    </row>
    <row r="962" spans="1:19" ht="25.5">
      <c r="A962" s="16" t="s">
        <v>30</v>
      </c>
      <c r="B962" s="14">
        <v>757</v>
      </c>
      <c r="C962" s="15" t="s">
        <v>44</v>
      </c>
      <c r="D962" s="15" t="s">
        <v>19</v>
      </c>
      <c r="E962" s="15" t="s">
        <v>966</v>
      </c>
      <c r="F962" s="15" t="s">
        <v>31</v>
      </c>
      <c r="G962" s="94">
        <f>G963</f>
        <v>10000000</v>
      </c>
      <c r="H962" s="25">
        <f>H963</f>
        <v>10000000</v>
      </c>
      <c r="I962" s="173"/>
      <c r="J962" s="177"/>
      <c r="K962" s="177"/>
      <c r="L962" s="177"/>
      <c r="M962" s="177"/>
      <c r="N962" s="177"/>
      <c r="O962" s="177"/>
      <c r="P962" s="177"/>
      <c r="Q962" s="177"/>
      <c r="R962" s="1"/>
      <c r="S962" s="1"/>
    </row>
    <row r="963" spans="1:19">
      <c r="A963" s="16" t="s">
        <v>32</v>
      </c>
      <c r="B963" s="14">
        <v>757</v>
      </c>
      <c r="C963" s="15" t="s">
        <v>44</v>
      </c>
      <c r="D963" s="15" t="s">
        <v>19</v>
      </c>
      <c r="E963" s="15" t="s">
        <v>966</v>
      </c>
      <c r="F963" s="15" t="s">
        <v>33</v>
      </c>
      <c r="G963" s="94">
        <v>10000000</v>
      </c>
      <c r="H963" s="94">
        <v>10000000</v>
      </c>
      <c r="I963" s="173"/>
      <c r="J963" s="177"/>
      <c r="K963" s="177"/>
      <c r="L963" s="177"/>
      <c r="M963" s="177"/>
      <c r="N963" s="177"/>
      <c r="O963" s="177"/>
      <c r="P963" s="177"/>
      <c r="Q963" s="177"/>
      <c r="R963" s="1"/>
      <c r="S963" s="1"/>
    </row>
    <row r="964" spans="1:19" ht="79.5" customHeight="1">
      <c r="A964" s="16" t="s">
        <v>570</v>
      </c>
      <c r="B964" s="14">
        <v>757</v>
      </c>
      <c r="C964" s="15" t="s">
        <v>44</v>
      </c>
      <c r="D964" s="15" t="s">
        <v>19</v>
      </c>
      <c r="E964" s="15" t="s">
        <v>999</v>
      </c>
      <c r="F964" s="15"/>
      <c r="G964" s="69">
        <f>G965</f>
        <v>8764915.6500000004</v>
      </c>
      <c r="H964" s="69">
        <f t="shared" ref="H964" si="263">H965</f>
        <v>8764915.6500000004</v>
      </c>
      <c r="I964" s="171"/>
      <c r="J964" s="177"/>
      <c r="K964" s="177"/>
      <c r="L964" s="177"/>
      <c r="M964" s="177"/>
      <c r="N964" s="177"/>
      <c r="O964" s="177"/>
      <c r="P964" s="177"/>
      <c r="Q964" s="177"/>
      <c r="R964" s="1"/>
      <c r="S964" s="1"/>
    </row>
    <row r="965" spans="1:19" ht="25.5">
      <c r="A965" s="16" t="s">
        <v>30</v>
      </c>
      <c r="B965" s="14">
        <v>757</v>
      </c>
      <c r="C965" s="15" t="s">
        <v>44</v>
      </c>
      <c r="D965" s="15" t="s">
        <v>19</v>
      </c>
      <c r="E965" s="15" t="s">
        <v>999</v>
      </c>
      <c r="F965" s="15" t="s">
        <v>31</v>
      </c>
      <c r="G965" s="69">
        <f>G966</f>
        <v>8764915.6500000004</v>
      </c>
      <c r="H965" s="69">
        <f>H966</f>
        <v>8764915.6500000004</v>
      </c>
      <c r="I965" s="171"/>
      <c r="J965" s="177"/>
      <c r="K965" s="177"/>
      <c r="L965" s="177"/>
      <c r="M965" s="177"/>
      <c r="N965" s="177"/>
      <c r="O965" s="177"/>
      <c r="P965" s="177"/>
      <c r="Q965" s="177"/>
      <c r="R965" s="1"/>
      <c r="S965" s="1"/>
    </row>
    <row r="966" spans="1:19" ht="19.5" customHeight="1">
      <c r="A966" s="16" t="s">
        <v>32</v>
      </c>
      <c r="B966" s="14">
        <v>757</v>
      </c>
      <c r="C966" s="15" t="s">
        <v>44</v>
      </c>
      <c r="D966" s="15" t="s">
        <v>19</v>
      </c>
      <c r="E966" s="15" t="s">
        <v>999</v>
      </c>
      <c r="F966" s="15" t="s">
        <v>33</v>
      </c>
      <c r="G966" s="69">
        <f>'прил 5,'!G319</f>
        <v>8764915.6500000004</v>
      </c>
      <c r="H966" s="69">
        <f>'прил 5,'!H319</f>
        <v>8764915.6500000004</v>
      </c>
      <c r="I966" s="171"/>
      <c r="J966" s="177"/>
      <c r="K966" s="177"/>
      <c r="L966" s="177"/>
      <c r="M966" s="177"/>
      <c r="N966" s="177"/>
      <c r="O966" s="177"/>
      <c r="P966" s="177"/>
      <c r="Q966" s="177"/>
      <c r="R966" s="1"/>
      <c r="S966" s="1"/>
    </row>
    <row r="967" spans="1:19" s="46" customFormat="1" ht="90.75" customHeight="1">
      <c r="A967" s="79" t="s">
        <v>371</v>
      </c>
      <c r="B967" s="14"/>
      <c r="C967" s="15"/>
      <c r="D967" s="15"/>
      <c r="E967" s="15" t="s">
        <v>659</v>
      </c>
      <c r="F967" s="15"/>
      <c r="G967" s="86">
        <f t="shared" ref="G967:H968" si="264">G968</f>
        <v>1180646</v>
      </c>
      <c r="H967" s="69">
        <f t="shared" si="264"/>
        <v>984873.11</v>
      </c>
      <c r="I967" s="107">
        <v>37014758</v>
      </c>
      <c r="O967" s="107"/>
      <c r="P967" s="107"/>
      <c r="Q967" s="107"/>
      <c r="R967" s="107"/>
      <c r="S967" s="107"/>
    </row>
    <row r="968" spans="1:19" s="46" customFormat="1" ht="35.25" customHeight="1">
      <c r="A968" s="16" t="s">
        <v>30</v>
      </c>
      <c r="B968" s="14"/>
      <c r="C968" s="15"/>
      <c r="D968" s="15"/>
      <c r="E968" s="15" t="s">
        <v>659</v>
      </c>
      <c r="F968" s="15" t="s">
        <v>31</v>
      </c>
      <c r="G968" s="86">
        <f t="shared" si="264"/>
        <v>1180646</v>
      </c>
      <c r="H968" s="69">
        <f t="shared" si="264"/>
        <v>984873.11</v>
      </c>
      <c r="I968" s="107">
        <v>1052448</v>
      </c>
      <c r="O968" s="107"/>
      <c r="P968" s="107"/>
      <c r="Q968" s="107"/>
      <c r="R968" s="107"/>
      <c r="S968" s="107"/>
    </row>
    <row r="969" spans="1:19" s="46" customFormat="1" ht="21" customHeight="1">
      <c r="A969" s="16" t="s">
        <v>32</v>
      </c>
      <c r="B969" s="14"/>
      <c r="C969" s="15"/>
      <c r="D969" s="15"/>
      <c r="E969" s="15" t="s">
        <v>659</v>
      </c>
      <c r="F969" s="15" t="s">
        <v>33</v>
      </c>
      <c r="G969" s="86">
        <f>'прил 5,'!G156</f>
        <v>1180646</v>
      </c>
      <c r="H969" s="69">
        <f>'прил 5,'!H156</f>
        <v>984873.11</v>
      </c>
      <c r="I969" s="107">
        <v>7890673</v>
      </c>
      <c r="O969" s="107"/>
      <c r="P969" s="107"/>
      <c r="Q969" s="107"/>
      <c r="R969" s="107"/>
      <c r="S969" s="107"/>
    </row>
    <row r="970" spans="1:19" ht="78.75" customHeight="1">
      <c r="A970" s="81" t="s">
        <v>271</v>
      </c>
      <c r="B970" s="145">
        <v>757</v>
      </c>
      <c r="C970" s="83" t="s">
        <v>26</v>
      </c>
      <c r="D970" s="83" t="s">
        <v>70</v>
      </c>
      <c r="E970" s="83" t="s">
        <v>587</v>
      </c>
      <c r="F970" s="83"/>
      <c r="G970" s="86">
        <f>G972</f>
        <v>125300</v>
      </c>
      <c r="H970" s="86">
        <f>H972</f>
        <v>125300</v>
      </c>
      <c r="I970" s="171"/>
      <c r="J970" s="177"/>
      <c r="K970" s="177"/>
      <c r="L970" s="177"/>
      <c r="M970" s="177"/>
      <c r="N970" s="177"/>
      <c r="O970" s="177"/>
      <c r="P970" s="177"/>
      <c r="Q970" s="177"/>
      <c r="R970" s="1"/>
      <c r="S970" s="1"/>
    </row>
    <row r="971" spans="1:19" ht="36" customHeight="1">
      <c r="A971" s="81" t="s">
        <v>30</v>
      </c>
      <c r="B971" s="145">
        <v>757</v>
      </c>
      <c r="C971" s="83" t="s">
        <v>26</v>
      </c>
      <c r="D971" s="83" t="s">
        <v>70</v>
      </c>
      <c r="E971" s="83" t="s">
        <v>587</v>
      </c>
      <c r="F971" s="83" t="s">
        <v>31</v>
      </c>
      <c r="G971" s="86">
        <f>G972</f>
        <v>125300</v>
      </c>
      <c r="H971" s="86">
        <f>H972</f>
        <v>125300</v>
      </c>
      <c r="I971" s="171"/>
      <c r="J971" s="177"/>
      <c r="K971" s="177"/>
      <c r="L971" s="177"/>
      <c r="M971" s="177"/>
      <c r="N971" s="177"/>
      <c r="O971" s="177"/>
      <c r="P971" s="177"/>
      <c r="Q971" s="177"/>
      <c r="R971" s="1"/>
      <c r="S971" s="1"/>
    </row>
    <row r="972" spans="1:19" ht="19.5" customHeight="1">
      <c r="A972" s="81" t="s">
        <v>32</v>
      </c>
      <c r="B972" s="145">
        <v>757</v>
      </c>
      <c r="C972" s="83" t="s">
        <v>26</v>
      </c>
      <c r="D972" s="83" t="s">
        <v>70</v>
      </c>
      <c r="E972" s="83" t="s">
        <v>587</v>
      </c>
      <c r="F972" s="83" t="s">
        <v>33</v>
      </c>
      <c r="G972" s="86">
        <f>'прил 5,'!G49</f>
        <v>125300</v>
      </c>
      <c r="H972" s="86">
        <f>'прил 5,'!H49</f>
        <v>125300</v>
      </c>
      <c r="I972" s="171"/>
      <c r="J972" s="177"/>
      <c r="K972" s="177"/>
      <c r="L972" s="177"/>
      <c r="M972" s="177"/>
      <c r="N972" s="177"/>
      <c r="O972" s="177"/>
      <c r="P972" s="177"/>
      <c r="Q972" s="177"/>
      <c r="R972" s="1"/>
      <c r="S972" s="1"/>
    </row>
    <row r="973" spans="1:19" ht="37.5" customHeight="1">
      <c r="A973" s="16" t="s">
        <v>184</v>
      </c>
      <c r="B973" s="14">
        <v>757</v>
      </c>
      <c r="C973" s="15" t="s">
        <v>44</v>
      </c>
      <c r="D973" s="15" t="s">
        <v>19</v>
      </c>
      <c r="E973" s="15" t="s">
        <v>183</v>
      </c>
      <c r="F973" s="15"/>
      <c r="G973" s="8">
        <f>G974</f>
        <v>0</v>
      </c>
      <c r="H973" s="8">
        <f t="shared" ref="H973:H974" si="265">H974</f>
        <v>0</v>
      </c>
      <c r="I973" s="1"/>
    </row>
    <row r="974" spans="1:19" ht="25.5">
      <c r="A974" s="16" t="s">
        <v>30</v>
      </c>
      <c r="B974" s="14">
        <v>757</v>
      </c>
      <c r="C974" s="15" t="s">
        <v>44</v>
      </c>
      <c r="D974" s="15" t="s">
        <v>19</v>
      </c>
      <c r="E974" s="15" t="s">
        <v>183</v>
      </c>
      <c r="F974" s="15" t="s">
        <v>31</v>
      </c>
      <c r="G974" s="8">
        <f>G975</f>
        <v>0</v>
      </c>
      <c r="H974" s="8">
        <f t="shared" si="265"/>
        <v>0</v>
      </c>
      <c r="I974" s="1"/>
    </row>
    <row r="975" spans="1:19">
      <c r="A975" s="16" t="s">
        <v>32</v>
      </c>
      <c r="B975" s="14">
        <v>757</v>
      </c>
      <c r="C975" s="15" t="s">
        <v>44</v>
      </c>
      <c r="D975" s="15" t="s">
        <v>19</v>
      </c>
      <c r="E975" s="15" t="s">
        <v>183</v>
      </c>
      <c r="F975" s="15" t="s">
        <v>33</v>
      </c>
      <c r="G975" s="8">
        <f>'прил 5,'!G243</f>
        <v>0</v>
      </c>
      <c r="H975" s="8">
        <f>'прил 5,'!H243</f>
        <v>0</v>
      </c>
      <c r="I975" s="1"/>
    </row>
    <row r="976" spans="1:19" ht="101.25" hidden="1" customHeight="1">
      <c r="A976" s="16" t="s">
        <v>271</v>
      </c>
      <c r="B976" s="14">
        <v>757</v>
      </c>
      <c r="C976" s="15" t="s">
        <v>26</v>
      </c>
      <c r="D976" s="15" t="s">
        <v>70</v>
      </c>
      <c r="E976" s="15" t="s">
        <v>765</v>
      </c>
      <c r="F976" s="15"/>
      <c r="G976" s="69">
        <f>G977</f>
        <v>0</v>
      </c>
      <c r="H976" s="69">
        <f t="shared" ref="H976:J977" si="266">H977</f>
        <v>0</v>
      </c>
      <c r="I976" s="1"/>
    </row>
    <row r="977" spans="1:19" ht="47.25" hidden="1" customHeight="1">
      <c r="A977" s="16" t="s">
        <v>30</v>
      </c>
      <c r="B977" s="14">
        <v>757</v>
      </c>
      <c r="C977" s="15" t="s">
        <v>26</v>
      </c>
      <c r="D977" s="15" t="s">
        <v>70</v>
      </c>
      <c r="E977" s="15" t="s">
        <v>765</v>
      </c>
      <c r="F977" s="15" t="s">
        <v>31</v>
      </c>
      <c r="G977" s="69">
        <f>G978</f>
        <v>0</v>
      </c>
      <c r="H977" s="69">
        <f t="shared" si="266"/>
        <v>0</v>
      </c>
      <c r="I977" s="69">
        <f t="shared" si="266"/>
        <v>0</v>
      </c>
      <c r="J977" s="69">
        <f t="shared" si="266"/>
        <v>0</v>
      </c>
    </row>
    <row r="978" spans="1:19" ht="41.25" hidden="1" customHeight="1">
      <c r="A978" s="16" t="s">
        <v>32</v>
      </c>
      <c r="B978" s="14">
        <v>757</v>
      </c>
      <c r="C978" s="15" t="s">
        <v>26</v>
      </c>
      <c r="D978" s="15" t="s">
        <v>70</v>
      </c>
      <c r="E978" s="15" t="s">
        <v>765</v>
      </c>
      <c r="F978" s="15" t="s">
        <v>33</v>
      </c>
      <c r="G978" s="69"/>
      <c r="H978" s="69">
        <v>0</v>
      </c>
      <c r="I978" s="1"/>
    </row>
    <row r="979" spans="1:19" s="3" customFormat="1" ht="49.5" hidden="1" customHeight="1">
      <c r="A979" s="136" t="s">
        <v>883</v>
      </c>
      <c r="B979" s="14">
        <v>757</v>
      </c>
      <c r="C979" s="15" t="s">
        <v>44</v>
      </c>
      <c r="D979" s="15" t="s">
        <v>19</v>
      </c>
      <c r="E979" s="15" t="s">
        <v>882</v>
      </c>
      <c r="F979" s="15"/>
      <c r="G979" s="25">
        <f>G980</f>
        <v>0</v>
      </c>
      <c r="H979" s="25">
        <f t="shared" ref="G979:H980" si="267">H980</f>
        <v>0</v>
      </c>
    </row>
    <row r="980" spans="1:19" ht="25.5" hidden="1">
      <c r="A980" s="81" t="s">
        <v>30</v>
      </c>
      <c r="B980" s="14">
        <v>757</v>
      </c>
      <c r="C980" s="15" t="s">
        <v>44</v>
      </c>
      <c r="D980" s="15" t="s">
        <v>19</v>
      </c>
      <c r="E980" s="15" t="s">
        <v>882</v>
      </c>
      <c r="F980" s="15" t="s">
        <v>31</v>
      </c>
      <c r="G980" s="8">
        <f t="shared" si="267"/>
        <v>0</v>
      </c>
      <c r="H980" s="8">
        <f t="shared" si="267"/>
        <v>0</v>
      </c>
      <c r="I980" s="1"/>
      <c r="O980" s="1"/>
      <c r="P980" s="1"/>
      <c r="Q980" s="1"/>
      <c r="R980" s="1"/>
      <c r="S980" s="1"/>
    </row>
    <row r="981" spans="1:19" hidden="1">
      <c r="A981" s="81" t="s">
        <v>32</v>
      </c>
      <c r="B981" s="14">
        <v>757</v>
      </c>
      <c r="C981" s="15" t="s">
        <v>44</v>
      </c>
      <c r="D981" s="15" t="s">
        <v>19</v>
      </c>
      <c r="E981" s="15" t="s">
        <v>882</v>
      </c>
      <c r="F981" s="15" t="s">
        <v>33</v>
      </c>
      <c r="G981" s="165">
        <v>0</v>
      </c>
      <c r="H981" s="165"/>
      <c r="I981" s="1"/>
      <c r="O981" s="1"/>
      <c r="P981" s="1"/>
      <c r="Q981" s="1"/>
      <c r="R981" s="1"/>
      <c r="S981" s="1"/>
    </row>
    <row r="982" spans="1:19" ht="101.25" hidden="1" customHeight="1">
      <c r="A982" s="16" t="s">
        <v>271</v>
      </c>
      <c r="B982" s="14">
        <v>757</v>
      </c>
      <c r="C982" s="15" t="s">
        <v>26</v>
      </c>
      <c r="D982" s="15" t="s">
        <v>70</v>
      </c>
      <c r="E982" s="15" t="s">
        <v>587</v>
      </c>
      <c r="F982" s="15"/>
      <c r="G982" s="69">
        <f>G983+G986</f>
        <v>0</v>
      </c>
      <c r="H982" s="69">
        <f t="shared" ref="H982:J983" si="268">H983</f>
        <v>0</v>
      </c>
      <c r="I982" s="1"/>
    </row>
    <row r="983" spans="1:19" ht="47.25" hidden="1" customHeight="1">
      <c r="A983" s="16" t="s">
        <v>30</v>
      </c>
      <c r="B983" s="14">
        <v>757</v>
      </c>
      <c r="C983" s="15" t="s">
        <v>26</v>
      </c>
      <c r="D983" s="15" t="s">
        <v>70</v>
      </c>
      <c r="E983" s="15" t="s">
        <v>587</v>
      </c>
      <c r="F983" s="15" t="s">
        <v>31</v>
      </c>
      <c r="G983" s="69">
        <f>G984</f>
        <v>0</v>
      </c>
      <c r="H983" s="69">
        <f t="shared" si="268"/>
        <v>0</v>
      </c>
      <c r="I983" s="69">
        <f t="shared" si="268"/>
        <v>0</v>
      </c>
      <c r="J983" s="69">
        <f t="shared" si="268"/>
        <v>0</v>
      </c>
    </row>
    <row r="984" spans="1:19" ht="41.25" hidden="1" customHeight="1">
      <c r="A984" s="16" t="s">
        <v>32</v>
      </c>
      <c r="B984" s="14">
        <v>757</v>
      </c>
      <c r="C984" s="15" t="s">
        <v>26</v>
      </c>
      <c r="D984" s="15" t="s">
        <v>70</v>
      </c>
      <c r="E984" s="15" t="s">
        <v>587</v>
      </c>
      <c r="F984" s="15" t="s">
        <v>33</v>
      </c>
      <c r="G984" s="69">
        <f>'прил 5,'!G71</f>
        <v>0</v>
      </c>
      <c r="H984" s="69">
        <f>'прил 5,'!H71</f>
        <v>0</v>
      </c>
      <c r="I984" s="1"/>
    </row>
    <row r="985" spans="1:19" ht="47.25" hidden="1" customHeight="1">
      <c r="A985" s="81" t="s">
        <v>63</v>
      </c>
      <c r="B985" s="14">
        <v>757</v>
      </c>
      <c r="C985" s="15" t="s">
        <v>26</v>
      </c>
      <c r="D985" s="15" t="s">
        <v>70</v>
      </c>
      <c r="E985" s="15" t="s">
        <v>587</v>
      </c>
      <c r="F985" s="15" t="s">
        <v>64</v>
      </c>
      <c r="G985" s="69">
        <f>G986</f>
        <v>0</v>
      </c>
      <c r="H985" s="69">
        <f t="shared" ref="H985:J985" si="269">H986</f>
        <v>0</v>
      </c>
      <c r="I985" s="69">
        <f t="shared" si="269"/>
        <v>0</v>
      </c>
      <c r="J985" s="69">
        <f t="shared" si="269"/>
        <v>0</v>
      </c>
    </row>
    <row r="986" spans="1:19" ht="41.25" hidden="1" customHeight="1">
      <c r="A986" s="81" t="s">
        <v>180</v>
      </c>
      <c r="B986" s="14">
        <v>757</v>
      </c>
      <c r="C986" s="15" t="s">
        <v>26</v>
      </c>
      <c r="D986" s="15" t="s">
        <v>70</v>
      </c>
      <c r="E986" s="15" t="s">
        <v>587</v>
      </c>
      <c r="F986" s="15" t="s">
        <v>181</v>
      </c>
      <c r="G986" s="69">
        <f>'прил 5,'!G73</f>
        <v>0</v>
      </c>
      <c r="H986" s="69">
        <f>'прил 5,'!H73</f>
        <v>0</v>
      </c>
      <c r="I986" s="1"/>
    </row>
    <row r="987" spans="1:19" ht="84" hidden="1" customHeight="1">
      <c r="A987" s="16" t="s">
        <v>767</v>
      </c>
      <c r="B987" s="14">
        <v>757</v>
      </c>
      <c r="C987" s="15" t="s">
        <v>44</v>
      </c>
      <c r="D987" s="15" t="s">
        <v>19</v>
      </c>
      <c r="E987" s="15" t="s">
        <v>766</v>
      </c>
      <c r="F987" s="15"/>
      <c r="G987" s="69">
        <f>G988</f>
        <v>0</v>
      </c>
      <c r="H987" s="69">
        <f t="shared" ref="H987:J988" si="270">H988</f>
        <v>0</v>
      </c>
      <c r="I987" s="1"/>
    </row>
    <row r="988" spans="1:19" ht="60" hidden="1" customHeight="1">
      <c r="A988" s="81" t="s">
        <v>63</v>
      </c>
      <c r="B988" s="14">
        <v>757</v>
      </c>
      <c r="C988" s="15" t="s">
        <v>44</v>
      </c>
      <c r="D988" s="15" t="s">
        <v>19</v>
      </c>
      <c r="E988" s="15" t="s">
        <v>824</v>
      </c>
      <c r="F988" s="15" t="s">
        <v>64</v>
      </c>
      <c r="G988" s="69">
        <f>G989</f>
        <v>0</v>
      </c>
      <c r="H988" s="69">
        <f t="shared" si="270"/>
        <v>0</v>
      </c>
      <c r="I988" s="69">
        <f t="shared" si="270"/>
        <v>0</v>
      </c>
      <c r="J988" s="69">
        <f t="shared" si="270"/>
        <v>0</v>
      </c>
    </row>
    <row r="989" spans="1:19" ht="60" hidden="1" customHeight="1">
      <c r="A989" s="81" t="s">
        <v>180</v>
      </c>
      <c r="B989" s="14">
        <v>757</v>
      </c>
      <c r="C989" s="15" t="s">
        <v>44</v>
      </c>
      <c r="D989" s="15" t="s">
        <v>19</v>
      </c>
      <c r="E989" s="15" t="s">
        <v>766</v>
      </c>
      <c r="F989" s="15" t="s">
        <v>181</v>
      </c>
      <c r="G989" s="69">
        <f>'прил 5,'!G256</f>
        <v>0</v>
      </c>
      <c r="H989" s="69">
        <v>0</v>
      </c>
      <c r="I989" s="1"/>
    </row>
    <row r="990" spans="1:19" ht="84" hidden="1" customHeight="1">
      <c r="A990" s="16" t="s">
        <v>767</v>
      </c>
      <c r="B990" s="14">
        <v>757</v>
      </c>
      <c r="C990" s="15" t="s">
        <v>44</v>
      </c>
      <c r="D990" s="15" t="s">
        <v>19</v>
      </c>
      <c r="E990" s="15" t="s">
        <v>569</v>
      </c>
      <c r="F990" s="15"/>
      <c r="G990" s="69">
        <f>G991</f>
        <v>0</v>
      </c>
      <c r="H990" s="69">
        <f t="shared" ref="H990:J991" si="271">H991</f>
        <v>0</v>
      </c>
      <c r="I990" s="1"/>
    </row>
    <row r="991" spans="1:19" ht="60" hidden="1" customHeight="1">
      <c r="A991" s="16" t="s">
        <v>30</v>
      </c>
      <c r="B991" s="14">
        <v>757</v>
      </c>
      <c r="C991" s="15" t="s">
        <v>44</v>
      </c>
      <c r="D991" s="15" t="s">
        <v>19</v>
      </c>
      <c r="E991" s="15" t="s">
        <v>569</v>
      </c>
      <c r="F991" s="15" t="s">
        <v>31</v>
      </c>
      <c r="G991" s="69">
        <f>G992</f>
        <v>0</v>
      </c>
      <c r="H991" s="69">
        <f t="shared" si="271"/>
        <v>0</v>
      </c>
      <c r="I991" s="69">
        <f t="shared" si="271"/>
        <v>0</v>
      </c>
      <c r="J991" s="69">
        <f t="shared" si="271"/>
        <v>0</v>
      </c>
    </row>
    <row r="992" spans="1:19" ht="60" hidden="1" customHeight="1">
      <c r="A992" s="16" t="s">
        <v>32</v>
      </c>
      <c r="B992" s="14">
        <v>757</v>
      </c>
      <c r="C992" s="15" t="s">
        <v>44</v>
      </c>
      <c r="D992" s="15" t="s">
        <v>19</v>
      </c>
      <c r="E992" s="15" t="s">
        <v>569</v>
      </c>
      <c r="F992" s="15" t="s">
        <v>33</v>
      </c>
      <c r="G992" s="69">
        <f>'прил 5,'!G259</f>
        <v>0</v>
      </c>
      <c r="H992" s="69">
        <v>0</v>
      </c>
      <c r="I992" s="1"/>
    </row>
    <row r="993" spans="1:19" ht="27.75" customHeight="1">
      <c r="A993" s="81" t="s">
        <v>916</v>
      </c>
      <c r="B993" s="14">
        <v>757</v>
      </c>
      <c r="C993" s="15" t="s">
        <v>44</v>
      </c>
      <c r="D993" s="15" t="s">
        <v>19</v>
      </c>
      <c r="E993" s="15" t="s">
        <v>917</v>
      </c>
      <c r="F993" s="15"/>
      <c r="G993" s="8">
        <f>G994</f>
        <v>4682558</v>
      </c>
      <c r="H993" s="8">
        <f t="shared" ref="H993" si="272">H994</f>
        <v>4682558</v>
      </c>
      <c r="I993" s="172"/>
      <c r="J993" s="89"/>
      <c r="K993" s="89"/>
      <c r="L993" s="89"/>
      <c r="M993" s="89"/>
      <c r="O993" s="1"/>
      <c r="P993" s="1"/>
      <c r="Q993" s="1"/>
      <c r="R993" s="1"/>
      <c r="S993" s="1"/>
    </row>
    <row r="994" spans="1:19" s="3" customFormat="1" ht="22.5" customHeight="1">
      <c r="A994" s="136" t="s">
        <v>884</v>
      </c>
      <c r="B994" s="14">
        <v>757</v>
      </c>
      <c r="C994" s="15" t="s">
        <v>44</v>
      </c>
      <c r="D994" s="15" t="s">
        <v>19</v>
      </c>
      <c r="E994" s="15" t="s">
        <v>915</v>
      </c>
      <c r="F994" s="15"/>
      <c r="G994" s="25">
        <f>G995</f>
        <v>4682558</v>
      </c>
      <c r="H994" s="25">
        <f t="shared" ref="G994:H995" si="273">H995</f>
        <v>4682558</v>
      </c>
    </row>
    <row r="995" spans="1:19" ht="25.5">
      <c r="A995" s="81" t="s">
        <v>30</v>
      </c>
      <c r="B995" s="14">
        <v>757</v>
      </c>
      <c r="C995" s="15" t="s">
        <v>44</v>
      </c>
      <c r="D995" s="15" t="s">
        <v>19</v>
      </c>
      <c r="E995" s="15" t="s">
        <v>915</v>
      </c>
      <c r="F995" s="15" t="s">
        <v>31</v>
      </c>
      <c r="G995" s="8">
        <f t="shared" si="273"/>
        <v>4682558</v>
      </c>
      <c r="H995" s="8">
        <f t="shared" si="273"/>
        <v>4682558</v>
      </c>
      <c r="I995" s="1"/>
      <c r="O995" s="1"/>
      <c r="P995" s="1"/>
      <c r="Q995" s="1"/>
      <c r="R995" s="1"/>
      <c r="S995" s="1"/>
    </row>
    <row r="996" spans="1:19">
      <c r="A996" s="81" t="s">
        <v>32</v>
      </c>
      <c r="B996" s="14">
        <v>757</v>
      </c>
      <c r="C996" s="15" t="s">
        <v>44</v>
      </c>
      <c r="D996" s="15" t="s">
        <v>19</v>
      </c>
      <c r="E996" s="15" t="s">
        <v>915</v>
      </c>
      <c r="F996" s="15" t="s">
        <v>33</v>
      </c>
      <c r="G996" s="8">
        <f>'прил 5,'!G204</f>
        <v>4682558</v>
      </c>
      <c r="H996" s="8">
        <f>'прил 5,'!H204</f>
        <v>4682558</v>
      </c>
      <c r="I996" s="1"/>
      <c r="O996" s="1"/>
      <c r="P996" s="1"/>
      <c r="Q996" s="1"/>
      <c r="R996" s="1"/>
      <c r="S996" s="1"/>
    </row>
    <row r="997" spans="1:19" s="75" customFormat="1" ht="36.75" customHeight="1">
      <c r="A997" s="224" t="s">
        <v>479</v>
      </c>
      <c r="B997" s="35">
        <v>757</v>
      </c>
      <c r="C997" s="36" t="s">
        <v>72</v>
      </c>
      <c r="D997" s="36" t="s">
        <v>28</v>
      </c>
      <c r="E997" s="36" t="s">
        <v>195</v>
      </c>
      <c r="F997" s="36"/>
      <c r="G997" s="70">
        <f>G998+G1001+G1004+G1007</f>
        <v>4266426</v>
      </c>
      <c r="H997" s="70">
        <f t="shared" ref="H997" si="274">H998+H1001+H1004+H1007</f>
        <v>4255184.12</v>
      </c>
      <c r="I997" s="230">
        <v>18813863</v>
      </c>
      <c r="O997" s="230"/>
      <c r="P997" s="230"/>
      <c r="Q997" s="230"/>
      <c r="R997" s="230"/>
      <c r="S997" s="230"/>
    </row>
    <row r="998" spans="1:19" s="28" customFormat="1" ht="27.75" customHeight="1">
      <c r="A998" s="37" t="s">
        <v>73</v>
      </c>
      <c r="B998" s="14">
        <v>757</v>
      </c>
      <c r="C998" s="15" t="s">
        <v>72</v>
      </c>
      <c r="D998" s="15" t="s">
        <v>28</v>
      </c>
      <c r="E998" s="15" t="s">
        <v>206</v>
      </c>
      <c r="F998" s="15"/>
      <c r="G998" s="69">
        <f t="shared" ref="G998:H999" si="275">G999</f>
        <v>441360</v>
      </c>
      <c r="H998" s="69">
        <f t="shared" si="275"/>
        <v>441360</v>
      </c>
      <c r="I998" s="106">
        <v>419925</v>
      </c>
      <c r="O998" s="106"/>
      <c r="P998" s="106"/>
      <c r="Q998" s="106"/>
      <c r="R998" s="106"/>
      <c r="S998" s="106"/>
    </row>
    <row r="999" spans="1:19" s="32" customFormat="1" ht="28.5" customHeight="1">
      <c r="A999" s="16" t="s">
        <v>36</v>
      </c>
      <c r="B999" s="14">
        <v>757</v>
      </c>
      <c r="C999" s="15" t="s">
        <v>72</v>
      </c>
      <c r="D999" s="15" t="s">
        <v>28</v>
      </c>
      <c r="E999" s="15" t="s">
        <v>206</v>
      </c>
      <c r="F999" s="15" t="s">
        <v>37</v>
      </c>
      <c r="G999" s="69">
        <f t="shared" si="275"/>
        <v>441360</v>
      </c>
      <c r="H999" s="69">
        <f t="shared" si="275"/>
        <v>441360</v>
      </c>
      <c r="I999" s="31">
        <f>SUM(I997:I998)</f>
        <v>19233788</v>
      </c>
      <c r="O999" s="31"/>
      <c r="P999" s="31"/>
      <c r="Q999" s="31"/>
      <c r="R999" s="31"/>
      <c r="S999" s="31"/>
    </row>
    <row r="1000" spans="1:19" s="32" customFormat="1" ht="25.5">
      <c r="A1000" s="16" t="s">
        <v>38</v>
      </c>
      <c r="B1000" s="14">
        <v>757</v>
      </c>
      <c r="C1000" s="15" t="s">
        <v>72</v>
      </c>
      <c r="D1000" s="15" t="s">
        <v>28</v>
      </c>
      <c r="E1000" s="15" t="s">
        <v>206</v>
      </c>
      <c r="F1000" s="15" t="s">
        <v>39</v>
      </c>
      <c r="G1000" s="69">
        <f>'прил 5,'!G371+'прил 5,'!G1785</f>
        <v>441360</v>
      </c>
      <c r="H1000" s="69">
        <f>'прил 5,'!H371+'прил 5,'!H1785</f>
        <v>441360</v>
      </c>
      <c r="I1000" s="31"/>
      <c r="O1000" s="31"/>
      <c r="P1000" s="31"/>
      <c r="Q1000" s="31"/>
      <c r="R1000" s="31"/>
      <c r="S1000" s="31"/>
    </row>
    <row r="1001" spans="1:19" s="164" customFormat="1" ht="33.75" customHeight="1">
      <c r="A1001" s="135" t="s">
        <v>1092</v>
      </c>
      <c r="B1001" s="83" t="s">
        <v>94</v>
      </c>
      <c r="C1001" s="83" t="s">
        <v>26</v>
      </c>
      <c r="D1001" s="83" t="s">
        <v>70</v>
      </c>
      <c r="E1001" s="83" t="s">
        <v>1091</v>
      </c>
      <c r="F1001" s="83"/>
      <c r="G1001" s="86">
        <f>G1002</f>
        <v>1304678.8</v>
      </c>
      <c r="H1001" s="86">
        <f t="shared" ref="H1001" si="276">H1002</f>
        <v>1293436.92</v>
      </c>
      <c r="I1001" s="171"/>
      <c r="J1001" s="195"/>
      <c r="K1001" s="195"/>
      <c r="L1001" s="195"/>
      <c r="M1001" s="195"/>
      <c r="N1001" s="195"/>
      <c r="O1001" s="195"/>
      <c r="P1001" s="195"/>
      <c r="Q1001" s="195"/>
    </row>
    <row r="1002" spans="1:19" s="218" customFormat="1" ht="28.5" customHeight="1">
      <c r="A1002" s="81" t="s">
        <v>30</v>
      </c>
      <c r="B1002" s="83" t="s">
        <v>94</v>
      </c>
      <c r="C1002" s="83" t="s">
        <v>26</v>
      </c>
      <c r="D1002" s="83" t="s">
        <v>70</v>
      </c>
      <c r="E1002" s="83" t="s">
        <v>1091</v>
      </c>
      <c r="F1002" s="83" t="s">
        <v>31</v>
      </c>
      <c r="G1002" s="86">
        <f>G1003</f>
        <v>1304678.8</v>
      </c>
      <c r="H1002" s="86">
        <f>H1003</f>
        <v>1293436.92</v>
      </c>
      <c r="I1002" s="171"/>
      <c r="J1002" s="194"/>
      <c r="K1002" s="194"/>
      <c r="L1002" s="194"/>
      <c r="M1002" s="194"/>
      <c r="N1002" s="194"/>
      <c r="O1002" s="194"/>
      <c r="P1002" s="194"/>
      <c r="Q1002" s="194"/>
    </row>
    <row r="1003" spans="1:19" s="218" customFormat="1">
      <c r="A1003" s="81" t="s">
        <v>32</v>
      </c>
      <c r="B1003" s="83" t="s">
        <v>94</v>
      </c>
      <c r="C1003" s="83" t="s">
        <v>26</v>
      </c>
      <c r="D1003" s="83" t="s">
        <v>70</v>
      </c>
      <c r="E1003" s="83" t="s">
        <v>1091</v>
      </c>
      <c r="F1003" s="83" t="s">
        <v>33</v>
      </c>
      <c r="G1003" s="86">
        <f>'прил 5,'!G895</f>
        <v>1304678.8</v>
      </c>
      <c r="H1003" s="86">
        <f>'прил 5,'!H895</f>
        <v>1293436.92</v>
      </c>
      <c r="I1003" s="86">
        <f>'прил 5,'!I895</f>
        <v>0</v>
      </c>
      <c r="J1003" s="86">
        <f>'прил 5,'!J895</f>
        <v>0</v>
      </c>
      <c r="K1003" s="86">
        <f>'прил 5,'!K895</f>
        <v>0</v>
      </c>
      <c r="L1003" s="86">
        <f>'прил 5,'!L895</f>
        <v>0</v>
      </c>
      <c r="M1003" s="86">
        <f>'прил 5,'!M895</f>
        <v>0</v>
      </c>
      <c r="N1003" s="86">
        <f>'прил 5,'!N895</f>
        <v>0</v>
      </c>
      <c r="O1003" s="194"/>
      <c r="P1003" s="194"/>
      <c r="Q1003" s="194"/>
    </row>
    <row r="1004" spans="1:19" s="164" customFormat="1" ht="43.5" customHeight="1">
      <c r="A1004" s="135" t="s">
        <v>1093</v>
      </c>
      <c r="B1004" s="83" t="s">
        <v>94</v>
      </c>
      <c r="C1004" s="83" t="s">
        <v>26</v>
      </c>
      <c r="D1004" s="83" t="s">
        <v>70</v>
      </c>
      <c r="E1004" s="83" t="s">
        <v>1094</v>
      </c>
      <c r="F1004" s="83"/>
      <c r="G1004" s="86">
        <f>G1005</f>
        <v>58827.199999999997</v>
      </c>
      <c r="H1004" s="86">
        <f t="shared" ref="H1004" si="277">H1005</f>
        <v>58827.199999999997</v>
      </c>
      <c r="I1004" s="171"/>
      <c r="J1004" s="195"/>
      <c r="K1004" s="195"/>
      <c r="L1004" s="195"/>
      <c r="M1004" s="195"/>
      <c r="N1004" s="195"/>
      <c r="O1004" s="195"/>
      <c r="P1004" s="195"/>
      <c r="Q1004" s="195"/>
    </row>
    <row r="1005" spans="1:19" s="218" customFormat="1" ht="28.5" customHeight="1">
      <c r="A1005" s="81" t="s">
        <v>30</v>
      </c>
      <c r="B1005" s="83" t="s">
        <v>94</v>
      </c>
      <c r="C1005" s="83" t="s">
        <v>26</v>
      </c>
      <c r="D1005" s="83" t="s">
        <v>70</v>
      </c>
      <c r="E1005" s="83" t="s">
        <v>1094</v>
      </c>
      <c r="F1005" s="83" t="s">
        <v>31</v>
      </c>
      <c r="G1005" s="86">
        <f>G1006</f>
        <v>58827.199999999997</v>
      </c>
      <c r="H1005" s="86">
        <f>H1006</f>
        <v>58827.199999999997</v>
      </c>
      <c r="I1005" s="171"/>
      <c r="J1005" s="194"/>
      <c r="K1005" s="194"/>
      <c r="L1005" s="194"/>
      <c r="M1005" s="194"/>
      <c r="N1005" s="194"/>
      <c r="O1005" s="194"/>
      <c r="P1005" s="194"/>
      <c r="Q1005" s="194"/>
    </row>
    <row r="1006" spans="1:19" s="218" customFormat="1">
      <c r="A1006" s="81" t="s">
        <v>32</v>
      </c>
      <c r="B1006" s="83" t="s">
        <v>94</v>
      </c>
      <c r="C1006" s="83" t="s">
        <v>26</v>
      </c>
      <c r="D1006" s="83" t="s">
        <v>70</v>
      </c>
      <c r="E1006" s="83" t="s">
        <v>1094</v>
      </c>
      <c r="F1006" s="83" t="s">
        <v>33</v>
      </c>
      <c r="G1006" s="86">
        <f>'прил 5,'!G898</f>
        <v>58827.199999999997</v>
      </c>
      <c r="H1006" s="86">
        <f>'прил 5,'!H898</f>
        <v>58827.199999999997</v>
      </c>
      <c r="I1006" s="171"/>
      <c r="J1006" s="196"/>
      <c r="K1006" s="194"/>
      <c r="L1006" s="194"/>
      <c r="M1006" s="194"/>
      <c r="N1006" s="194"/>
      <c r="O1006" s="194"/>
      <c r="P1006" s="194"/>
      <c r="Q1006" s="194"/>
    </row>
    <row r="1007" spans="1:19" s="28" customFormat="1" ht="31.5" customHeight="1">
      <c r="A1007" s="37" t="s">
        <v>613</v>
      </c>
      <c r="B1007" s="14">
        <v>793</v>
      </c>
      <c r="C1007" s="15" t="s">
        <v>72</v>
      </c>
      <c r="D1007" s="15" t="s">
        <v>28</v>
      </c>
      <c r="E1007" s="15" t="s">
        <v>541</v>
      </c>
      <c r="F1007" s="15"/>
      <c r="G1007" s="69">
        <f>G1008</f>
        <v>2461560</v>
      </c>
      <c r="H1007" s="69">
        <f t="shared" ref="H1007" si="278">H1008</f>
        <v>2461560</v>
      </c>
      <c r="O1007" s="106"/>
      <c r="P1007" s="106"/>
      <c r="Q1007" s="106"/>
      <c r="R1007" s="106"/>
      <c r="S1007" s="106"/>
    </row>
    <row r="1008" spans="1:19" s="32" customFormat="1" ht="28.5" customHeight="1">
      <c r="A1008" s="16" t="s">
        <v>30</v>
      </c>
      <c r="B1008" s="14">
        <v>793</v>
      </c>
      <c r="C1008" s="15" t="s">
        <v>72</v>
      </c>
      <c r="D1008" s="15" t="s">
        <v>28</v>
      </c>
      <c r="E1008" s="15" t="s">
        <v>541</v>
      </c>
      <c r="F1008" s="15" t="s">
        <v>31</v>
      </c>
      <c r="G1008" s="69">
        <f>G1009</f>
        <v>2461560</v>
      </c>
      <c r="H1008" s="69">
        <f>H1009</f>
        <v>2461560</v>
      </c>
      <c r="O1008" s="31"/>
      <c r="P1008" s="31"/>
      <c r="Q1008" s="31"/>
      <c r="R1008" s="31"/>
      <c r="S1008" s="31"/>
    </row>
    <row r="1009" spans="1:19" s="32" customFormat="1">
      <c r="A1009" s="16" t="s">
        <v>32</v>
      </c>
      <c r="B1009" s="14">
        <v>793</v>
      </c>
      <c r="C1009" s="15" t="s">
        <v>72</v>
      </c>
      <c r="D1009" s="15" t="s">
        <v>28</v>
      </c>
      <c r="E1009" s="15" t="s">
        <v>541</v>
      </c>
      <c r="F1009" s="15" t="s">
        <v>33</v>
      </c>
      <c r="G1009" s="69">
        <f>'прил 5,'!G901</f>
        <v>2461560</v>
      </c>
      <c r="H1009" s="69">
        <f>'прил 5,'!H901</f>
        <v>2461560</v>
      </c>
      <c r="I1009" s="31">
        <f>I1016-G1016</f>
        <v>230000</v>
      </c>
      <c r="O1009" s="31"/>
      <c r="P1009" s="31"/>
      <c r="Q1009" s="31"/>
      <c r="R1009" s="31"/>
      <c r="S1009" s="31"/>
    </row>
    <row r="1010" spans="1:19" s="28" customFormat="1" ht="27.75" hidden="1" customHeight="1">
      <c r="A1010" s="37" t="s">
        <v>696</v>
      </c>
      <c r="B1010" s="14">
        <v>757</v>
      </c>
      <c r="C1010" s="15" t="s">
        <v>26</v>
      </c>
      <c r="D1010" s="15" t="s">
        <v>70</v>
      </c>
      <c r="E1010" s="15" t="s">
        <v>695</v>
      </c>
      <c r="F1010" s="15"/>
      <c r="G1010" s="69">
        <f>G1011</f>
        <v>0</v>
      </c>
      <c r="H1010" s="69">
        <f t="shared" ref="H1010" si="279">H1011</f>
        <v>0</v>
      </c>
      <c r="O1010" s="106"/>
      <c r="P1010" s="106"/>
      <c r="Q1010" s="106"/>
      <c r="R1010" s="106"/>
      <c r="S1010" s="106"/>
    </row>
    <row r="1011" spans="1:19" s="32" customFormat="1" ht="28.5" hidden="1" customHeight="1">
      <c r="A1011" s="16" t="s">
        <v>30</v>
      </c>
      <c r="B1011" s="14">
        <v>757</v>
      </c>
      <c r="C1011" s="15" t="s">
        <v>26</v>
      </c>
      <c r="D1011" s="15" t="s">
        <v>70</v>
      </c>
      <c r="E1011" s="15" t="s">
        <v>695</v>
      </c>
      <c r="F1011" s="15" t="s">
        <v>31</v>
      </c>
      <c r="G1011" s="69">
        <f>G1012</f>
        <v>0</v>
      </c>
      <c r="H1011" s="69">
        <f>H1012</f>
        <v>0</v>
      </c>
      <c r="O1011" s="31"/>
      <c r="P1011" s="31"/>
      <c r="Q1011" s="31"/>
      <c r="R1011" s="31"/>
      <c r="S1011" s="31"/>
    </row>
    <row r="1012" spans="1:19" s="32" customFormat="1" hidden="1">
      <c r="A1012" s="16" t="s">
        <v>32</v>
      </c>
      <c r="B1012" s="14">
        <v>757</v>
      </c>
      <c r="C1012" s="15" t="s">
        <v>26</v>
      </c>
      <c r="D1012" s="15" t="s">
        <v>70</v>
      </c>
      <c r="E1012" s="15" t="s">
        <v>695</v>
      </c>
      <c r="F1012" s="15" t="s">
        <v>33</v>
      </c>
      <c r="G1012" s="69">
        <f>'прил 5,'!G868</f>
        <v>0</v>
      </c>
      <c r="H1012" s="69"/>
      <c r="I1012" s="31">
        <f>I1016-G1016</f>
        <v>230000</v>
      </c>
      <c r="O1012" s="31"/>
      <c r="P1012" s="31"/>
      <c r="Q1012" s="31"/>
      <c r="R1012" s="31"/>
      <c r="S1012" s="31"/>
    </row>
    <row r="1013" spans="1:19" s="28" customFormat="1" ht="27.75" hidden="1" customHeight="1">
      <c r="A1013" s="37" t="s">
        <v>613</v>
      </c>
      <c r="B1013" s="15" t="s">
        <v>94</v>
      </c>
      <c r="C1013" s="15" t="s">
        <v>26</v>
      </c>
      <c r="D1013" s="15" t="s">
        <v>70</v>
      </c>
      <c r="E1013" s="15" t="s">
        <v>541</v>
      </c>
      <c r="F1013" s="15"/>
      <c r="G1013" s="69">
        <f>G1014</f>
        <v>0</v>
      </c>
      <c r="H1013" s="69">
        <f t="shared" ref="H1013" si="280">H1014</f>
        <v>0</v>
      </c>
      <c r="O1013" s="106"/>
      <c r="P1013" s="106"/>
      <c r="Q1013" s="106"/>
      <c r="R1013" s="106"/>
      <c r="S1013" s="106"/>
    </row>
    <row r="1014" spans="1:19" s="32" customFormat="1" ht="28.5" hidden="1" customHeight="1">
      <c r="A1014" s="16" t="s">
        <v>30</v>
      </c>
      <c r="B1014" s="15" t="s">
        <v>94</v>
      </c>
      <c r="C1014" s="15" t="s">
        <v>26</v>
      </c>
      <c r="D1014" s="15" t="s">
        <v>70</v>
      </c>
      <c r="E1014" s="15" t="s">
        <v>541</v>
      </c>
      <c r="F1014" s="15" t="s">
        <v>31</v>
      </c>
      <c r="G1014" s="69">
        <f>G1015</f>
        <v>0</v>
      </c>
      <c r="H1014" s="69">
        <f>H1015</f>
        <v>0</v>
      </c>
      <c r="O1014" s="31"/>
      <c r="P1014" s="31"/>
      <c r="Q1014" s="31"/>
      <c r="R1014" s="31"/>
      <c r="S1014" s="31"/>
    </row>
    <row r="1015" spans="1:19" s="32" customFormat="1" hidden="1">
      <c r="A1015" s="16" t="s">
        <v>32</v>
      </c>
      <c r="B1015" s="15" t="s">
        <v>94</v>
      </c>
      <c r="C1015" s="15" t="s">
        <v>26</v>
      </c>
      <c r="D1015" s="15" t="s">
        <v>70</v>
      </c>
      <c r="E1015" s="15" t="s">
        <v>541</v>
      </c>
      <c r="F1015" s="15" t="s">
        <v>33</v>
      </c>
      <c r="G1015" s="69"/>
      <c r="H1015" s="69"/>
      <c r="I1015" s="31">
        <f>I1019-G1019</f>
        <v>-50000</v>
      </c>
      <c r="O1015" s="31"/>
      <c r="P1015" s="31"/>
      <c r="Q1015" s="31"/>
      <c r="R1015" s="31"/>
      <c r="S1015" s="31"/>
    </row>
    <row r="1016" spans="1:19" s="22" customFormat="1" ht="51.75" customHeight="1">
      <c r="A1016" s="34" t="s">
        <v>472</v>
      </c>
      <c r="B1016" s="35">
        <v>793</v>
      </c>
      <c r="C1016" s="36" t="s">
        <v>54</v>
      </c>
      <c r="D1016" s="36" t="s">
        <v>88</v>
      </c>
      <c r="E1016" s="35" t="s">
        <v>259</v>
      </c>
      <c r="F1016" s="35"/>
      <c r="G1016" s="70">
        <f>G1017</f>
        <v>50000</v>
      </c>
      <c r="H1016" s="70">
        <f t="shared" ref="H1016:H1019" si="281">H1017</f>
        <v>0</v>
      </c>
      <c r="I1016" s="21">
        <v>280000</v>
      </c>
      <c r="O1016" s="21"/>
      <c r="P1016" s="21"/>
      <c r="Q1016" s="21"/>
      <c r="R1016" s="21"/>
      <c r="S1016" s="21"/>
    </row>
    <row r="1017" spans="1:19" ht="36" hidden="1" customHeight="1">
      <c r="A1017" s="16" t="s">
        <v>114</v>
      </c>
      <c r="B1017" s="14">
        <v>793</v>
      </c>
      <c r="C1017" s="15" t="s">
        <v>54</v>
      </c>
      <c r="D1017" s="15" t="s">
        <v>88</v>
      </c>
      <c r="E1017" s="14" t="s">
        <v>259</v>
      </c>
      <c r="F1017" s="14"/>
      <c r="G1017" s="86">
        <f>G1018</f>
        <v>50000</v>
      </c>
      <c r="H1017" s="86">
        <f t="shared" si="281"/>
        <v>0</v>
      </c>
    </row>
    <row r="1018" spans="1:19" ht="39" customHeight="1">
      <c r="A1018" s="16" t="s">
        <v>369</v>
      </c>
      <c r="B1018" s="14">
        <v>793</v>
      </c>
      <c r="C1018" s="15" t="s">
        <v>54</v>
      </c>
      <c r="D1018" s="15" t="s">
        <v>88</v>
      </c>
      <c r="E1018" s="14" t="s">
        <v>260</v>
      </c>
      <c r="F1018" s="14"/>
      <c r="G1018" s="86">
        <f>G1019</f>
        <v>50000</v>
      </c>
      <c r="H1018" s="86">
        <f t="shared" si="281"/>
        <v>0</v>
      </c>
    </row>
    <row r="1019" spans="1:19" ht="27.75" customHeight="1">
      <c r="A1019" s="16" t="s">
        <v>323</v>
      </c>
      <c r="B1019" s="14">
        <v>793</v>
      </c>
      <c r="C1019" s="15" t="s">
        <v>54</v>
      </c>
      <c r="D1019" s="15" t="s">
        <v>88</v>
      </c>
      <c r="E1019" s="14" t="s">
        <v>260</v>
      </c>
      <c r="F1019" s="14">
        <v>200</v>
      </c>
      <c r="G1019" s="86">
        <f>G1020</f>
        <v>50000</v>
      </c>
      <c r="H1019" s="86">
        <f t="shared" si="281"/>
        <v>0</v>
      </c>
    </row>
    <row r="1020" spans="1:19" ht="27.75" customHeight="1">
      <c r="A1020" s="16" t="s">
        <v>38</v>
      </c>
      <c r="B1020" s="14">
        <v>793</v>
      </c>
      <c r="C1020" s="15" t="s">
        <v>54</v>
      </c>
      <c r="D1020" s="15" t="s">
        <v>88</v>
      </c>
      <c r="E1020" s="14" t="s">
        <v>260</v>
      </c>
      <c r="F1020" s="14">
        <v>240</v>
      </c>
      <c r="G1020" s="86">
        <f>'прил 5,'!G1448</f>
        <v>50000</v>
      </c>
      <c r="H1020" s="86">
        <f>'прил 5,'!H1448</f>
        <v>0</v>
      </c>
    </row>
    <row r="1021" spans="1:19" s="226" customFormat="1" ht="35.25" customHeight="1">
      <c r="A1021" s="34" t="s">
        <v>475</v>
      </c>
      <c r="B1021" s="35">
        <v>757</v>
      </c>
      <c r="C1021" s="36" t="s">
        <v>26</v>
      </c>
      <c r="D1021" s="36" t="s">
        <v>26</v>
      </c>
      <c r="E1021" s="36" t="s">
        <v>197</v>
      </c>
      <c r="F1021" s="36"/>
      <c r="G1021" s="70">
        <f>G1025+G1031+G1028+G1022</f>
        <v>359344.32</v>
      </c>
      <c r="H1021" s="70">
        <f>H1025+H1031+H1028+H1022</f>
        <v>359344.32</v>
      </c>
      <c r="I1021" s="225">
        <v>30000</v>
      </c>
      <c r="O1021" s="225"/>
      <c r="P1021" s="225"/>
      <c r="Q1021" s="225"/>
      <c r="R1021" s="225"/>
      <c r="S1021" s="225"/>
    </row>
    <row r="1022" spans="1:19" s="18" customFormat="1" ht="38.25">
      <c r="A1022" s="81" t="s">
        <v>1099</v>
      </c>
      <c r="B1022" s="83" t="s">
        <v>94</v>
      </c>
      <c r="C1022" s="83" t="s">
        <v>26</v>
      </c>
      <c r="D1022" s="83" t="s">
        <v>26</v>
      </c>
      <c r="E1022" s="83" t="s">
        <v>1100</v>
      </c>
      <c r="F1022" s="83"/>
      <c r="G1022" s="86">
        <f>G1023</f>
        <v>27944.32</v>
      </c>
      <c r="H1022" s="86">
        <f t="shared" ref="H1022:H1023" si="282">H1023</f>
        <v>27944.32</v>
      </c>
      <c r="I1022" s="171"/>
      <c r="J1022" s="191"/>
      <c r="K1022" s="191"/>
      <c r="L1022" s="191"/>
      <c r="M1022" s="191"/>
      <c r="N1022" s="191"/>
      <c r="O1022" s="191"/>
      <c r="P1022" s="191"/>
      <c r="Q1022" s="191"/>
    </row>
    <row r="1023" spans="1:19" s="18" customFormat="1" ht="25.5">
      <c r="A1023" s="81" t="s">
        <v>30</v>
      </c>
      <c r="B1023" s="83" t="s">
        <v>94</v>
      </c>
      <c r="C1023" s="83" t="s">
        <v>26</v>
      </c>
      <c r="D1023" s="83" t="s">
        <v>26</v>
      </c>
      <c r="E1023" s="83" t="s">
        <v>1100</v>
      </c>
      <c r="F1023" s="83" t="s">
        <v>31</v>
      </c>
      <c r="G1023" s="86">
        <f>G1024</f>
        <v>27944.32</v>
      </c>
      <c r="H1023" s="86">
        <f t="shared" si="282"/>
        <v>27944.32</v>
      </c>
      <c r="I1023" s="171"/>
      <c r="J1023" s="191"/>
      <c r="K1023" s="191"/>
      <c r="L1023" s="191"/>
      <c r="M1023" s="191"/>
      <c r="N1023" s="191"/>
      <c r="O1023" s="191"/>
      <c r="P1023" s="191"/>
      <c r="Q1023" s="191"/>
    </row>
    <row r="1024" spans="1:19" s="18" customFormat="1">
      <c r="A1024" s="81" t="s">
        <v>32</v>
      </c>
      <c r="B1024" s="83" t="s">
        <v>94</v>
      </c>
      <c r="C1024" s="83" t="s">
        <v>26</v>
      </c>
      <c r="D1024" s="83" t="s">
        <v>26</v>
      </c>
      <c r="E1024" s="83" t="s">
        <v>1100</v>
      </c>
      <c r="F1024" s="83" t="s">
        <v>33</v>
      </c>
      <c r="G1024" s="86">
        <v>27944.32</v>
      </c>
      <c r="H1024" s="86">
        <v>27944.32</v>
      </c>
      <c r="I1024" s="171"/>
      <c r="J1024" s="191"/>
      <c r="K1024" s="191"/>
      <c r="L1024" s="191"/>
      <c r="M1024" s="191"/>
      <c r="N1024" s="191"/>
      <c r="O1024" s="191"/>
      <c r="P1024" s="191"/>
      <c r="Q1024" s="191"/>
    </row>
    <row r="1025" spans="1:19" s="18" customFormat="1">
      <c r="A1025" s="16" t="s">
        <v>339</v>
      </c>
      <c r="B1025" s="14">
        <v>757</v>
      </c>
      <c r="C1025" s="15" t="s">
        <v>26</v>
      </c>
      <c r="D1025" s="15" t="s">
        <v>26</v>
      </c>
      <c r="E1025" s="15" t="s">
        <v>198</v>
      </c>
      <c r="F1025" s="15"/>
      <c r="G1025" s="86">
        <f>G1026</f>
        <v>187400</v>
      </c>
      <c r="H1025" s="86">
        <f t="shared" ref="H1025" si="283">H1026</f>
        <v>187400</v>
      </c>
      <c r="I1025" s="17">
        <v>100000</v>
      </c>
      <c r="O1025" s="17"/>
      <c r="P1025" s="17"/>
      <c r="Q1025" s="17"/>
      <c r="R1025" s="17"/>
      <c r="S1025" s="17"/>
    </row>
    <row r="1026" spans="1:19" s="18" customFormat="1" ht="25.5">
      <c r="A1026" s="16" t="s">
        <v>36</v>
      </c>
      <c r="B1026" s="14">
        <v>757</v>
      </c>
      <c r="C1026" s="15" t="s">
        <v>26</v>
      </c>
      <c r="D1026" s="15" t="s">
        <v>26</v>
      </c>
      <c r="E1026" s="15" t="s">
        <v>198</v>
      </c>
      <c r="F1026" s="15" t="s">
        <v>37</v>
      </c>
      <c r="G1026" s="86">
        <f>G1027</f>
        <v>187400</v>
      </c>
      <c r="H1026" s="86">
        <f>H1027</f>
        <v>187400</v>
      </c>
      <c r="I1026" s="17"/>
      <c r="O1026" s="17"/>
      <c r="P1026" s="17"/>
      <c r="Q1026" s="17"/>
      <c r="R1026" s="17"/>
      <c r="S1026" s="17"/>
    </row>
    <row r="1027" spans="1:19" s="18" customFormat="1" ht="25.5">
      <c r="A1027" s="16" t="s">
        <v>38</v>
      </c>
      <c r="B1027" s="14">
        <v>757</v>
      </c>
      <c r="C1027" s="15" t="s">
        <v>26</v>
      </c>
      <c r="D1027" s="15" t="s">
        <v>26</v>
      </c>
      <c r="E1027" s="15" t="s">
        <v>198</v>
      </c>
      <c r="F1027" s="15" t="s">
        <v>39</v>
      </c>
      <c r="G1027" s="86">
        <f>'прил 5,'!G113+'прил 5,'!G1680</f>
        <v>187400</v>
      </c>
      <c r="H1027" s="86">
        <f>'прил 5,'!H113+'прил 5,'!H1680</f>
        <v>187400</v>
      </c>
      <c r="I1027" s="86">
        <f>'прил 5,'!J113+'прил 5,'!J1680</f>
        <v>0</v>
      </c>
      <c r="J1027" s="86">
        <f>'прил 5,'!K113+'прил 5,'!K1680</f>
        <v>0</v>
      </c>
      <c r="K1027" s="86">
        <f>'прил 5,'!L113+'прил 5,'!L1680</f>
        <v>0</v>
      </c>
      <c r="L1027" s="86">
        <f>'прил 5,'!M113+'прил 5,'!M1680</f>
        <v>0</v>
      </c>
      <c r="M1027" s="86">
        <f>'прил 5,'!N113+'прил 5,'!N1680</f>
        <v>0</v>
      </c>
      <c r="N1027" s="86">
        <f>'прил 5,'!O113+'прил 5,'!O1680</f>
        <v>0</v>
      </c>
      <c r="O1027" s="17"/>
      <c r="P1027" s="17"/>
      <c r="Q1027" s="17"/>
      <c r="R1027" s="17"/>
      <c r="S1027" s="17"/>
    </row>
    <row r="1028" spans="1:19" s="18" customFormat="1" ht="25.5">
      <c r="A1028" s="16" t="s">
        <v>298</v>
      </c>
      <c r="B1028" s="14">
        <v>793</v>
      </c>
      <c r="C1028" s="15" t="s">
        <v>26</v>
      </c>
      <c r="D1028" s="15" t="s">
        <v>26</v>
      </c>
      <c r="E1028" s="15" t="s">
        <v>796</v>
      </c>
      <c r="F1028" s="15"/>
      <c r="G1028" s="69">
        <f>G1029</f>
        <v>144000</v>
      </c>
      <c r="H1028" s="69">
        <f>H1029</f>
        <v>144000</v>
      </c>
      <c r="I1028" s="171"/>
      <c r="J1028" s="191"/>
      <c r="K1028" s="191"/>
      <c r="L1028" s="191"/>
      <c r="M1028" s="191"/>
      <c r="N1028" s="191"/>
      <c r="O1028" s="191"/>
      <c r="P1028" s="191"/>
      <c r="Q1028" s="191"/>
    </row>
    <row r="1029" spans="1:19" s="18" customFormat="1" ht="25.5">
      <c r="A1029" s="16" t="s">
        <v>36</v>
      </c>
      <c r="B1029" s="15" t="s">
        <v>837</v>
      </c>
      <c r="C1029" s="15" t="s">
        <v>26</v>
      </c>
      <c r="D1029" s="15" t="s">
        <v>26</v>
      </c>
      <c r="E1029" s="15" t="s">
        <v>796</v>
      </c>
      <c r="F1029" s="15" t="s">
        <v>37</v>
      </c>
      <c r="G1029" s="69">
        <f>G1030</f>
        <v>144000</v>
      </c>
      <c r="H1029" s="69">
        <f>H1030</f>
        <v>144000</v>
      </c>
      <c r="I1029" s="171"/>
      <c r="J1029" s="191"/>
      <c r="K1029" s="191"/>
      <c r="L1029" s="191"/>
      <c r="M1029" s="191"/>
      <c r="N1029" s="191"/>
      <c r="O1029" s="191"/>
      <c r="P1029" s="191"/>
      <c r="Q1029" s="191"/>
    </row>
    <row r="1030" spans="1:19" s="18" customFormat="1" ht="25.5">
      <c r="A1030" s="16" t="s">
        <v>38</v>
      </c>
      <c r="B1030" s="15" t="s">
        <v>837</v>
      </c>
      <c r="C1030" s="15" t="s">
        <v>26</v>
      </c>
      <c r="D1030" s="15" t="s">
        <v>26</v>
      </c>
      <c r="E1030" s="15" t="s">
        <v>796</v>
      </c>
      <c r="F1030" s="15" t="s">
        <v>39</v>
      </c>
      <c r="G1030" s="69">
        <f>'прил 5,'!G1683</f>
        <v>144000</v>
      </c>
      <c r="H1030" s="69">
        <f>'прил 5,'!H1683</f>
        <v>144000</v>
      </c>
      <c r="I1030" s="171"/>
      <c r="J1030" s="191"/>
      <c r="K1030" s="191"/>
      <c r="L1030" s="191"/>
      <c r="M1030" s="191"/>
      <c r="N1030" s="191"/>
      <c r="O1030" s="191"/>
      <c r="P1030" s="191"/>
      <c r="Q1030" s="191"/>
    </row>
    <row r="1031" spans="1:19" s="18" customFormat="1" ht="25.5" hidden="1">
      <c r="A1031" s="81" t="s">
        <v>298</v>
      </c>
      <c r="B1031" s="14">
        <v>757</v>
      </c>
      <c r="C1031" s="15" t="s">
        <v>26</v>
      </c>
      <c r="D1031" s="15" t="s">
        <v>26</v>
      </c>
      <c r="E1031" s="15" t="s">
        <v>796</v>
      </c>
      <c r="F1031" s="15"/>
      <c r="G1031" s="86">
        <f>G1032</f>
        <v>0</v>
      </c>
      <c r="H1031" s="69"/>
      <c r="O1031" s="17"/>
      <c r="P1031" s="17"/>
      <c r="Q1031" s="17"/>
      <c r="R1031" s="17"/>
      <c r="S1031" s="17"/>
    </row>
    <row r="1032" spans="1:19" s="18" customFormat="1" ht="25.5" hidden="1">
      <c r="A1032" s="81" t="s">
        <v>36</v>
      </c>
      <c r="B1032" s="14">
        <v>757</v>
      </c>
      <c r="C1032" s="15" t="s">
        <v>26</v>
      </c>
      <c r="D1032" s="15" t="s">
        <v>26</v>
      </c>
      <c r="E1032" s="15" t="s">
        <v>796</v>
      </c>
      <c r="F1032" s="15" t="s">
        <v>37</v>
      </c>
      <c r="G1032" s="86">
        <f>G1033</f>
        <v>0</v>
      </c>
      <c r="H1032" s="69"/>
      <c r="O1032" s="17"/>
      <c r="P1032" s="17"/>
      <c r="Q1032" s="17"/>
      <c r="R1032" s="17"/>
      <c r="S1032" s="17"/>
    </row>
    <row r="1033" spans="1:19" s="18" customFormat="1" ht="25.5" hidden="1">
      <c r="A1033" s="81" t="s">
        <v>38</v>
      </c>
      <c r="B1033" s="14">
        <v>757</v>
      </c>
      <c r="C1033" s="15" t="s">
        <v>26</v>
      </c>
      <c r="D1033" s="15" t="s">
        <v>26</v>
      </c>
      <c r="E1033" s="15" t="s">
        <v>796</v>
      </c>
      <c r="F1033" s="15" t="s">
        <v>39</v>
      </c>
      <c r="G1033" s="69">
        <f>'прил 5,'!G118</f>
        <v>0</v>
      </c>
      <c r="H1033" s="69"/>
      <c r="O1033" s="17"/>
      <c r="P1033" s="17"/>
      <c r="Q1033" s="17"/>
      <c r="R1033" s="17"/>
      <c r="S1033" s="17"/>
    </row>
    <row r="1034" spans="1:19" s="22" customFormat="1" ht="41.45" customHeight="1">
      <c r="A1034" s="34" t="s">
        <v>1124</v>
      </c>
      <c r="B1034" s="35">
        <v>793</v>
      </c>
      <c r="C1034" s="36" t="s">
        <v>70</v>
      </c>
      <c r="D1034" s="36" t="s">
        <v>309</v>
      </c>
      <c r="E1034" s="36" t="s">
        <v>254</v>
      </c>
      <c r="F1034" s="36"/>
      <c r="G1034" s="70">
        <f>G1035+G1038+G1041</f>
        <v>186600</v>
      </c>
      <c r="H1034" s="70">
        <f t="shared" ref="H1034" si="284">H1035+H1038+H1041</f>
        <v>166600</v>
      </c>
      <c r="I1034" s="21">
        <v>100000</v>
      </c>
      <c r="O1034" s="21"/>
      <c r="P1034" s="21"/>
      <c r="Q1034" s="21"/>
      <c r="R1034" s="21"/>
      <c r="S1034" s="21"/>
    </row>
    <row r="1035" spans="1:19" ht="63.75">
      <c r="A1035" s="16" t="s">
        <v>514</v>
      </c>
      <c r="B1035" s="14">
        <v>793</v>
      </c>
      <c r="C1035" s="15" t="s">
        <v>70</v>
      </c>
      <c r="D1035" s="15" t="s">
        <v>309</v>
      </c>
      <c r="E1035" s="15" t="s">
        <v>255</v>
      </c>
      <c r="F1035" s="15"/>
      <c r="G1035" s="86">
        <f t="shared" ref="G1035:H1036" si="285">G1036</f>
        <v>166600</v>
      </c>
      <c r="H1035" s="86">
        <f t="shared" si="285"/>
        <v>166600</v>
      </c>
    </row>
    <row r="1036" spans="1:19" ht="25.5">
      <c r="A1036" s="16" t="s">
        <v>38</v>
      </c>
      <c r="B1036" s="14">
        <v>793</v>
      </c>
      <c r="C1036" s="15" t="s">
        <v>70</v>
      </c>
      <c r="D1036" s="15" t="s">
        <v>309</v>
      </c>
      <c r="E1036" s="15" t="s">
        <v>255</v>
      </c>
      <c r="F1036" s="15" t="s">
        <v>37</v>
      </c>
      <c r="G1036" s="86">
        <f t="shared" si="285"/>
        <v>166600</v>
      </c>
      <c r="H1036" s="86">
        <f t="shared" si="285"/>
        <v>166600</v>
      </c>
    </row>
    <row r="1037" spans="1:19" ht="33" customHeight="1">
      <c r="A1037" s="16" t="s">
        <v>38</v>
      </c>
      <c r="B1037" s="14">
        <v>793</v>
      </c>
      <c r="C1037" s="15" t="s">
        <v>70</v>
      </c>
      <c r="D1037" s="15" t="s">
        <v>309</v>
      </c>
      <c r="E1037" s="15" t="s">
        <v>255</v>
      </c>
      <c r="F1037" s="15" t="s">
        <v>39</v>
      </c>
      <c r="G1037" s="86">
        <f>'прил 5,'!G1346</f>
        <v>166600</v>
      </c>
      <c r="H1037" s="86">
        <f>'прил 5,'!H1346</f>
        <v>166600</v>
      </c>
    </row>
    <row r="1038" spans="1:19" ht="38.25">
      <c r="A1038" s="16" t="s">
        <v>415</v>
      </c>
      <c r="B1038" s="14">
        <v>793</v>
      </c>
      <c r="C1038" s="15" t="s">
        <v>70</v>
      </c>
      <c r="D1038" s="15" t="s">
        <v>309</v>
      </c>
      <c r="E1038" s="15" t="s">
        <v>414</v>
      </c>
      <c r="F1038" s="15"/>
      <c r="G1038" s="69">
        <f>G1039</f>
        <v>20000</v>
      </c>
      <c r="H1038" s="69">
        <f t="shared" ref="H1038" si="286">H1039</f>
        <v>0</v>
      </c>
      <c r="I1038" s="1"/>
    </row>
    <row r="1039" spans="1:19" ht="25.5">
      <c r="A1039" s="16" t="s">
        <v>38</v>
      </c>
      <c r="B1039" s="14">
        <v>793</v>
      </c>
      <c r="C1039" s="15" t="s">
        <v>70</v>
      </c>
      <c r="D1039" s="15" t="s">
        <v>309</v>
      </c>
      <c r="E1039" s="15" t="s">
        <v>414</v>
      </c>
      <c r="F1039" s="15" t="s">
        <v>37</v>
      </c>
      <c r="G1039" s="69">
        <f>G1040</f>
        <v>20000</v>
      </c>
      <c r="H1039" s="69">
        <f t="shared" ref="H1039:N1039" si="287">H1040</f>
        <v>0</v>
      </c>
      <c r="I1039" s="69">
        <f t="shared" si="287"/>
        <v>0</v>
      </c>
      <c r="J1039" s="69">
        <f t="shared" si="287"/>
        <v>0</v>
      </c>
      <c r="K1039" s="69">
        <f t="shared" si="287"/>
        <v>0</v>
      </c>
      <c r="L1039" s="69">
        <f t="shared" si="287"/>
        <v>0</v>
      </c>
      <c r="M1039" s="69">
        <f t="shared" si="287"/>
        <v>0</v>
      </c>
      <c r="N1039" s="69">
        <f t="shared" si="287"/>
        <v>0</v>
      </c>
    </row>
    <row r="1040" spans="1:19" ht="25.5">
      <c r="A1040" s="16" t="s">
        <v>38</v>
      </c>
      <c r="B1040" s="14">
        <v>793</v>
      </c>
      <c r="C1040" s="15" t="s">
        <v>70</v>
      </c>
      <c r="D1040" s="15" t="s">
        <v>309</v>
      </c>
      <c r="E1040" s="15" t="s">
        <v>414</v>
      </c>
      <c r="F1040" s="15" t="s">
        <v>39</v>
      </c>
      <c r="G1040" s="69">
        <f>'прил 5,'!G1349</f>
        <v>20000</v>
      </c>
      <c r="H1040" s="69">
        <f>'прил 5,'!H1349</f>
        <v>0</v>
      </c>
      <c r="I1040" s="1"/>
    </row>
    <row r="1041" spans="1:19" ht="46.5" hidden="1" customHeight="1">
      <c r="A1041" s="57" t="s">
        <v>494</v>
      </c>
      <c r="B1041" s="14">
        <v>793</v>
      </c>
      <c r="C1041" s="15" t="s">
        <v>70</v>
      </c>
      <c r="D1041" s="15" t="s">
        <v>309</v>
      </c>
      <c r="E1041" s="15" t="s">
        <v>777</v>
      </c>
      <c r="F1041" s="15"/>
      <c r="G1041" s="69">
        <f>G1042</f>
        <v>0</v>
      </c>
      <c r="H1041" s="69">
        <f t="shared" ref="H1041" si="288">H1042</f>
        <v>0</v>
      </c>
      <c r="I1041" s="1"/>
    </row>
    <row r="1042" spans="1:19" hidden="1">
      <c r="A1042" s="16" t="s">
        <v>323</v>
      </c>
      <c r="B1042" s="14">
        <v>793</v>
      </c>
      <c r="C1042" s="15" t="s">
        <v>70</v>
      </c>
      <c r="D1042" s="15" t="s">
        <v>309</v>
      </c>
      <c r="E1042" s="15" t="s">
        <v>777</v>
      </c>
      <c r="F1042" s="15" t="s">
        <v>37</v>
      </c>
      <c r="G1042" s="69">
        <f>G1043</f>
        <v>0</v>
      </c>
      <c r="H1042" s="69">
        <f>H1043</f>
        <v>0</v>
      </c>
      <c r="I1042" s="1"/>
    </row>
    <row r="1043" spans="1:19" ht="25.5" hidden="1">
      <c r="A1043" s="16" t="s">
        <v>38</v>
      </c>
      <c r="B1043" s="14">
        <v>793</v>
      </c>
      <c r="C1043" s="15" t="s">
        <v>70</v>
      </c>
      <c r="D1043" s="15" t="s">
        <v>309</v>
      </c>
      <c r="E1043" s="15" t="s">
        <v>777</v>
      </c>
      <c r="F1043" s="15" t="s">
        <v>39</v>
      </c>
      <c r="G1043" s="69"/>
      <c r="H1043" s="69"/>
      <c r="I1043" s="1"/>
    </row>
    <row r="1044" spans="1:19" s="226" customFormat="1" ht="30" hidden="1" customHeight="1">
      <c r="A1044" s="76" t="s">
        <v>477</v>
      </c>
      <c r="B1044" s="36" t="s">
        <v>94</v>
      </c>
      <c r="C1044" s="36" t="s">
        <v>26</v>
      </c>
      <c r="D1044" s="36" t="s">
        <v>19</v>
      </c>
      <c r="E1044" s="36" t="s">
        <v>220</v>
      </c>
      <c r="F1044" s="36"/>
      <c r="G1044" s="70">
        <f>G1045</f>
        <v>0</v>
      </c>
      <c r="H1044" s="70">
        <f>H1045</f>
        <v>0</v>
      </c>
      <c r="I1044" s="225">
        <v>100000</v>
      </c>
      <c r="O1044" s="225"/>
      <c r="P1044" s="225"/>
      <c r="Q1044" s="225"/>
      <c r="R1044" s="225"/>
      <c r="S1044" s="225"/>
    </row>
    <row r="1045" spans="1:19" s="18" customFormat="1" ht="25.5" hidden="1">
      <c r="A1045" s="16" t="s">
        <v>99</v>
      </c>
      <c r="B1045" s="15" t="s">
        <v>94</v>
      </c>
      <c r="C1045" s="15" t="s">
        <v>26</v>
      </c>
      <c r="D1045" s="15" t="s">
        <v>19</v>
      </c>
      <c r="E1045" s="15" t="s">
        <v>221</v>
      </c>
      <c r="F1045" s="15"/>
      <c r="G1045" s="86">
        <f>G1046+G1048</f>
        <v>0</v>
      </c>
      <c r="H1045" s="86">
        <f>H1046+H1048</f>
        <v>0</v>
      </c>
      <c r="I1045" s="17">
        <v>50000</v>
      </c>
      <c r="O1045" s="17"/>
      <c r="P1045" s="17"/>
      <c r="Q1045" s="17"/>
      <c r="R1045" s="17"/>
      <c r="S1045" s="17"/>
    </row>
    <row r="1046" spans="1:19" s="18" customFormat="1" ht="25.5" hidden="1" customHeight="1">
      <c r="A1046" s="16" t="s">
        <v>353</v>
      </c>
      <c r="B1046" s="14">
        <v>793</v>
      </c>
      <c r="C1046" s="15" t="s">
        <v>69</v>
      </c>
      <c r="D1046" s="15" t="s">
        <v>70</v>
      </c>
      <c r="E1046" s="15" t="s">
        <v>221</v>
      </c>
      <c r="F1046" s="15" t="s">
        <v>149</v>
      </c>
      <c r="G1046" s="86">
        <f>G1047</f>
        <v>0</v>
      </c>
      <c r="H1046" s="86">
        <f>H1047</f>
        <v>0</v>
      </c>
      <c r="I1046" s="17">
        <v>630000</v>
      </c>
      <c r="O1046" s="17"/>
      <c r="P1046" s="17"/>
      <c r="Q1046" s="17"/>
      <c r="R1046" s="17"/>
      <c r="S1046" s="17"/>
    </row>
    <row r="1047" spans="1:19" s="18" customFormat="1" ht="25.5" hidden="1">
      <c r="A1047" s="16" t="s">
        <v>150</v>
      </c>
      <c r="B1047" s="14">
        <v>793</v>
      </c>
      <c r="C1047" s="15" t="s">
        <v>69</v>
      </c>
      <c r="D1047" s="15" t="s">
        <v>70</v>
      </c>
      <c r="E1047" s="15" t="s">
        <v>221</v>
      </c>
      <c r="F1047" s="15" t="s">
        <v>151</v>
      </c>
      <c r="G1047" s="86">
        <f>'прил 5,'!G1725</f>
        <v>0</v>
      </c>
      <c r="H1047" s="86">
        <f>'прил 5,'!H1725</f>
        <v>0</v>
      </c>
      <c r="I1047" s="17">
        <f>SUM(I1044:I1046)</f>
        <v>780000</v>
      </c>
      <c r="O1047" s="17"/>
      <c r="P1047" s="17"/>
      <c r="Q1047" s="17"/>
      <c r="R1047" s="17"/>
      <c r="S1047" s="17"/>
    </row>
    <row r="1048" spans="1:19" s="18" customFormat="1" ht="25.5" hidden="1">
      <c r="A1048" s="16" t="s">
        <v>30</v>
      </c>
      <c r="B1048" s="15" t="s">
        <v>94</v>
      </c>
      <c r="C1048" s="15" t="s">
        <v>26</v>
      </c>
      <c r="D1048" s="15" t="s">
        <v>19</v>
      </c>
      <c r="E1048" s="15" t="s">
        <v>221</v>
      </c>
      <c r="F1048" s="15" t="s">
        <v>31</v>
      </c>
      <c r="G1048" s="86">
        <f>G1049</f>
        <v>0</v>
      </c>
      <c r="H1048" s="86">
        <f>H1049</f>
        <v>0</v>
      </c>
      <c r="I1048" s="17"/>
      <c r="O1048" s="17"/>
      <c r="P1048" s="17"/>
      <c r="Q1048" s="17"/>
      <c r="R1048" s="17"/>
      <c r="S1048" s="17"/>
    </row>
    <row r="1049" spans="1:19" s="18" customFormat="1" hidden="1">
      <c r="A1049" s="16" t="s">
        <v>32</v>
      </c>
      <c r="B1049" s="15" t="s">
        <v>94</v>
      </c>
      <c r="C1049" s="15" t="s">
        <v>26</v>
      </c>
      <c r="D1049" s="15" t="s">
        <v>19</v>
      </c>
      <c r="E1049" s="15" t="s">
        <v>221</v>
      </c>
      <c r="F1049" s="15" t="s">
        <v>33</v>
      </c>
      <c r="G1049" s="86">
        <f>'прил 5,'!G544+'прил 5,'!G732</f>
        <v>0</v>
      </c>
      <c r="H1049" s="86">
        <f>'прил 5,'!H544+'прил 5,'!H732</f>
        <v>0</v>
      </c>
      <c r="I1049" s="17"/>
      <c r="O1049" s="17"/>
      <c r="P1049" s="17"/>
      <c r="Q1049" s="17"/>
      <c r="R1049" s="17"/>
      <c r="S1049" s="17"/>
    </row>
    <row r="1050" spans="1:19" s="22" customFormat="1" ht="38.25">
      <c r="A1050" s="34" t="s">
        <v>478</v>
      </c>
      <c r="B1050" s="35">
        <v>793</v>
      </c>
      <c r="C1050" s="36" t="s">
        <v>70</v>
      </c>
      <c r="D1050" s="36" t="s">
        <v>309</v>
      </c>
      <c r="E1050" s="36" t="s">
        <v>256</v>
      </c>
      <c r="F1050" s="36"/>
      <c r="G1050" s="70">
        <f>G1051</f>
        <v>323000</v>
      </c>
      <c r="H1050" s="70">
        <f>H1053+H1054</f>
        <v>323000</v>
      </c>
      <c r="I1050" s="21">
        <v>100000</v>
      </c>
      <c r="O1050" s="21"/>
      <c r="P1050" s="21"/>
      <c r="Q1050" s="21"/>
      <c r="R1050" s="21"/>
      <c r="S1050" s="21"/>
    </row>
    <row r="1051" spans="1:19" ht="38.25">
      <c r="A1051" s="16" t="s">
        <v>336</v>
      </c>
      <c r="B1051" s="14">
        <v>793</v>
      </c>
      <c r="C1051" s="15" t="s">
        <v>70</v>
      </c>
      <c r="D1051" s="15" t="s">
        <v>309</v>
      </c>
      <c r="E1051" s="15" t="s">
        <v>257</v>
      </c>
      <c r="F1051" s="15"/>
      <c r="G1051" s="86">
        <f>G1052+G1054</f>
        <v>323000</v>
      </c>
      <c r="H1051" s="86">
        <f t="shared" ref="H1051" si="289">H1052+H1054</f>
        <v>323000</v>
      </c>
      <c r="I1051" s="2">
        <v>75000</v>
      </c>
    </row>
    <row r="1052" spans="1:19" ht="25.5">
      <c r="A1052" s="16" t="s">
        <v>38</v>
      </c>
      <c r="B1052" s="14">
        <v>793</v>
      </c>
      <c r="C1052" s="15" t="s">
        <v>70</v>
      </c>
      <c r="D1052" s="15" t="s">
        <v>309</v>
      </c>
      <c r="E1052" s="15" t="s">
        <v>257</v>
      </c>
      <c r="F1052" s="15" t="s">
        <v>37</v>
      </c>
      <c r="G1052" s="86">
        <f>G1053</f>
        <v>123000</v>
      </c>
      <c r="H1052" s="86">
        <f t="shared" ref="H1052" si="290">H1053</f>
        <v>123000</v>
      </c>
    </row>
    <row r="1053" spans="1:19" ht="31.5" customHeight="1">
      <c r="A1053" s="16" t="s">
        <v>38</v>
      </c>
      <c r="B1053" s="14">
        <v>793</v>
      </c>
      <c r="C1053" s="15" t="s">
        <v>70</v>
      </c>
      <c r="D1053" s="15" t="s">
        <v>309</v>
      </c>
      <c r="E1053" s="15" t="s">
        <v>257</v>
      </c>
      <c r="F1053" s="15" t="s">
        <v>39</v>
      </c>
      <c r="G1053" s="86">
        <f>'прил 5,'!G1356+'прил 5,'!G461</f>
        <v>123000</v>
      </c>
      <c r="H1053" s="86">
        <f>'прил 5,'!H461+'прил 5,'!H1356</f>
        <v>123000</v>
      </c>
    </row>
    <row r="1054" spans="1:19" s="18" customFormat="1" ht="25.5">
      <c r="A1054" s="16" t="s">
        <v>30</v>
      </c>
      <c r="B1054" s="14">
        <v>774</v>
      </c>
      <c r="C1054" s="15" t="s">
        <v>70</v>
      </c>
      <c r="D1054" s="15" t="s">
        <v>309</v>
      </c>
      <c r="E1054" s="15" t="s">
        <v>257</v>
      </c>
      <c r="F1054" s="15" t="s">
        <v>31</v>
      </c>
      <c r="G1054" s="69">
        <f t="shared" ref="G1054:H1054" si="291">G1055</f>
        <v>200000</v>
      </c>
      <c r="H1054" s="69">
        <f t="shared" si="291"/>
        <v>200000</v>
      </c>
      <c r="O1054" s="17"/>
      <c r="P1054" s="17"/>
      <c r="Q1054" s="17"/>
      <c r="R1054" s="17"/>
      <c r="S1054" s="17"/>
    </row>
    <row r="1055" spans="1:19" s="18" customFormat="1">
      <c r="A1055" s="16" t="s">
        <v>32</v>
      </c>
      <c r="B1055" s="14">
        <v>774</v>
      </c>
      <c r="C1055" s="15" t="s">
        <v>70</v>
      </c>
      <c r="D1055" s="15" t="s">
        <v>309</v>
      </c>
      <c r="E1055" s="15" t="s">
        <v>257</v>
      </c>
      <c r="F1055" s="15" t="s">
        <v>33</v>
      </c>
      <c r="G1055" s="69">
        <f>'прил 5,'!G463</f>
        <v>200000</v>
      </c>
      <c r="H1055" s="69">
        <f>'прил 5,'!H463</f>
        <v>200000</v>
      </c>
      <c r="K1055" s="17"/>
      <c r="O1055" s="17"/>
      <c r="P1055" s="17"/>
      <c r="Q1055" s="17"/>
      <c r="R1055" s="17"/>
      <c r="S1055" s="17"/>
    </row>
    <row r="1056" spans="1:19" s="75" customFormat="1" ht="45" customHeight="1">
      <c r="A1056" s="34" t="s">
        <v>439</v>
      </c>
      <c r="B1056" s="35">
        <v>792</v>
      </c>
      <c r="C1056" s="36" t="s">
        <v>19</v>
      </c>
      <c r="D1056" s="36" t="s">
        <v>54</v>
      </c>
      <c r="E1056" s="36" t="s">
        <v>229</v>
      </c>
      <c r="F1056" s="74"/>
      <c r="G1056" s="70">
        <f>G1057+G1065+G1069</f>
        <v>60776905.409999996</v>
      </c>
      <c r="H1056" s="70">
        <f>H1057+H1065+H1069</f>
        <v>60614075.659999996</v>
      </c>
      <c r="I1056" s="230">
        <v>1012500</v>
      </c>
      <c r="O1056" s="169"/>
      <c r="P1056" s="230"/>
      <c r="Q1056" s="230"/>
      <c r="R1056" s="230"/>
      <c r="S1056" s="230"/>
    </row>
    <row r="1057" spans="1:19" s="46" customFormat="1" ht="51" customHeight="1">
      <c r="A1057" s="16" t="s">
        <v>162</v>
      </c>
      <c r="B1057" s="14">
        <v>792</v>
      </c>
      <c r="C1057" s="15" t="s">
        <v>19</v>
      </c>
      <c r="D1057" s="15" t="s">
        <v>161</v>
      </c>
      <c r="E1057" s="15" t="s">
        <v>231</v>
      </c>
      <c r="F1057" s="15"/>
      <c r="G1057" s="86">
        <f>G1058</f>
        <v>11937631</v>
      </c>
      <c r="H1057" s="86">
        <f t="shared" ref="H1057" si="292">H1058</f>
        <v>11893631.499999998</v>
      </c>
      <c r="I1057" s="107">
        <v>11992167</v>
      </c>
      <c r="O1057" s="107"/>
      <c r="P1057" s="107"/>
      <c r="Q1057" s="107"/>
      <c r="R1057" s="107"/>
      <c r="S1057" s="107"/>
    </row>
    <row r="1058" spans="1:19" s="46" customFormat="1" ht="34.5" customHeight="1">
      <c r="A1058" s="16" t="s">
        <v>76</v>
      </c>
      <c r="B1058" s="14">
        <v>792</v>
      </c>
      <c r="C1058" s="15" t="s">
        <v>19</v>
      </c>
      <c r="D1058" s="15" t="s">
        <v>161</v>
      </c>
      <c r="E1058" s="15" t="s">
        <v>232</v>
      </c>
      <c r="F1058" s="15"/>
      <c r="G1058" s="86">
        <f>G1059+G1061+G1063</f>
        <v>11937631</v>
      </c>
      <c r="H1058" s="86">
        <f t="shared" ref="H1058" si="293">H1059+H1061+H1063</f>
        <v>11893631.499999998</v>
      </c>
      <c r="I1058" s="107">
        <v>967059</v>
      </c>
      <c r="O1058" s="107"/>
      <c r="P1058" s="107"/>
      <c r="Q1058" s="107"/>
      <c r="R1058" s="107"/>
      <c r="S1058" s="107"/>
    </row>
    <row r="1059" spans="1:19" s="46" customFormat="1" ht="51">
      <c r="A1059" s="16" t="s">
        <v>55</v>
      </c>
      <c r="B1059" s="14">
        <v>792</v>
      </c>
      <c r="C1059" s="15" t="s">
        <v>19</v>
      </c>
      <c r="D1059" s="15" t="s">
        <v>161</v>
      </c>
      <c r="E1059" s="15" t="s">
        <v>232</v>
      </c>
      <c r="F1059" s="15" t="s">
        <v>58</v>
      </c>
      <c r="G1059" s="86">
        <f>G1060</f>
        <v>10609115</v>
      </c>
      <c r="H1059" s="86">
        <f>H1060</f>
        <v>10592953.869999999</v>
      </c>
      <c r="I1059" s="107">
        <v>26000</v>
      </c>
      <c r="O1059" s="107"/>
      <c r="P1059" s="107"/>
      <c r="Q1059" s="107"/>
      <c r="R1059" s="107"/>
      <c r="S1059" s="107"/>
    </row>
    <row r="1060" spans="1:19" s="46" customFormat="1" ht="25.5">
      <c r="A1060" s="16" t="s">
        <v>56</v>
      </c>
      <c r="B1060" s="14">
        <v>792</v>
      </c>
      <c r="C1060" s="15" t="s">
        <v>19</v>
      </c>
      <c r="D1060" s="15" t="s">
        <v>161</v>
      </c>
      <c r="E1060" s="15" t="s">
        <v>232</v>
      </c>
      <c r="F1060" s="15" t="s">
        <v>59</v>
      </c>
      <c r="G1060" s="86">
        <f>'прил 5,'!G1063</f>
        <v>10609115</v>
      </c>
      <c r="H1060" s="86">
        <f>'прил 5,'!H1063</f>
        <v>10592953.869999999</v>
      </c>
      <c r="I1060" s="107">
        <v>3043600</v>
      </c>
      <c r="O1060" s="107"/>
      <c r="P1060" s="107"/>
      <c r="Q1060" s="107"/>
      <c r="R1060" s="107"/>
      <c r="S1060" s="107"/>
    </row>
    <row r="1061" spans="1:19" s="46" customFormat="1" ht="25.5">
      <c r="A1061" s="16" t="s">
        <v>36</v>
      </c>
      <c r="B1061" s="14">
        <v>792</v>
      </c>
      <c r="C1061" s="15" t="s">
        <v>19</v>
      </c>
      <c r="D1061" s="15" t="s">
        <v>161</v>
      </c>
      <c r="E1061" s="15" t="s">
        <v>232</v>
      </c>
      <c r="F1061" s="15" t="s">
        <v>37</v>
      </c>
      <c r="G1061" s="86">
        <f>G1062</f>
        <v>1302516</v>
      </c>
      <c r="H1061" s="86">
        <f>H1062</f>
        <v>1275346.93</v>
      </c>
      <c r="I1061" s="107">
        <v>50000</v>
      </c>
      <c r="O1061" s="107"/>
      <c r="P1061" s="107"/>
      <c r="Q1061" s="107"/>
      <c r="R1061" s="107"/>
      <c r="S1061" s="107"/>
    </row>
    <row r="1062" spans="1:19" s="46" customFormat="1" ht="25.5">
      <c r="A1062" s="16" t="s">
        <v>38</v>
      </c>
      <c r="B1062" s="14">
        <v>792</v>
      </c>
      <c r="C1062" s="15" t="s">
        <v>19</v>
      </c>
      <c r="D1062" s="15" t="s">
        <v>161</v>
      </c>
      <c r="E1062" s="15" t="s">
        <v>232</v>
      </c>
      <c r="F1062" s="15" t="s">
        <v>39</v>
      </c>
      <c r="G1062" s="86">
        <f>'прил 5,'!G1065</f>
        <v>1302516</v>
      </c>
      <c r="H1062" s="86">
        <f>'прил 5,'!H1065</f>
        <v>1275346.93</v>
      </c>
      <c r="I1062" s="107">
        <v>15487188</v>
      </c>
      <c r="O1062" s="107"/>
      <c r="P1062" s="107"/>
      <c r="Q1062" s="107"/>
      <c r="R1062" s="107"/>
      <c r="S1062" s="107"/>
    </row>
    <row r="1063" spans="1:19" s="46" customFormat="1">
      <c r="A1063" s="30" t="s">
        <v>63</v>
      </c>
      <c r="B1063" s="14">
        <v>792</v>
      </c>
      <c r="C1063" s="15" t="s">
        <v>19</v>
      </c>
      <c r="D1063" s="15" t="s">
        <v>161</v>
      </c>
      <c r="E1063" s="15" t="s">
        <v>232</v>
      </c>
      <c r="F1063" s="15" t="s">
        <v>64</v>
      </c>
      <c r="G1063" s="69">
        <f>G1064</f>
        <v>26000</v>
      </c>
      <c r="H1063" s="69">
        <f>H1064</f>
        <v>25330.7</v>
      </c>
      <c r="I1063" s="107">
        <v>4802400</v>
      </c>
      <c r="O1063" s="107"/>
      <c r="P1063" s="107"/>
      <c r="Q1063" s="107"/>
      <c r="R1063" s="107"/>
      <c r="S1063" s="107"/>
    </row>
    <row r="1064" spans="1:19" s="46" customFormat="1">
      <c r="A1064" s="30" t="s">
        <v>144</v>
      </c>
      <c r="B1064" s="14">
        <v>792</v>
      </c>
      <c r="C1064" s="15" t="s">
        <v>19</v>
      </c>
      <c r="D1064" s="15" t="s">
        <v>161</v>
      </c>
      <c r="E1064" s="15" t="s">
        <v>232</v>
      </c>
      <c r="F1064" s="15" t="s">
        <v>67</v>
      </c>
      <c r="G1064" s="69">
        <f>'прил 5,'!G1067</f>
        <v>26000</v>
      </c>
      <c r="H1064" s="69">
        <f>'прил 5,'!H1067</f>
        <v>25330.7</v>
      </c>
      <c r="I1064" s="107">
        <v>16556640</v>
      </c>
      <c r="O1064" s="107"/>
      <c r="P1064" s="107"/>
      <c r="Q1064" s="107"/>
      <c r="R1064" s="107"/>
      <c r="S1064" s="107"/>
    </row>
    <row r="1065" spans="1:19" s="28" customFormat="1" ht="25.5">
      <c r="A1065" s="16" t="s">
        <v>302</v>
      </c>
      <c r="B1065" s="14">
        <v>792</v>
      </c>
      <c r="C1065" s="15" t="s">
        <v>23</v>
      </c>
      <c r="D1065" s="15" t="s">
        <v>19</v>
      </c>
      <c r="E1065" s="15" t="s">
        <v>235</v>
      </c>
      <c r="F1065" s="39"/>
      <c r="G1065" s="86">
        <f>G1066</f>
        <v>390950.79999999981</v>
      </c>
      <c r="H1065" s="86">
        <f t="shared" ref="H1065:H1067" si="294">H1066</f>
        <v>272120.55</v>
      </c>
      <c r="I1065" s="106">
        <v>3200000</v>
      </c>
      <c r="O1065" s="106"/>
      <c r="P1065" s="106"/>
      <c r="Q1065" s="106"/>
      <c r="R1065" s="106"/>
      <c r="S1065" s="106"/>
    </row>
    <row r="1066" spans="1:19">
      <c r="A1066" s="16" t="s">
        <v>303</v>
      </c>
      <c r="B1066" s="14">
        <v>792</v>
      </c>
      <c r="C1066" s="15" t="s">
        <v>23</v>
      </c>
      <c r="D1066" s="15" t="s">
        <v>19</v>
      </c>
      <c r="E1066" s="15" t="s">
        <v>236</v>
      </c>
      <c r="F1066" s="15"/>
      <c r="G1066" s="86">
        <f>G1067</f>
        <v>390950.79999999981</v>
      </c>
      <c r="H1066" s="86">
        <f t="shared" si="294"/>
        <v>272120.55</v>
      </c>
      <c r="I1066" s="2">
        <f>SUM(I1056:I1065)</f>
        <v>57137554</v>
      </c>
    </row>
    <row r="1067" spans="1:19">
      <c r="A1067" s="16" t="s">
        <v>304</v>
      </c>
      <c r="B1067" s="14">
        <v>792</v>
      </c>
      <c r="C1067" s="15" t="s">
        <v>23</v>
      </c>
      <c r="D1067" s="15" t="s">
        <v>19</v>
      </c>
      <c r="E1067" s="15" t="s">
        <v>236</v>
      </c>
      <c r="F1067" s="15" t="s">
        <v>305</v>
      </c>
      <c r="G1067" s="86">
        <f>G1068</f>
        <v>390950.79999999981</v>
      </c>
      <c r="H1067" s="86">
        <f t="shared" si="294"/>
        <v>272120.55</v>
      </c>
      <c r="I1067" s="2">
        <f>H1056-I1066</f>
        <v>3476521.6599999964</v>
      </c>
    </row>
    <row r="1068" spans="1:19">
      <c r="A1068" s="16" t="s">
        <v>306</v>
      </c>
      <c r="B1068" s="14">
        <v>792</v>
      </c>
      <c r="C1068" s="15" t="s">
        <v>23</v>
      </c>
      <c r="D1068" s="15" t="s">
        <v>19</v>
      </c>
      <c r="E1068" s="15" t="s">
        <v>236</v>
      </c>
      <c r="F1068" s="15" t="s">
        <v>307</v>
      </c>
      <c r="G1068" s="86">
        <f>'прил 5,'!G1097+'прил 5,'!G1798</f>
        <v>390950.79999999981</v>
      </c>
      <c r="H1068" s="86">
        <f>'прил 5,'!H1097+'прил 5,'!H1798</f>
        <v>272120.55</v>
      </c>
    </row>
    <row r="1069" spans="1:19" s="18" customFormat="1" ht="38.25">
      <c r="A1069" s="16" t="s">
        <v>155</v>
      </c>
      <c r="B1069" s="14">
        <v>792</v>
      </c>
      <c r="C1069" s="15" t="s">
        <v>309</v>
      </c>
      <c r="D1069" s="15" t="s">
        <v>19</v>
      </c>
      <c r="E1069" s="15" t="s">
        <v>230</v>
      </c>
      <c r="F1069" s="15"/>
      <c r="G1069" s="86">
        <f>G1078+G1082+G1085+G1070+G1073</f>
        <v>48448323.609999999</v>
      </c>
      <c r="H1069" s="86">
        <f t="shared" ref="H1069" si="295">H1078+H1082+H1085+H1070+H1073</f>
        <v>48448323.609999999</v>
      </c>
      <c r="I1069" s="17"/>
      <c r="O1069" s="17"/>
      <c r="P1069" s="17"/>
      <c r="Q1069" s="17"/>
      <c r="R1069" s="17"/>
      <c r="S1069" s="17"/>
    </row>
    <row r="1070" spans="1:19" s="28" customFormat="1" ht="25.5">
      <c r="A1070" s="16" t="s">
        <v>167</v>
      </c>
      <c r="B1070" s="14">
        <v>792</v>
      </c>
      <c r="C1070" s="15" t="s">
        <v>28</v>
      </c>
      <c r="D1070" s="15" t="s">
        <v>70</v>
      </c>
      <c r="E1070" s="15" t="s">
        <v>384</v>
      </c>
      <c r="F1070" s="39"/>
      <c r="G1070" s="86">
        <f t="shared" ref="G1070:H1071" si="296">G1071</f>
        <v>3750613.11</v>
      </c>
      <c r="H1070" s="86">
        <f t="shared" si="296"/>
        <v>3750613.11</v>
      </c>
      <c r="I1070" s="106"/>
      <c r="O1070" s="106"/>
      <c r="P1070" s="106"/>
      <c r="Q1070" s="106"/>
      <c r="R1070" s="106"/>
      <c r="S1070" s="106"/>
    </row>
    <row r="1071" spans="1:19">
      <c r="A1071" s="16" t="s">
        <v>156</v>
      </c>
      <c r="B1071" s="14">
        <v>792</v>
      </c>
      <c r="C1071" s="15" t="s">
        <v>28</v>
      </c>
      <c r="D1071" s="15" t="s">
        <v>70</v>
      </c>
      <c r="E1071" s="15" t="s">
        <v>384</v>
      </c>
      <c r="F1071" s="15" t="s">
        <v>157</v>
      </c>
      <c r="G1071" s="86">
        <f t="shared" si="296"/>
        <v>3750613.11</v>
      </c>
      <c r="H1071" s="86">
        <f t="shared" si="296"/>
        <v>3750613.11</v>
      </c>
    </row>
    <row r="1072" spans="1:19">
      <c r="A1072" s="16" t="s">
        <v>158</v>
      </c>
      <c r="B1072" s="14">
        <v>792</v>
      </c>
      <c r="C1072" s="15" t="s">
        <v>28</v>
      </c>
      <c r="D1072" s="15" t="s">
        <v>70</v>
      </c>
      <c r="E1072" s="15" t="s">
        <v>384</v>
      </c>
      <c r="F1072" s="15" t="s">
        <v>159</v>
      </c>
      <c r="G1072" s="86">
        <f>'прил 5,'!G1079</f>
        <v>3750613.11</v>
      </c>
      <c r="H1072" s="86">
        <f>'прил 5,'!H1079</f>
        <v>3750613.11</v>
      </c>
    </row>
    <row r="1073" spans="1:19" ht="63.75">
      <c r="A1073" s="16" t="s">
        <v>676</v>
      </c>
      <c r="B1073" s="14">
        <v>792</v>
      </c>
      <c r="C1073" s="15" t="s">
        <v>19</v>
      </c>
      <c r="D1073" s="15" t="s">
        <v>54</v>
      </c>
      <c r="E1073" s="15" t="s">
        <v>674</v>
      </c>
      <c r="F1073" s="15"/>
      <c r="G1073" s="86">
        <f t="shared" ref="G1073:H1074" si="297">G1074</f>
        <v>1330000</v>
      </c>
      <c r="H1073" s="86">
        <f t="shared" si="297"/>
        <v>1330000</v>
      </c>
    </row>
    <row r="1074" spans="1:19">
      <c r="A1074" s="16" t="s">
        <v>156</v>
      </c>
      <c r="B1074" s="14">
        <v>792</v>
      </c>
      <c r="C1074" s="15" t="s">
        <v>19</v>
      </c>
      <c r="D1074" s="15" t="s">
        <v>54</v>
      </c>
      <c r="E1074" s="15" t="s">
        <v>674</v>
      </c>
      <c r="F1074" s="15" t="s">
        <v>157</v>
      </c>
      <c r="G1074" s="86">
        <f t="shared" si="297"/>
        <v>1330000</v>
      </c>
      <c r="H1074" s="86">
        <f t="shared" si="297"/>
        <v>1330000</v>
      </c>
    </row>
    <row r="1075" spans="1:19">
      <c r="A1075" s="16" t="s">
        <v>158</v>
      </c>
      <c r="B1075" s="14">
        <v>792</v>
      </c>
      <c r="C1075" s="15" t="s">
        <v>19</v>
      </c>
      <c r="D1075" s="15" t="s">
        <v>54</v>
      </c>
      <c r="E1075" s="15" t="s">
        <v>674</v>
      </c>
      <c r="F1075" s="15" t="s">
        <v>159</v>
      </c>
      <c r="G1075" s="86">
        <f>'прил 5,'!G1057</f>
        <v>1330000</v>
      </c>
      <c r="H1075" s="86">
        <f>'прил 5,'!H1057</f>
        <v>1330000</v>
      </c>
    </row>
    <row r="1076" spans="1:19" s="28" customFormat="1" ht="29.25" customHeight="1">
      <c r="A1076" s="16" t="s">
        <v>314</v>
      </c>
      <c r="B1076" s="14">
        <v>792</v>
      </c>
      <c r="C1076" s="15" t="s">
        <v>309</v>
      </c>
      <c r="D1076" s="15" t="s">
        <v>19</v>
      </c>
      <c r="E1076" s="15" t="s">
        <v>237</v>
      </c>
      <c r="F1076" s="15"/>
      <c r="G1076" s="86">
        <f t="shared" ref="G1076:H1077" si="298">G1077</f>
        <v>6314750.5</v>
      </c>
      <c r="H1076" s="86">
        <f t="shared" si="298"/>
        <v>6314750.5</v>
      </c>
      <c r="I1076" s="106"/>
      <c r="O1076" s="106"/>
      <c r="P1076" s="106"/>
      <c r="Q1076" s="106"/>
      <c r="R1076" s="106"/>
      <c r="S1076" s="106"/>
    </row>
    <row r="1077" spans="1:19" s="28" customFormat="1">
      <c r="A1077" s="16" t="s">
        <v>156</v>
      </c>
      <c r="B1077" s="14">
        <v>792</v>
      </c>
      <c r="C1077" s="15" t="s">
        <v>309</v>
      </c>
      <c r="D1077" s="15" t="s">
        <v>19</v>
      </c>
      <c r="E1077" s="15" t="s">
        <v>237</v>
      </c>
      <c r="F1077" s="15" t="s">
        <v>157</v>
      </c>
      <c r="G1077" s="86">
        <f t="shared" si="298"/>
        <v>6314750.5</v>
      </c>
      <c r="H1077" s="86">
        <f t="shared" si="298"/>
        <v>6314750.5</v>
      </c>
      <c r="I1077" s="106"/>
      <c r="O1077" s="106"/>
      <c r="P1077" s="106"/>
      <c r="Q1077" s="106"/>
      <c r="R1077" s="106"/>
      <c r="S1077" s="106"/>
    </row>
    <row r="1078" spans="1:19" s="3" customFormat="1">
      <c r="A1078" s="16" t="s">
        <v>312</v>
      </c>
      <c r="B1078" s="14">
        <v>792</v>
      </c>
      <c r="C1078" s="15" t="s">
        <v>309</v>
      </c>
      <c r="D1078" s="15" t="s">
        <v>19</v>
      </c>
      <c r="E1078" s="15" t="s">
        <v>237</v>
      </c>
      <c r="F1078" s="15" t="s">
        <v>313</v>
      </c>
      <c r="G1078" s="86">
        <f>'прил 5,'!G1107</f>
        <v>6314750.5</v>
      </c>
      <c r="H1078" s="86">
        <f>'прил 5,'!H1107</f>
        <v>6314750.5</v>
      </c>
      <c r="I1078" s="108"/>
      <c r="O1078" s="108"/>
      <c r="P1078" s="108"/>
      <c r="Q1078" s="108"/>
      <c r="R1078" s="108"/>
      <c r="S1078" s="108"/>
    </row>
    <row r="1079" spans="1:19" s="3" customFormat="1" hidden="1">
      <c r="A1079" s="16" t="s">
        <v>7</v>
      </c>
      <c r="B1079" s="14">
        <v>792</v>
      </c>
      <c r="C1079" s="15" t="s">
        <v>309</v>
      </c>
      <c r="D1079" s="15" t="s">
        <v>19</v>
      </c>
      <c r="E1079" s="15" t="s">
        <v>237</v>
      </c>
      <c r="F1079" s="15" t="s">
        <v>6</v>
      </c>
      <c r="G1079" s="86"/>
      <c r="H1079" s="86"/>
      <c r="I1079" s="108"/>
      <c r="O1079" s="108"/>
      <c r="P1079" s="108"/>
      <c r="Q1079" s="108"/>
      <c r="R1079" s="108"/>
      <c r="S1079" s="108"/>
    </row>
    <row r="1080" spans="1:19" s="18" customFormat="1" ht="25.5">
      <c r="A1080" s="16" t="s">
        <v>311</v>
      </c>
      <c r="B1080" s="14">
        <v>792</v>
      </c>
      <c r="C1080" s="15" t="s">
        <v>309</v>
      </c>
      <c r="D1080" s="15" t="s">
        <v>19</v>
      </c>
      <c r="E1080" s="15" t="s">
        <v>283</v>
      </c>
      <c r="F1080" s="15"/>
      <c r="G1080" s="86">
        <f t="shared" ref="G1080:H1081" si="299">G1081</f>
        <v>13832299</v>
      </c>
      <c r="H1080" s="86">
        <f t="shared" si="299"/>
        <v>13832299</v>
      </c>
      <c r="I1080" s="17"/>
      <c r="O1080" s="17"/>
      <c r="P1080" s="17"/>
      <c r="Q1080" s="17"/>
      <c r="R1080" s="17"/>
      <c r="S1080" s="17"/>
    </row>
    <row r="1081" spans="1:19" s="18" customFormat="1">
      <c r="A1081" s="16" t="s">
        <v>156</v>
      </c>
      <c r="B1081" s="14">
        <v>792</v>
      </c>
      <c r="C1081" s="15" t="s">
        <v>309</v>
      </c>
      <c r="D1081" s="15" t="s">
        <v>19</v>
      </c>
      <c r="E1081" s="15" t="s">
        <v>283</v>
      </c>
      <c r="F1081" s="15" t="s">
        <v>157</v>
      </c>
      <c r="G1081" s="86">
        <f t="shared" si="299"/>
        <v>13832299</v>
      </c>
      <c r="H1081" s="86">
        <f t="shared" si="299"/>
        <v>13832299</v>
      </c>
      <c r="I1081" s="17"/>
      <c r="O1081" s="17"/>
      <c r="P1081" s="17"/>
      <c r="Q1081" s="17"/>
      <c r="R1081" s="17"/>
      <c r="S1081" s="17"/>
    </row>
    <row r="1082" spans="1:19" s="18" customFormat="1">
      <c r="A1082" s="16" t="s">
        <v>312</v>
      </c>
      <c r="B1082" s="14">
        <v>792</v>
      </c>
      <c r="C1082" s="15" t="s">
        <v>309</v>
      </c>
      <c r="D1082" s="15" t="s">
        <v>19</v>
      </c>
      <c r="E1082" s="15" t="s">
        <v>283</v>
      </c>
      <c r="F1082" s="15" t="s">
        <v>313</v>
      </c>
      <c r="G1082" s="86">
        <f>'прил 5,'!G1104</f>
        <v>13832299</v>
      </c>
      <c r="H1082" s="86">
        <f>'прил 5,'!H1104</f>
        <v>13832299</v>
      </c>
      <c r="I1082" s="17"/>
      <c r="O1082" s="17"/>
      <c r="P1082" s="17"/>
      <c r="Q1082" s="17"/>
      <c r="R1082" s="17"/>
      <c r="S1082" s="17"/>
    </row>
    <row r="1083" spans="1:19" s="3" customFormat="1" ht="25.5">
      <c r="A1083" s="16" t="s">
        <v>471</v>
      </c>
      <c r="B1083" s="14"/>
      <c r="C1083" s="15"/>
      <c r="D1083" s="15"/>
      <c r="E1083" s="15" t="s">
        <v>238</v>
      </c>
      <c r="F1083" s="15"/>
      <c r="G1083" s="86">
        <f t="shared" ref="G1083:H1084" si="300">G1084</f>
        <v>23220661</v>
      </c>
      <c r="H1083" s="86">
        <f t="shared" si="300"/>
        <v>23220661</v>
      </c>
      <c r="I1083" s="108"/>
      <c r="O1083" s="108"/>
      <c r="P1083" s="108"/>
      <c r="Q1083" s="108"/>
      <c r="R1083" s="108"/>
      <c r="S1083" s="108"/>
    </row>
    <row r="1084" spans="1:19" s="3" customFormat="1">
      <c r="A1084" s="16" t="s">
        <v>156</v>
      </c>
      <c r="B1084" s="14">
        <v>792</v>
      </c>
      <c r="C1084" s="15" t="s">
        <v>309</v>
      </c>
      <c r="D1084" s="15" t="s">
        <v>70</v>
      </c>
      <c r="E1084" s="15" t="s">
        <v>238</v>
      </c>
      <c r="F1084" s="15" t="s">
        <v>157</v>
      </c>
      <c r="G1084" s="86">
        <f t="shared" si="300"/>
        <v>23220661</v>
      </c>
      <c r="H1084" s="86">
        <f t="shared" si="300"/>
        <v>23220661</v>
      </c>
      <c r="I1084" s="108"/>
      <c r="O1084" s="108"/>
      <c r="P1084" s="108"/>
      <c r="Q1084" s="108"/>
      <c r="R1084" s="108"/>
      <c r="S1084" s="108"/>
    </row>
    <row r="1085" spans="1:19" s="3" customFormat="1">
      <c r="A1085" s="16" t="s">
        <v>178</v>
      </c>
      <c r="B1085" s="14">
        <v>792</v>
      </c>
      <c r="C1085" s="15" t="s">
        <v>309</v>
      </c>
      <c r="D1085" s="15" t="s">
        <v>70</v>
      </c>
      <c r="E1085" s="15" t="s">
        <v>238</v>
      </c>
      <c r="F1085" s="15" t="s">
        <v>179</v>
      </c>
      <c r="G1085" s="86">
        <f>'прил 5,'!G1118</f>
        <v>23220661</v>
      </c>
      <c r="H1085" s="86">
        <f>'прил 5,'!H1118</f>
        <v>23220661</v>
      </c>
      <c r="I1085" s="108"/>
      <c r="O1085" s="108"/>
      <c r="P1085" s="108"/>
      <c r="Q1085" s="108"/>
      <c r="R1085" s="108"/>
      <c r="S1085" s="108"/>
    </row>
    <row r="1086" spans="1:19" s="75" customFormat="1" ht="51">
      <c r="A1086" s="231" t="s">
        <v>480</v>
      </c>
      <c r="B1086" s="35">
        <v>793</v>
      </c>
      <c r="C1086" s="36" t="s">
        <v>70</v>
      </c>
      <c r="D1086" s="36" t="s">
        <v>123</v>
      </c>
      <c r="E1086" s="36" t="s">
        <v>251</v>
      </c>
      <c r="F1086" s="74"/>
      <c r="G1086" s="70">
        <f>G1093+G1098+G1101+G1110+G1113+G1092+G1087+G1104+G1116+G1107</f>
        <v>5726265.8799999999</v>
      </c>
      <c r="H1086" s="70">
        <f>H1093+H1098+H1101+H1110+H1113+H1092+H1087+H1104+H1116+H1107</f>
        <v>5406339.3100000005</v>
      </c>
      <c r="I1086" s="230">
        <v>162500</v>
      </c>
      <c r="O1086" s="169"/>
      <c r="P1086" s="232"/>
      <c r="Q1086" s="230"/>
      <c r="R1086" s="230"/>
      <c r="S1086" s="230"/>
    </row>
    <row r="1087" spans="1:19" s="28" customFormat="1" ht="25.5" hidden="1">
      <c r="A1087" s="40" t="s">
        <v>615</v>
      </c>
      <c r="B1087" s="14">
        <v>793</v>
      </c>
      <c r="C1087" s="15" t="s">
        <v>70</v>
      </c>
      <c r="D1087" s="15" t="s">
        <v>69</v>
      </c>
      <c r="E1087" s="15" t="s">
        <v>651</v>
      </c>
      <c r="F1087" s="39"/>
      <c r="G1087" s="86">
        <f>G1088</f>
        <v>0</v>
      </c>
      <c r="H1087" s="69"/>
      <c r="O1087" s="106"/>
      <c r="P1087" s="106"/>
      <c r="Q1087" s="106"/>
      <c r="R1087" s="106"/>
      <c r="S1087" s="106"/>
    </row>
    <row r="1088" spans="1:19" s="28" customFormat="1" hidden="1">
      <c r="A1088" s="16" t="s">
        <v>156</v>
      </c>
      <c r="B1088" s="14">
        <v>793</v>
      </c>
      <c r="C1088" s="15" t="s">
        <v>70</v>
      </c>
      <c r="D1088" s="15" t="s">
        <v>69</v>
      </c>
      <c r="E1088" s="15" t="s">
        <v>651</v>
      </c>
      <c r="F1088" s="15" t="s">
        <v>157</v>
      </c>
      <c r="G1088" s="86">
        <f>G1089</f>
        <v>0</v>
      </c>
      <c r="H1088" s="69"/>
      <c r="O1088" s="106"/>
      <c r="P1088" s="106"/>
      <c r="Q1088" s="106"/>
      <c r="R1088" s="106"/>
      <c r="S1088" s="106"/>
    </row>
    <row r="1089" spans="1:19" s="28" customFormat="1" hidden="1">
      <c r="A1089" s="16" t="s">
        <v>170</v>
      </c>
      <c r="B1089" s="14">
        <v>793</v>
      </c>
      <c r="C1089" s="15" t="s">
        <v>70</v>
      </c>
      <c r="D1089" s="15" t="s">
        <v>69</v>
      </c>
      <c r="E1089" s="15" t="s">
        <v>651</v>
      </c>
      <c r="F1089" s="15" t="s">
        <v>171</v>
      </c>
      <c r="G1089" s="86">
        <f>'прил 5,'!G1313</f>
        <v>0</v>
      </c>
      <c r="H1089" s="69"/>
      <c r="O1089" s="106"/>
      <c r="P1089" s="106"/>
      <c r="Q1089" s="106"/>
      <c r="R1089" s="106"/>
      <c r="S1089" s="106"/>
    </row>
    <row r="1090" spans="1:19" s="28" customFormat="1" ht="54.75" customHeight="1">
      <c r="A1090" s="40" t="s">
        <v>334</v>
      </c>
      <c r="B1090" s="14">
        <v>793</v>
      </c>
      <c r="C1090" s="15" t="s">
        <v>70</v>
      </c>
      <c r="D1090" s="15" t="s">
        <v>123</v>
      </c>
      <c r="E1090" s="15" t="s">
        <v>138</v>
      </c>
      <c r="F1090" s="39"/>
      <c r="G1090" s="69">
        <f>G1091</f>
        <v>90489.88</v>
      </c>
      <c r="H1090" s="69">
        <f t="shared" ref="H1090" si="301">H1091</f>
        <v>86400</v>
      </c>
      <c r="O1090" s="106"/>
      <c r="P1090" s="106"/>
      <c r="Q1090" s="106"/>
      <c r="R1090" s="106"/>
      <c r="S1090" s="106"/>
    </row>
    <row r="1091" spans="1:19" s="28" customFormat="1">
      <c r="A1091" s="16" t="s">
        <v>323</v>
      </c>
      <c r="B1091" s="14">
        <v>793</v>
      </c>
      <c r="C1091" s="15" t="s">
        <v>70</v>
      </c>
      <c r="D1091" s="15" t="s">
        <v>123</v>
      </c>
      <c r="E1091" s="15" t="s">
        <v>138</v>
      </c>
      <c r="F1091" s="15" t="s">
        <v>37</v>
      </c>
      <c r="G1091" s="69">
        <f>G1092</f>
        <v>90489.88</v>
      </c>
      <c r="H1091" s="69">
        <f t="shared" ref="H1091" si="302">H1092</f>
        <v>86400</v>
      </c>
      <c r="O1091" s="106"/>
      <c r="P1091" s="106"/>
      <c r="Q1091" s="106"/>
      <c r="R1091" s="106"/>
      <c r="S1091" s="106"/>
    </row>
    <row r="1092" spans="1:19" s="28" customFormat="1" ht="25.5">
      <c r="A1092" s="16" t="s">
        <v>38</v>
      </c>
      <c r="B1092" s="14">
        <v>793</v>
      </c>
      <c r="C1092" s="15" t="s">
        <v>70</v>
      </c>
      <c r="D1092" s="15" t="s">
        <v>123</v>
      </c>
      <c r="E1092" s="15" t="s">
        <v>138</v>
      </c>
      <c r="F1092" s="15" t="s">
        <v>39</v>
      </c>
      <c r="G1092" s="69">
        <f>'прил 5,'!G1321</f>
        <v>90489.88</v>
      </c>
      <c r="H1092" s="69">
        <f>'прил 5,'!H1281+'прил 5,'!H1321</f>
        <v>86400</v>
      </c>
      <c r="O1092" s="106"/>
      <c r="P1092" s="106"/>
      <c r="Q1092" s="106"/>
      <c r="R1092" s="106"/>
      <c r="S1092" s="106"/>
    </row>
    <row r="1093" spans="1:19" ht="57.75" customHeight="1">
      <c r="A1093" s="57" t="s">
        <v>492</v>
      </c>
      <c r="B1093" s="14">
        <v>793</v>
      </c>
      <c r="C1093" s="15" t="s">
        <v>70</v>
      </c>
      <c r="D1093" s="15" t="s">
        <v>123</v>
      </c>
      <c r="E1093" s="15" t="s">
        <v>252</v>
      </c>
      <c r="F1093" s="15"/>
      <c r="G1093" s="69">
        <f>G1094+G1096</f>
        <v>20000</v>
      </c>
      <c r="H1093" s="69">
        <f>H1094+H1096</f>
        <v>0</v>
      </c>
      <c r="I1093" s="2">
        <v>50000</v>
      </c>
    </row>
    <row r="1094" spans="1:19" hidden="1">
      <c r="A1094" s="16" t="s">
        <v>323</v>
      </c>
      <c r="B1094" s="14">
        <v>793</v>
      </c>
      <c r="C1094" s="15" t="s">
        <v>70</v>
      </c>
      <c r="D1094" s="15" t="s">
        <v>123</v>
      </c>
      <c r="E1094" s="15" t="s">
        <v>252</v>
      </c>
      <c r="F1094" s="15" t="s">
        <v>37</v>
      </c>
      <c r="G1094" s="69">
        <f>G1095</f>
        <v>0</v>
      </c>
      <c r="H1094" s="69">
        <f t="shared" ref="H1094:N1094" si="303">H1095</f>
        <v>0</v>
      </c>
      <c r="I1094" s="69">
        <f t="shared" si="303"/>
        <v>60000</v>
      </c>
      <c r="J1094" s="69">
        <f t="shared" si="303"/>
        <v>0</v>
      </c>
      <c r="K1094" s="69">
        <f t="shared" si="303"/>
        <v>0</v>
      </c>
      <c r="L1094" s="69">
        <f t="shared" si="303"/>
        <v>0</v>
      </c>
      <c r="M1094" s="69">
        <f t="shared" si="303"/>
        <v>0</v>
      </c>
      <c r="N1094" s="69">
        <f t="shared" si="303"/>
        <v>0</v>
      </c>
    </row>
    <row r="1095" spans="1:19" ht="25.5" hidden="1">
      <c r="A1095" s="16" t="s">
        <v>38</v>
      </c>
      <c r="B1095" s="14">
        <v>793</v>
      </c>
      <c r="C1095" s="15" t="s">
        <v>70</v>
      </c>
      <c r="D1095" s="15" t="s">
        <v>123</v>
      </c>
      <c r="E1095" s="15" t="s">
        <v>252</v>
      </c>
      <c r="F1095" s="15" t="s">
        <v>39</v>
      </c>
      <c r="G1095" s="69">
        <f>'прил 5,'!G1284+'прил 5,'!G1333</f>
        <v>0</v>
      </c>
      <c r="H1095" s="69">
        <f>'прил 5,'!H1284+'прил 5,'!H1333</f>
        <v>0</v>
      </c>
      <c r="I1095" s="2">
        <v>60000</v>
      </c>
    </row>
    <row r="1096" spans="1:19" ht="18" customHeight="1">
      <c r="A1096" s="16" t="s">
        <v>115</v>
      </c>
      <c r="B1096" s="14">
        <v>793</v>
      </c>
      <c r="C1096" s="15" t="s">
        <v>70</v>
      </c>
      <c r="D1096" s="15" t="s">
        <v>123</v>
      </c>
      <c r="E1096" s="15" t="s">
        <v>253</v>
      </c>
      <c r="F1096" s="15" t="s">
        <v>64</v>
      </c>
      <c r="G1096" s="69">
        <f>G1097</f>
        <v>20000</v>
      </c>
      <c r="H1096" s="69">
        <f>H1097</f>
        <v>0</v>
      </c>
    </row>
    <row r="1097" spans="1:19" ht="18.75" customHeight="1">
      <c r="A1097" s="16" t="s">
        <v>180</v>
      </c>
      <c r="B1097" s="14"/>
      <c r="C1097" s="15"/>
      <c r="D1097" s="15"/>
      <c r="E1097" s="15" t="s">
        <v>253</v>
      </c>
      <c r="F1097" s="15" t="s">
        <v>181</v>
      </c>
      <c r="G1097" s="69">
        <f>'прил 5,'!G1286+'прил 5,'!G1335</f>
        <v>20000</v>
      </c>
      <c r="H1097" s="69">
        <f>'прил 5,'!H1286+'прил 5,'!H1335</f>
        <v>0</v>
      </c>
      <c r="I1097" s="69">
        <f>'прил 5,'!J1286+'прил 5,'!J1335</f>
        <v>0</v>
      </c>
      <c r="J1097" s="69">
        <f>'прил 5,'!K1286+'прил 5,'!K1335</f>
        <v>0</v>
      </c>
      <c r="K1097" s="69">
        <f>'прил 5,'!L1286+'прил 5,'!L1335</f>
        <v>0</v>
      </c>
      <c r="L1097" s="69">
        <f>'прил 5,'!M1286+'прил 5,'!M1335</f>
        <v>0</v>
      </c>
      <c r="M1097" s="69">
        <f>'прил 5,'!N1286+'прил 5,'!N1335</f>
        <v>0</v>
      </c>
      <c r="N1097" s="69">
        <f>'прил 5,'!O1286+'прил 5,'!O1335</f>
        <v>0</v>
      </c>
    </row>
    <row r="1098" spans="1:19" ht="21" customHeight="1">
      <c r="A1098" s="16" t="s">
        <v>186</v>
      </c>
      <c r="B1098" s="14">
        <v>793</v>
      </c>
      <c r="C1098" s="15" t="s">
        <v>70</v>
      </c>
      <c r="D1098" s="15" t="s">
        <v>69</v>
      </c>
      <c r="E1098" s="15" t="s">
        <v>136</v>
      </c>
      <c r="F1098" s="15"/>
      <c r="G1098" s="69">
        <f t="shared" ref="G1098:G1099" si="304">G1099</f>
        <v>70000</v>
      </c>
      <c r="H1098" s="100">
        <f>H1099</f>
        <v>0</v>
      </c>
    </row>
    <row r="1099" spans="1:19" ht="24.75" customHeight="1">
      <c r="A1099" s="16" t="s">
        <v>323</v>
      </c>
      <c r="B1099" s="14">
        <v>793</v>
      </c>
      <c r="C1099" s="15" t="s">
        <v>70</v>
      </c>
      <c r="D1099" s="15" t="s">
        <v>69</v>
      </c>
      <c r="E1099" s="15" t="s">
        <v>136</v>
      </c>
      <c r="F1099" s="15" t="s">
        <v>37</v>
      </c>
      <c r="G1099" s="69">
        <f t="shared" si="304"/>
        <v>70000</v>
      </c>
      <c r="H1099" s="100">
        <f>H1100</f>
        <v>0</v>
      </c>
      <c r="I1099" s="2">
        <f>I1097-H1086</f>
        <v>-5406339.3100000005</v>
      </c>
    </row>
    <row r="1100" spans="1:19" ht="25.5">
      <c r="A1100" s="16" t="s">
        <v>38</v>
      </c>
      <c r="B1100" s="14">
        <v>793</v>
      </c>
      <c r="C1100" s="15" t="s">
        <v>70</v>
      </c>
      <c r="D1100" s="15" t="s">
        <v>69</v>
      </c>
      <c r="E1100" s="15" t="s">
        <v>136</v>
      </c>
      <c r="F1100" s="15" t="s">
        <v>39</v>
      </c>
      <c r="G1100" s="69">
        <f>'прил 5,'!G1318</f>
        <v>70000</v>
      </c>
      <c r="H1100" s="69">
        <f>'прил 5,'!H1318</f>
        <v>0</v>
      </c>
      <c r="I1100" s="69">
        <f>'прил 5,'!J1318</f>
        <v>0</v>
      </c>
      <c r="J1100" s="69">
        <f>'прил 5,'!K1318</f>
        <v>0</v>
      </c>
      <c r="K1100" s="69">
        <f>'прил 5,'!L1318</f>
        <v>0</v>
      </c>
      <c r="L1100" s="69">
        <f>'прил 5,'!M1318</f>
        <v>0</v>
      </c>
      <c r="M1100" s="69">
        <f>'прил 5,'!N1318</f>
        <v>0</v>
      </c>
      <c r="N1100" s="69">
        <f>'прил 5,'!O1318</f>
        <v>0</v>
      </c>
    </row>
    <row r="1101" spans="1:19" ht="38.25" customHeight="1">
      <c r="A1101" s="16" t="s">
        <v>445</v>
      </c>
      <c r="B1101" s="14">
        <v>793</v>
      </c>
      <c r="C1101" s="15" t="s">
        <v>70</v>
      </c>
      <c r="D1101" s="15" t="s">
        <v>123</v>
      </c>
      <c r="E1101" s="15" t="s">
        <v>446</v>
      </c>
      <c r="F1101" s="15"/>
      <c r="G1101" s="69">
        <f t="shared" ref="G1101:H1102" si="305">G1102</f>
        <v>67500</v>
      </c>
      <c r="H1101" s="100">
        <f t="shared" si="305"/>
        <v>46000</v>
      </c>
    </row>
    <row r="1102" spans="1:19" ht="28.15" customHeight="1">
      <c r="A1102" s="16" t="s">
        <v>38</v>
      </c>
      <c r="B1102" s="14">
        <v>793</v>
      </c>
      <c r="C1102" s="15" t="s">
        <v>70</v>
      </c>
      <c r="D1102" s="15" t="s">
        <v>123</v>
      </c>
      <c r="E1102" s="15" t="s">
        <v>446</v>
      </c>
      <c r="F1102" s="15" t="s">
        <v>37</v>
      </c>
      <c r="G1102" s="69">
        <f t="shared" si="305"/>
        <v>67500</v>
      </c>
      <c r="H1102" s="100">
        <f t="shared" si="305"/>
        <v>46000</v>
      </c>
    </row>
    <row r="1103" spans="1:19" ht="25.5">
      <c r="A1103" s="16" t="s">
        <v>38</v>
      </c>
      <c r="B1103" s="14">
        <v>793</v>
      </c>
      <c r="C1103" s="15" t="s">
        <v>70</v>
      </c>
      <c r="D1103" s="15" t="s">
        <v>123</v>
      </c>
      <c r="E1103" s="15" t="s">
        <v>446</v>
      </c>
      <c r="F1103" s="15" t="s">
        <v>39</v>
      </c>
      <c r="G1103" s="69">
        <f>'прил 5,'!G1289</f>
        <v>67500</v>
      </c>
      <c r="H1103" s="69">
        <f>'прил 5,'!H1289</f>
        <v>46000</v>
      </c>
    </row>
    <row r="1104" spans="1:19" ht="38.25" hidden="1" customHeight="1">
      <c r="A1104" s="16" t="s">
        <v>792</v>
      </c>
      <c r="B1104" s="14">
        <v>793</v>
      </c>
      <c r="C1104" s="15" t="s">
        <v>70</v>
      </c>
      <c r="D1104" s="15" t="s">
        <v>123</v>
      </c>
      <c r="E1104" s="15" t="s">
        <v>791</v>
      </c>
      <c r="F1104" s="15"/>
      <c r="G1104" s="69">
        <f>G1105</f>
        <v>0</v>
      </c>
      <c r="H1104" s="69">
        <f t="shared" ref="H1104:H1105" si="306">H1105</f>
        <v>0</v>
      </c>
      <c r="I1104" s="1"/>
    </row>
    <row r="1105" spans="1:19" ht="28.5" hidden="1" customHeight="1">
      <c r="A1105" s="16" t="s">
        <v>38</v>
      </c>
      <c r="B1105" s="14">
        <v>793</v>
      </c>
      <c r="C1105" s="15" t="s">
        <v>70</v>
      </c>
      <c r="D1105" s="15" t="s">
        <v>123</v>
      </c>
      <c r="E1105" s="15" t="s">
        <v>791</v>
      </c>
      <c r="F1105" s="15" t="s">
        <v>37</v>
      </c>
      <c r="G1105" s="69">
        <f>G1106</f>
        <v>0</v>
      </c>
      <c r="H1105" s="69">
        <f t="shared" si="306"/>
        <v>0</v>
      </c>
      <c r="I1105" s="1"/>
    </row>
    <row r="1106" spans="1:19" ht="25.5" hidden="1">
      <c r="A1106" s="16" t="s">
        <v>38</v>
      </c>
      <c r="B1106" s="14">
        <v>793</v>
      </c>
      <c r="C1106" s="15" t="s">
        <v>70</v>
      </c>
      <c r="D1106" s="15" t="s">
        <v>123</v>
      </c>
      <c r="E1106" s="15" t="s">
        <v>791</v>
      </c>
      <c r="F1106" s="15" t="s">
        <v>39</v>
      </c>
      <c r="G1106" s="69">
        <f>'прил 5,'!G1292</f>
        <v>0</v>
      </c>
      <c r="H1106" s="69">
        <v>0</v>
      </c>
      <c r="I1106" s="1"/>
    </row>
    <row r="1107" spans="1:19" ht="38.25" hidden="1" customHeight="1">
      <c r="A1107" s="16" t="s">
        <v>1050</v>
      </c>
      <c r="B1107" s="14">
        <v>793</v>
      </c>
      <c r="C1107" s="15" t="s">
        <v>70</v>
      </c>
      <c r="D1107" s="15" t="s">
        <v>123</v>
      </c>
      <c r="E1107" s="15" t="s">
        <v>1047</v>
      </c>
      <c r="F1107" s="15"/>
      <c r="G1107" s="69">
        <f>G1108</f>
        <v>0</v>
      </c>
      <c r="H1107" s="69">
        <f t="shared" ref="H1107:H1108" si="307">H1108</f>
        <v>0</v>
      </c>
      <c r="I1107" s="171"/>
      <c r="J1107" s="177"/>
      <c r="K1107" s="177"/>
      <c r="L1107" s="177"/>
      <c r="M1107" s="177"/>
      <c r="N1107" s="177"/>
      <c r="O1107" s="177"/>
      <c r="P1107" s="177"/>
      <c r="Q1107" s="177"/>
      <c r="R1107" s="1"/>
      <c r="S1107" s="1"/>
    </row>
    <row r="1108" spans="1:19" ht="28.5" hidden="1" customHeight="1">
      <c r="A1108" s="16" t="s">
        <v>38</v>
      </c>
      <c r="B1108" s="14">
        <v>793</v>
      </c>
      <c r="C1108" s="15" t="s">
        <v>70</v>
      </c>
      <c r="D1108" s="15" t="s">
        <v>123</v>
      </c>
      <c r="E1108" s="15" t="s">
        <v>1047</v>
      </c>
      <c r="F1108" s="15" t="s">
        <v>37</v>
      </c>
      <c r="G1108" s="69">
        <f>G1109</f>
        <v>0</v>
      </c>
      <c r="H1108" s="69">
        <f t="shared" si="307"/>
        <v>0</v>
      </c>
      <c r="I1108" s="171"/>
      <c r="J1108" s="177"/>
      <c r="K1108" s="177"/>
      <c r="L1108" s="177"/>
      <c r="M1108" s="177"/>
      <c r="N1108" s="177"/>
      <c r="O1108" s="177"/>
      <c r="P1108" s="177"/>
      <c r="Q1108" s="177"/>
      <c r="R1108" s="1"/>
      <c r="S1108" s="1"/>
    </row>
    <row r="1109" spans="1:19" ht="25.5" hidden="1">
      <c r="A1109" s="16" t="s">
        <v>38</v>
      </c>
      <c r="B1109" s="14">
        <v>793</v>
      </c>
      <c r="C1109" s="15" t="s">
        <v>70</v>
      </c>
      <c r="D1109" s="15" t="s">
        <v>123</v>
      </c>
      <c r="E1109" s="15" t="s">
        <v>1047</v>
      </c>
      <c r="F1109" s="15" t="s">
        <v>39</v>
      </c>
      <c r="G1109" s="69">
        <f>'прил 5,'!G1324</f>
        <v>0</v>
      </c>
      <c r="H1109" s="69">
        <v>0</v>
      </c>
      <c r="I1109" s="171"/>
      <c r="J1109" s="177"/>
      <c r="K1109" s="177"/>
      <c r="L1109" s="177"/>
      <c r="M1109" s="177"/>
      <c r="N1109" s="177"/>
      <c r="O1109" s="177"/>
      <c r="P1109" s="177"/>
      <c r="Q1109" s="177"/>
      <c r="R1109" s="1"/>
      <c r="S1109" s="1"/>
    </row>
    <row r="1110" spans="1:19" ht="46.5" customHeight="1">
      <c r="A1110" s="57" t="s">
        <v>781</v>
      </c>
      <c r="B1110" s="14">
        <v>793</v>
      </c>
      <c r="C1110" s="15" t="s">
        <v>70</v>
      </c>
      <c r="D1110" s="15" t="s">
        <v>123</v>
      </c>
      <c r="E1110" s="15" t="s">
        <v>491</v>
      </c>
      <c r="F1110" s="15"/>
      <c r="G1110" s="69">
        <f>G1112</f>
        <v>2978276</v>
      </c>
      <c r="H1110" s="69">
        <f t="shared" ref="H1110" si="308">H1112</f>
        <v>2967061.71</v>
      </c>
      <c r="I1110" s="1"/>
    </row>
    <row r="1111" spans="1:19">
      <c r="A1111" s="16" t="s">
        <v>323</v>
      </c>
      <c r="B1111" s="14">
        <v>793</v>
      </c>
      <c r="C1111" s="15" t="s">
        <v>70</v>
      </c>
      <c r="D1111" s="15" t="s">
        <v>123</v>
      </c>
      <c r="E1111" s="15" t="s">
        <v>491</v>
      </c>
      <c r="F1111" s="15" t="s">
        <v>37</v>
      </c>
      <c r="G1111" s="69">
        <f>G1112</f>
        <v>2978276</v>
      </c>
      <c r="H1111" s="69">
        <f>H1112</f>
        <v>2967061.71</v>
      </c>
      <c r="I1111" s="1"/>
    </row>
    <row r="1112" spans="1:19" ht="25.5">
      <c r="A1112" s="16" t="s">
        <v>38</v>
      </c>
      <c r="B1112" s="14">
        <v>793</v>
      </c>
      <c r="C1112" s="15" t="s">
        <v>70</v>
      </c>
      <c r="D1112" s="15" t="s">
        <v>123</v>
      </c>
      <c r="E1112" s="15" t="s">
        <v>491</v>
      </c>
      <c r="F1112" s="15" t="s">
        <v>39</v>
      </c>
      <c r="G1112" s="69">
        <f>'прил 5,'!G1295+'прил 5,'!G1327</f>
        <v>2978276</v>
      </c>
      <c r="H1112" s="69">
        <f>'прил 5,'!H1327+'прил 5,'!H1295</f>
        <v>2967061.71</v>
      </c>
      <c r="I1112" s="1"/>
    </row>
    <row r="1113" spans="1:19" ht="46.5" hidden="1" customHeight="1">
      <c r="A1113" s="57" t="s">
        <v>494</v>
      </c>
      <c r="B1113" s="14">
        <v>793</v>
      </c>
      <c r="C1113" s="15" t="s">
        <v>70</v>
      </c>
      <c r="D1113" s="15" t="s">
        <v>123</v>
      </c>
      <c r="E1113" s="15" t="s">
        <v>493</v>
      </c>
      <c r="F1113" s="15"/>
      <c r="G1113" s="69">
        <f>G1114</f>
        <v>0</v>
      </c>
      <c r="H1113" s="69">
        <f t="shared" ref="H1113" si="309">H1114</f>
        <v>0</v>
      </c>
      <c r="I1113" s="1"/>
    </row>
    <row r="1114" spans="1:19" hidden="1">
      <c r="A1114" s="16" t="s">
        <v>323</v>
      </c>
      <c r="B1114" s="14">
        <v>793</v>
      </c>
      <c r="C1114" s="15" t="s">
        <v>70</v>
      </c>
      <c r="D1114" s="15" t="s">
        <v>123</v>
      </c>
      <c r="E1114" s="15" t="s">
        <v>493</v>
      </c>
      <c r="F1114" s="15" t="s">
        <v>37</v>
      </c>
      <c r="G1114" s="69">
        <f>G1115</f>
        <v>0</v>
      </c>
      <c r="H1114" s="69">
        <f>H1115</f>
        <v>0</v>
      </c>
      <c r="I1114" s="1"/>
    </row>
    <row r="1115" spans="1:19" ht="25.5" hidden="1">
      <c r="A1115" s="16" t="s">
        <v>38</v>
      </c>
      <c r="B1115" s="14">
        <v>793</v>
      </c>
      <c r="C1115" s="15" t="s">
        <v>70</v>
      </c>
      <c r="D1115" s="15" t="s">
        <v>123</v>
      </c>
      <c r="E1115" s="15" t="s">
        <v>493</v>
      </c>
      <c r="F1115" s="15" t="s">
        <v>39</v>
      </c>
      <c r="G1115" s="69">
        <f>'прил 5,'!G1298</f>
        <v>0</v>
      </c>
      <c r="H1115" s="160">
        <f>'прил 5,'!H1298</f>
        <v>0</v>
      </c>
      <c r="I1115" s="69">
        <f>'прил 5,'!J1298</f>
        <v>0</v>
      </c>
      <c r="J1115" s="69">
        <f>'прил 5,'!K1298</f>
        <v>0</v>
      </c>
      <c r="K1115" s="69">
        <f>'прил 5,'!L1298</f>
        <v>0</v>
      </c>
      <c r="L1115" s="69">
        <f>'прил 5,'!M1298</f>
        <v>0</v>
      </c>
      <c r="M1115" s="69">
        <f>'прил 5,'!N1298</f>
        <v>0</v>
      </c>
      <c r="N1115" s="69">
        <f>'прил 5,'!O1298</f>
        <v>0</v>
      </c>
    </row>
    <row r="1116" spans="1:19" ht="79.5" customHeight="1">
      <c r="A1116" s="57" t="s">
        <v>1000</v>
      </c>
      <c r="B1116" s="14">
        <v>793</v>
      </c>
      <c r="C1116" s="15" t="s">
        <v>70</v>
      </c>
      <c r="D1116" s="15" t="s">
        <v>69</v>
      </c>
      <c r="E1116" s="15" t="s">
        <v>493</v>
      </c>
      <c r="F1116" s="15"/>
      <c r="G1116" s="69">
        <f>G1117</f>
        <v>2500000</v>
      </c>
      <c r="H1116" s="69">
        <f t="shared" ref="H1116" si="310">H1117</f>
        <v>2306877.6</v>
      </c>
      <c r="I1116" s="171"/>
      <c r="J1116" s="171"/>
      <c r="K1116" s="171"/>
      <c r="L1116" s="171"/>
      <c r="M1116" s="171"/>
      <c r="N1116" s="171"/>
      <c r="O1116" s="177"/>
      <c r="P1116" s="177"/>
      <c r="Q1116" s="177"/>
      <c r="R1116" s="1"/>
      <c r="S1116" s="1"/>
    </row>
    <row r="1117" spans="1:19">
      <c r="A1117" s="16" t="s">
        <v>323</v>
      </c>
      <c r="B1117" s="14">
        <v>793</v>
      </c>
      <c r="C1117" s="15" t="s">
        <v>70</v>
      </c>
      <c r="D1117" s="15" t="s">
        <v>69</v>
      </c>
      <c r="E1117" s="15" t="s">
        <v>493</v>
      </c>
      <c r="F1117" s="15" t="s">
        <v>157</v>
      </c>
      <c r="G1117" s="69">
        <f>G1118</f>
        <v>2500000</v>
      </c>
      <c r="H1117" s="69">
        <f>H1118</f>
        <v>2306877.6</v>
      </c>
      <c r="I1117" s="171"/>
      <c r="J1117" s="177"/>
      <c r="K1117" s="177"/>
      <c r="L1117" s="177"/>
      <c r="M1117" s="177"/>
      <c r="N1117" s="177"/>
      <c r="O1117" s="177"/>
      <c r="P1117" s="177"/>
      <c r="Q1117" s="177"/>
      <c r="R1117" s="1"/>
      <c r="S1117" s="1"/>
    </row>
    <row r="1118" spans="1:19" ht="25.5">
      <c r="A1118" s="16" t="s">
        <v>38</v>
      </c>
      <c r="B1118" s="14">
        <v>793</v>
      </c>
      <c r="C1118" s="15" t="s">
        <v>70</v>
      </c>
      <c r="D1118" s="15" t="s">
        <v>69</v>
      </c>
      <c r="E1118" s="15" t="s">
        <v>493</v>
      </c>
      <c r="F1118" s="15" t="s">
        <v>179</v>
      </c>
      <c r="G1118" s="69">
        <v>2500000</v>
      </c>
      <c r="H1118" s="69">
        <v>2306877.6</v>
      </c>
      <c r="I1118" s="171"/>
      <c r="J1118" s="177"/>
      <c r="K1118" s="177"/>
      <c r="L1118" s="177"/>
      <c r="M1118" s="177"/>
      <c r="N1118" s="177"/>
      <c r="O1118" s="177"/>
      <c r="P1118" s="177"/>
      <c r="Q1118" s="177"/>
      <c r="R1118" s="1"/>
      <c r="S1118" s="1"/>
    </row>
    <row r="1119" spans="1:19" ht="42.6" customHeight="1">
      <c r="A1119" s="34" t="s">
        <v>1130</v>
      </c>
      <c r="B1119" s="14"/>
      <c r="C1119" s="15"/>
      <c r="D1119" s="15"/>
      <c r="E1119" s="36" t="s">
        <v>249</v>
      </c>
      <c r="F1119" s="36"/>
      <c r="G1119" s="70">
        <f>G1123+G1129+G1132+G1126+G1120</f>
        <v>3156434.8600000003</v>
      </c>
      <c r="H1119" s="70">
        <f>H1123+H1129+H1132+H1126+H1120</f>
        <v>3156434.8600000003</v>
      </c>
      <c r="I1119" s="2">
        <v>3000000</v>
      </c>
    </row>
    <row r="1120" spans="1:19" ht="30.75" customHeight="1">
      <c r="A1120" s="40" t="s">
        <v>820</v>
      </c>
      <c r="B1120" s="14"/>
      <c r="C1120" s="15"/>
      <c r="D1120" s="15"/>
      <c r="E1120" s="15" t="s">
        <v>819</v>
      </c>
      <c r="F1120" s="15"/>
      <c r="G1120" s="69">
        <f>G1121</f>
        <v>324251.62</v>
      </c>
      <c r="H1120" s="69">
        <f>H1121</f>
        <v>324251.62</v>
      </c>
      <c r="I1120" s="1"/>
    </row>
    <row r="1121" spans="1:19" ht="30.75" customHeight="1">
      <c r="A1121" s="16" t="s">
        <v>323</v>
      </c>
      <c r="B1121" s="14"/>
      <c r="C1121" s="15"/>
      <c r="D1121" s="15"/>
      <c r="E1121" s="15" t="s">
        <v>819</v>
      </c>
      <c r="F1121" s="15" t="s">
        <v>37</v>
      </c>
      <c r="G1121" s="69">
        <f>G1122</f>
        <v>324251.62</v>
      </c>
      <c r="H1121" s="69">
        <f>H1122</f>
        <v>324251.62</v>
      </c>
      <c r="I1121" s="1"/>
    </row>
    <row r="1122" spans="1:19" ht="30.75" customHeight="1">
      <c r="A1122" s="16" t="s">
        <v>38</v>
      </c>
      <c r="B1122" s="14"/>
      <c r="C1122" s="15"/>
      <c r="D1122" s="15"/>
      <c r="E1122" s="15" t="s">
        <v>819</v>
      </c>
      <c r="F1122" s="15" t="s">
        <v>39</v>
      </c>
      <c r="G1122" s="69">
        <f>'прил 5,'!G1234</f>
        <v>324251.62</v>
      </c>
      <c r="H1122" s="69">
        <f>'прил 5,'!H1234</f>
        <v>324251.62</v>
      </c>
      <c r="I1122" s="1"/>
    </row>
    <row r="1123" spans="1:19">
      <c r="A1123" s="40" t="s">
        <v>959</v>
      </c>
      <c r="B1123" s="14">
        <v>793</v>
      </c>
      <c r="C1123" s="15" t="s">
        <v>19</v>
      </c>
      <c r="D1123" s="15" t="s">
        <v>23</v>
      </c>
      <c r="E1123" s="15" t="s">
        <v>399</v>
      </c>
      <c r="F1123" s="15"/>
      <c r="G1123" s="86">
        <f t="shared" ref="G1123:H1124" si="311">G1124</f>
        <v>442418.76</v>
      </c>
      <c r="H1123" s="86">
        <f t="shared" si="311"/>
        <v>442418.76</v>
      </c>
      <c r="I1123" s="2">
        <v>40000</v>
      </c>
    </row>
    <row r="1124" spans="1:19" ht="25.5" customHeight="1">
      <c r="A1124" s="16" t="s">
        <v>323</v>
      </c>
      <c r="B1124" s="14">
        <v>793</v>
      </c>
      <c r="C1124" s="15" t="s">
        <v>19</v>
      </c>
      <c r="D1124" s="15" t="s">
        <v>23</v>
      </c>
      <c r="E1124" s="15" t="s">
        <v>399</v>
      </c>
      <c r="F1124" s="15" t="s">
        <v>37</v>
      </c>
      <c r="G1124" s="86">
        <f t="shared" si="311"/>
        <v>442418.76</v>
      </c>
      <c r="H1124" s="86">
        <f t="shared" si="311"/>
        <v>442418.76</v>
      </c>
    </row>
    <row r="1125" spans="1:19" ht="25.5" customHeight="1">
      <c r="A1125" s="16" t="s">
        <v>38</v>
      </c>
      <c r="B1125" s="14">
        <v>793</v>
      </c>
      <c r="C1125" s="15" t="s">
        <v>19</v>
      </c>
      <c r="D1125" s="15" t="s">
        <v>23</v>
      </c>
      <c r="E1125" s="15" t="s">
        <v>399</v>
      </c>
      <c r="F1125" s="15" t="s">
        <v>39</v>
      </c>
      <c r="G1125" s="86">
        <f>'прил 5,'!G1222</f>
        <v>442418.76</v>
      </c>
      <c r="H1125" s="86">
        <f>'прил 5,'!H1221</f>
        <v>442418.76</v>
      </c>
    </row>
    <row r="1126" spans="1:19">
      <c r="A1126" s="133" t="s">
        <v>950</v>
      </c>
      <c r="B1126" s="14">
        <v>793</v>
      </c>
      <c r="C1126" s="15" t="s">
        <v>19</v>
      </c>
      <c r="D1126" s="15" t="s">
        <v>23</v>
      </c>
      <c r="E1126" s="15" t="s">
        <v>949</v>
      </c>
      <c r="F1126" s="15"/>
      <c r="G1126" s="69">
        <f t="shared" ref="G1126:H1127" si="312">G1127</f>
        <v>2345764.48</v>
      </c>
      <c r="H1126" s="69">
        <f t="shared" si="312"/>
        <v>2345764.48</v>
      </c>
      <c r="I1126" s="171"/>
      <c r="J1126" s="177"/>
      <c r="K1126" s="177"/>
      <c r="L1126" s="177"/>
      <c r="M1126" s="177"/>
      <c r="N1126" s="177"/>
      <c r="O1126" s="177"/>
      <c r="P1126" s="177"/>
      <c r="Q1126" s="177"/>
      <c r="R1126" s="1"/>
      <c r="S1126" s="1"/>
    </row>
    <row r="1127" spans="1:19" ht="34.5" customHeight="1">
      <c r="A1127" s="16" t="s">
        <v>323</v>
      </c>
      <c r="B1127" s="14">
        <v>793</v>
      </c>
      <c r="C1127" s="15" t="s">
        <v>19</v>
      </c>
      <c r="D1127" s="15" t="s">
        <v>23</v>
      </c>
      <c r="E1127" s="15" t="s">
        <v>949</v>
      </c>
      <c r="F1127" s="15" t="s">
        <v>37</v>
      </c>
      <c r="G1127" s="69">
        <f t="shared" si="312"/>
        <v>2345764.48</v>
      </c>
      <c r="H1127" s="69">
        <f t="shared" si="312"/>
        <v>2345764.48</v>
      </c>
      <c r="I1127" s="171"/>
      <c r="J1127" s="177"/>
      <c r="K1127" s="177"/>
      <c r="L1127" s="177"/>
      <c r="M1127" s="177"/>
      <c r="N1127" s="177"/>
      <c r="O1127" s="177"/>
      <c r="P1127" s="177"/>
      <c r="Q1127" s="177"/>
      <c r="R1127" s="1"/>
      <c r="S1127" s="1"/>
    </row>
    <row r="1128" spans="1:19" ht="30.75" customHeight="1">
      <c r="A1128" s="16" t="s">
        <v>38</v>
      </c>
      <c r="B1128" s="14">
        <v>793</v>
      </c>
      <c r="C1128" s="15" t="s">
        <v>19</v>
      </c>
      <c r="D1128" s="15" t="s">
        <v>23</v>
      </c>
      <c r="E1128" s="15" t="s">
        <v>949</v>
      </c>
      <c r="F1128" s="15" t="s">
        <v>39</v>
      </c>
      <c r="G1128" s="69">
        <f>'прил 5,'!G1225</f>
        <v>2345764.48</v>
      </c>
      <c r="H1128" s="69">
        <f>'прил 5,'!H1225</f>
        <v>2345764.48</v>
      </c>
      <c r="I1128" s="171"/>
      <c r="J1128" s="177"/>
      <c r="K1128" s="177"/>
      <c r="L1128" s="177"/>
      <c r="M1128" s="177"/>
      <c r="N1128" s="177"/>
      <c r="O1128" s="177"/>
      <c r="P1128" s="177"/>
      <c r="Q1128" s="177"/>
      <c r="R1128" s="1"/>
      <c r="S1128" s="1"/>
    </row>
    <row r="1129" spans="1:19" ht="45" customHeight="1">
      <c r="A1129" s="40" t="s">
        <v>21</v>
      </c>
      <c r="B1129" s="14">
        <v>793</v>
      </c>
      <c r="C1129" s="15" t="s">
        <v>19</v>
      </c>
      <c r="D1129" s="15" t="s">
        <v>23</v>
      </c>
      <c r="E1129" s="15" t="s">
        <v>20</v>
      </c>
      <c r="F1129" s="15"/>
      <c r="G1129" s="86">
        <f t="shared" ref="G1129:H1130" si="313">G1130</f>
        <v>44000</v>
      </c>
      <c r="H1129" s="86">
        <f t="shared" si="313"/>
        <v>44000</v>
      </c>
    </row>
    <row r="1130" spans="1:19">
      <c r="A1130" s="16" t="s">
        <v>323</v>
      </c>
      <c r="B1130" s="14">
        <v>793</v>
      </c>
      <c r="C1130" s="15" t="s">
        <v>19</v>
      </c>
      <c r="D1130" s="15" t="s">
        <v>23</v>
      </c>
      <c r="E1130" s="15" t="s">
        <v>20</v>
      </c>
      <c r="F1130" s="15" t="s">
        <v>37</v>
      </c>
      <c r="G1130" s="86">
        <f t="shared" si="313"/>
        <v>44000</v>
      </c>
      <c r="H1130" s="86">
        <f t="shared" si="313"/>
        <v>44000</v>
      </c>
    </row>
    <row r="1131" spans="1:19" ht="30.75" customHeight="1">
      <c r="A1131" s="16" t="s">
        <v>38</v>
      </c>
      <c r="B1131" s="14">
        <v>793</v>
      </c>
      <c r="C1131" s="15" t="s">
        <v>19</v>
      </c>
      <c r="D1131" s="15" t="s">
        <v>23</v>
      </c>
      <c r="E1131" s="15" t="s">
        <v>20</v>
      </c>
      <c r="F1131" s="15" t="s">
        <v>39</v>
      </c>
      <c r="G1131" s="86">
        <f>'прил 5,'!G1228</f>
        <v>44000</v>
      </c>
      <c r="H1131" s="86">
        <f>'прил 5,'!H1228</f>
        <v>44000</v>
      </c>
    </row>
    <row r="1132" spans="1:19" ht="25.5" hidden="1">
      <c r="A1132" s="40" t="s">
        <v>820</v>
      </c>
      <c r="B1132" s="14">
        <v>793</v>
      </c>
      <c r="C1132" s="15" t="s">
        <v>19</v>
      </c>
      <c r="D1132" s="15" t="s">
        <v>23</v>
      </c>
      <c r="E1132" s="15" t="s">
        <v>819</v>
      </c>
      <c r="F1132" s="15"/>
      <c r="G1132" s="69">
        <f t="shared" ref="G1132:H1133" si="314">G1133</f>
        <v>0</v>
      </c>
      <c r="H1132" s="69">
        <f t="shared" si="314"/>
        <v>0</v>
      </c>
      <c r="I1132" s="1"/>
    </row>
    <row r="1133" spans="1:19" ht="20.25" hidden="1" customHeight="1">
      <c r="A1133" s="16" t="s">
        <v>323</v>
      </c>
      <c r="B1133" s="14">
        <v>793</v>
      </c>
      <c r="C1133" s="15" t="s">
        <v>19</v>
      </c>
      <c r="D1133" s="15" t="s">
        <v>23</v>
      </c>
      <c r="E1133" s="15" t="s">
        <v>819</v>
      </c>
      <c r="F1133" s="15" t="s">
        <v>37</v>
      </c>
      <c r="G1133" s="69">
        <f t="shared" si="314"/>
        <v>0</v>
      </c>
      <c r="H1133" s="69">
        <f t="shared" si="314"/>
        <v>0</v>
      </c>
      <c r="I1133" s="1"/>
    </row>
    <row r="1134" spans="1:19" ht="30.75" hidden="1" customHeight="1">
      <c r="A1134" s="16" t="s">
        <v>38</v>
      </c>
      <c r="B1134" s="14">
        <v>793</v>
      </c>
      <c r="C1134" s="15" t="s">
        <v>19</v>
      </c>
      <c r="D1134" s="15" t="s">
        <v>23</v>
      </c>
      <c r="E1134" s="15" t="s">
        <v>819</v>
      </c>
      <c r="F1134" s="15" t="s">
        <v>39</v>
      </c>
      <c r="G1134" s="69"/>
      <c r="H1134" s="69"/>
      <c r="I1134" s="1"/>
    </row>
    <row r="1135" spans="1:19" s="22" customFormat="1" ht="69" customHeight="1">
      <c r="A1135" s="34" t="s">
        <v>1126</v>
      </c>
      <c r="B1135" s="19">
        <v>795</v>
      </c>
      <c r="C1135" s="36" t="s">
        <v>173</v>
      </c>
      <c r="D1135" s="36" t="s">
        <v>28</v>
      </c>
      <c r="E1135" s="36" t="s">
        <v>295</v>
      </c>
      <c r="F1135" s="36"/>
      <c r="G1135" s="70">
        <f>G1150+G1158+G1175+G1180+G1183+G1189+G1195+G1201+G1204+G1225+G1279+G1308+G1311+G1299+G1198+G1143+G1186+G1172+G1305+G1169+G1222+G1155+G1302</f>
        <v>29888775.340000004</v>
      </c>
      <c r="H1135" s="70">
        <f>H1150+H1158+H1175+H1180+H1183+H1189+H1195+H1201+H1204+H1225+H1279+H1308+H1311+H1299+H1198+H1143+H1186+H1172+H1305+H1169+H1222+H1155+H1302</f>
        <v>21126765.879999999</v>
      </c>
      <c r="I1135" s="21">
        <f>H1137+H1139+H1142+H1154+H1160+H1177+H1179+H1182+H1185+H1191+H1197+H1203+H1206</f>
        <v>13552267.279999997</v>
      </c>
      <c r="L1135" s="22">
        <v>45000</v>
      </c>
      <c r="O1135" s="21"/>
      <c r="P1135" s="21"/>
      <c r="Q1135" s="21"/>
      <c r="R1135" s="21"/>
      <c r="S1135" s="21"/>
    </row>
    <row r="1136" spans="1:19" s="22" customFormat="1" ht="25.5" hidden="1">
      <c r="A1136" s="16" t="s">
        <v>76</v>
      </c>
      <c r="B1136" s="49">
        <v>795</v>
      </c>
      <c r="C1136" s="65" t="s">
        <v>54</v>
      </c>
      <c r="D1136" s="65" t="s">
        <v>88</v>
      </c>
      <c r="E1136" s="41" t="s">
        <v>282</v>
      </c>
      <c r="F1136" s="65"/>
      <c r="G1136" s="29">
        <f>G1137+G1140+G1141</f>
        <v>0</v>
      </c>
      <c r="H1136" s="29">
        <f t="shared" ref="H1136" si="315">H1137+H1140+H1141</f>
        <v>0</v>
      </c>
      <c r="I1136" s="21"/>
      <c r="L1136" s="22">
        <v>10893191</v>
      </c>
      <c r="O1136" s="21"/>
      <c r="P1136" s="21"/>
      <c r="Q1136" s="21"/>
      <c r="R1136" s="21"/>
      <c r="S1136" s="21"/>
    </row>
    <row r="1137" spans="1:19" s="120" customFormat="1" ht="51" hidden="1">
      <c r="A1137" s="142" t="s">
        <v>55</v>
      </c>
      <c r="B1137" s="82">
        <v>795</v>
      </c>
      <c r="C1137" s="143" t="s">
        <v>54</v>
      </c>
      <c r="D1137" s="143" t="s">
        <v>88</v>
      </c>
      <c r="E1137" s="144" t="s">
        <v>282</v>
      </c>
      <c r="F1137" s="144" t="s">
        <v>58</v>
      </c>
      <c r="G1137" s="92">
        <f>G1138</f>
        <v>0</v>
      </c>
      <c r="H1137" s="92">
        <f t="shared" ref="H1137" si="316">H1138</f>
        <v>0</v>
      </c>
      <c r="I1137" s="119"/>
      <c r="L1137" s="120">
        <v>431322</v>
      </c>
      <c r="O1137" s="119"/>
      <c r="P1137" s="119"/>
      <c r="Q1137" s="119"/>
      <c r="R1137" s="119"/>
      <c r="S1137" s="119"/>
    </row>
    <row r="1138" spans="1:19" s="120" customFormat="1" ht="25.5" hidden="1">
      <c r="A1138" s="142" t="s">
        <v>56</v>
      </c>
      <c r="B1138" s="82">
        <v>795</v>
      </c>
      <c r="C1138" s="143" t="s">
        <v>54</v>
      </c>
      <c r="D1138" s="143" t="s">
        <v>88</v>
      </c>
      <c r="E1138" s="144" t="s">
        <v>282</v>
      </c>
      <c r="F1138" s="144" t="s">
        <v>59</v>
      </c>
      <c r="G1138" s="92">
        <f>'прил 5,'!G1925</f>
        <v>0</v>
      </c>
      <c r="H1138" s="92">
        <f>'прил 5,'!H1925</f>
        <v>0</v>
      </c>
      <c r="I1138" s="119"/>
      <c r="L1138" s="120">
        <v>20000</v>
      </c>
      <c r="O1138" s="119"/>
      <c r="P1138" s="119"/>
      <c r="Q1138" s="119"/>
      <c r="R1138" s="119"/>
      <c r="S1138" s="119"/>
    </row>
    <row r="1139" spans="1:19" s="89" customFormat="1" ht="25.5" hidden="1">
      <c r="A1139" s="81" t="s">
        <v>36</v>
      </c>
      <c r="B1139" s="82">
        <v>795</v>
      </c>
      <c r="C1139" s="143" t="s">
        <v>54</v>
      </c>
      <c r="D1139" s="143" t="s">
        <v>88</v>
      </c>
      <c r="E1139" s="144" t="s">
        <v>282</v>
      </c>
      <c r="F1139" s="83" t="s">
        <v>37</v>
      </c>
      <c r="G1139" s="86">
        <f>G1140</f>
        <v>0</v>
      </c>
      <c r="H1139" s="86">
        <f t="shared" ref="H1139" si="317">H1140</f>
        <v>0</v>
      </c>
      <c r="I1139" s="119"/>
      <c r="L1139" s="120">
        <v>1600000</v>
      </c>
      <c r="O1139" s="122"/>
      <c r="P1139" s="122"/>
      <c r="Q1139" s="122"/>
      <c r="R1139" s="122"/>
      <c r="S1139" s="122"/>
    </row>
    <row r="1140" spans="1:19" s="89" customFormat="1" ht="25.5" hidden="1">
      <c r="A1140" s="81" t="s">
        <v>38</v>
      </c>
      <c r="B1140" s="82">
        <v>795</v>
      </c>
      <c r="C1140" s="143" t="s">
        <v>54</v>
      </c>
      <c r="D1140" s="143" t="s">
        <v>88</v>
      </c>
      <c r="E1140" s="144" t="s">
        <v>282</v>
      </c>
      <c r="F1140" s="83" t="s">
        <v>39</v>
      </c>
      <c r="G1140" s="86">
        <f>'прил 5,'!G1927</f>
        <v>0</v>
      </c>
      <c r="H1140" s="86">
        <f>'прил 5,'!H1927</f>
        <v>0</v>
      </c>
      <c r="I1140" s="119"/>
      <c r="L1140" s="120">
        <v>800000</v>
      </c>
      <c r="O1140" s="122"/>
      <c r="P1140" s="122"/>
      <c r="Q1140" s="122"/>
      <c r="R1140" s="122"/>
      <c r="S1140" s="122"/>
    </row>
    <row r="1141" spans="1:19" s="146" customFormat="1" ht="25.5" hidden="1">
      <c r="A1141" s="81" t="s">
        <v>38</v>
      </c>
      <c r="B1141" s="145">
        <v>792</v>
      </c>
      <c r="C1141" s="143" t="s">
        <v>54</v>
      </c>
      <c r="D1141" s="143" t="s">
        <v>88</v>
      </c>
      <c r="E1141" s="144" t="s">
        <v>282</v>
      </c>
      <c r="F1141" s="83" t="s">
        <v>64</v>
      </c>
      <c r="G1141" s="86">
        <f>G1142</f>
        <v>0</v>
      </c>
      <c r="H1141" s="86">
        <f t="shared" ref="H1141" si="318">H1142</f>
        <v>0</v>
      </c>
      <c r="I1141" s="119"/>
      <c r="L1141" s="120">
        <v>550000</v>
      </c>
      <c r="O1141" s="148"/>
      <c r="P1141" s="148"/>
      <c r="Q1141" s="148"/>
      <c r="R1141" s="148"/>
      <c r="S1141" s="148"/>
    </row>
    <row r="1142" spans="1:19" s="146" customFormat="1" hidden="1">
      <c r="A1142" s="81" t="s">
        <v>144</v>
      </c>
      <c r="B1142" s="145">
        <v>792</v>
      </c>
      <c r="C1142" s="143" t="s">
        <v>54</v>
      </c>
      <c r="D1142" s="143" t="s">
        <v>88</v>
      </c>
      <c r="E1142" s="144" t="s">
        <v>282</v>
      </c>
      <c r="F1142" s="83" t="s">
        <v>67</v>
      </c>
      <c r="G1142" s="86">
        <f>'прил 5,'!G1929</f>
        <v>0</v>
      </c>
      <c r="H1142" s="86">
        <f>'прил 5,'!H1929</f>
        <v>0</v>
      </c>
      <c r="I1142" s="119"/>
      <c r="L1142" s="120">
        <v>97644600</v>
      </c>
      <c r="O1142" s="148"/>
      <c r="P1142" s="148"/>
      <c r="Q1142" s="148"/>
      <c r="R1142" s="148"/>
      <c r="S1142" s="148"/>
    </row>
    <row r="1143" spans="1:19" ht="35.25" customHeight="1">
      <c r="A1143" s="37" t="s">
        <v>76</v>
      </c>
      <c r="B1143" s="49">
        <v>793</v>
      </c>
      <c r="C1143" s="15" t="s">
        <v>54</v>
      </c>
      <c r="D1143" s="15" t="s">
        <v>88</v>
      </c>
      <c r="E1143" s="15" t="s">
        <v>282</v>
      </c>
      <c r="F1143" s="15"/>
      <c r="G1143" s="69">
        <f>G1146+G1144+G1148</f>
        <v>129909.92</v>
      </c>
      <c r="H1143" s="69">
        <f>H1146+H1144+H1148</f>
        <v>129054.00000000001</v>
      </c>
      <c r="I1143" s="172"/>
      <c r="J1143" s="177"/>
      <c r="K1143" s="177"/>
      <c r="L1143" s="177"/>
      <c r="M1143" s="177"/>
      <c r="N1143" s="177"/>
      <c r="O1143" s="177"/>
      <c r="P1143" s="177"/>
      <c r="Q1143" s="177"/>
      <c r="R1143" s="1"/>
      <c r="S1143" s="1"/>
    </row>
    <row r="1144" spans="1:19" s="3" customFormat="1" ht="51">
      <c r="A1144" s="56" t="s">
        <v>55</v>
      </c>
      <c r="B1144" s="14">
        <v>795</v>
      </c>
      <c r="C1144" s="15" t="s">
        <v>54</v>
      </c>
      <c r="D1144" s="15" t="s">
        <v>88</v>
      </c>
      <c r="E1144" s="15" t="s">
        <v>282</v>
      </c>
      <c r="F1144" s="15" t="s">
        <v>58</v>
      </c>
      <c r="G1144" s="69">
        <f>G1145</f>
        <v>38392.979999999996</v>
      </c>
      <c r="H1144" s="69">
        <f>H1145</f>
        <v>38392.980000000003</v>
      </c>
      <c r="I1144" s="171"/>
      <c r="J1144" s="190"/>
      <c r="K1144" s="190"/>
      <c r="L1144" s="190"/>
      <c r="M1144" s="190"/>
      <c r="N1144" s="190"/>
      <c r="O1144" s="190"/>
      <c r="P1144" s="213"/>
      <c r="Q1144" s="190"/>
    </row>
    <row r="1145" spans="1:19" s="3" customFormat="1" ht="25.5">
      <c r="A1145" s="56" t="s">
        <v>56</v>
      </c>
      <c r="B1145" s="14">
        <v>795</v>
      </c>
      <c r="C1145" s="15" t="s">
        <v>54</v>
      </c>
      <c r="D1145" s="15" t="s">
        <v>88</v>
      </c>
      <c r="E1145" s="15" t="s">
        <v>282</v>
      </c>
      <c r="F1145" s="15" t="s">
        <v>59</v>
      </c>
      <c r="G1145" s="69">
        <f>'прил 5,'!G2181</f>
        <v>38392.979999999996</v>
      </c>
      <c r="H1145" s="69">
        <f>'прил 5,'!H2181</f>
        <v>38392.980000000003</v>
      </c>
      <c r="I1145" s="171"/>
      <c r="J1145" s="190"/>
      <c r="K1145" s="190"/>
      <c r="L1145" s="190"/>
      <c r="M1145" s="190"/>
      <c r="N1145" s="190"/>
      <c r="O1145" s="190"/>
      <c r="P1145" s="213"/>
      <c r="Q1145" s="190"/>
    </row>
    <row r="1146" spans="1:19" ht="30.75" customHeight="1">
      <c r="A1146" s="16" t="s">
        <v>452</v>
      </c>
      <c r="B1146" s="49">
        <v>793</v>
      </c>
      <c r="C1146" s="15" t="s">
        <v>54</v>
      </c>
      <c r="D1146" s="15" t="s">
        <v>88</v>
      </c>
      <c r="E1146" s="15" t="s">
        <v>282</v>
      </c>
      <c r="F1146" s="15" t="s">
        <v>37</v>
      </c>
      <c r="G1146" s="69">
        <f>G1147</f>
        <v>91393.14</v>
      </c>
      <c r="H1146" s="69">
        <f>H1147</f>
        <v>90537.22</v>
      </c>
      <c r="I1146" s="172"/>
      <c r="J1146" s="177"/>
      <c r="K1146" s="177"/>
      <c r="L1146" s="177"/>
      <c r="M1146" s="177"/>
      <c r="N1146" s="177"/>
      <c r="O1146" s="177"/>
      <c r="P1146" s="177"/>
      <c r="Q1146" s="177"/>
      <c r="R1146" s="1"/>
      <c r="S1146" s="1"/>
    </row>
    <row r="1147" spans="1:19" ht="38.25" customHeight="1">
      <c r="A1147" s="16" t="s">
        <v>38</v>
      </c>
      <c r="B1147" s="49">
        <v>793</v>
      </c>
      <c r="C1147" s="15" t="s">
        <v>54</v>
      </c>
      <c r="D1147" s="15" t="s">
        <v>88</v>
      </c>
      <c r="E1147" s="15" t="s">
        <v>282</v>
      </c>
      <c r="F1147" s="15" t="s">
        <v>39</v>
      </c>
      <c r="G1147" s="86">
        <f>'прил 5,'!G2183</f>
        <v>91393.14</v>
      </c>
      <c r="H1147" s="86">
        <f>'прил 5,'!H2183</f>
        <v>90537.22</v>
      </c>
      <c r="I1147" s="172"/>
      <c r="J1147" s="177"/>
      <c r="K1147" s="177"/>
      <c r="L1147" s="177"/>
      <c r="M1147" s="177"/>
      <c r="N1147" s="177"/>
      <c r="O1147" s="177"/>
      <c r="P1147" s="177"/>
      <c r="Q1147" s="177"/>
      <c r="R1147" s="1"/>
      <c r="S1147" s="1"/>
    </row>
    <row r="1148" spans="1:19" ht="26.25" customHeight="1">
      <c r="A1148" s="81" t="s">
        <v>63</v>
      </c>
      <c r="B1148" s="145">
        <v>795</v>
      </c>
      <c r="C1148" s="83" t="s">
        <v>54</v>
      </c>
      <c r="D1148" s="83" t="s">
        <v>88</v>
      </c>
      <c r="E1148" s="83" t="s">
        <v>282</v>
      </c>
      <c r="F1148" s="83" t="s">
        <v>64</v>
      </c>
      <c r="G1148" s="86">
        <f>G1149</f>
        <v>123.8</v>
      </c>
      <c r="H1148" s="86">
        <f>H1149</f>
        <v>123.8</v>
      </c>
      <c r="I1148" s="172"/>
      <c r="J1148" s="68"/>
      <c r="K1148" s="68"/>
      <c r="L1148" s="68"/>
      <c r="M1148" s="68"/>
      <c r="N1148" s="68"/>
      <c r="O1148" s="68"/>
      <c r="P1148" s="68"/>
      <c r="Q1148" s="68"/>
      <c r="R1148" s="1"/>
      <c r="S1148" s="1"/>
    </row>
    <row r="1149" spans="1:19" ht="21" customHeight="1">
      <c r="A1149" s="81" t="s">
        <v>144</v>
      </c>
      <c r="B1149" s="145">
        <v>795</v>
      </c>
      <c r="C1149" s="83" t="s">
        <v>54</v>
      </c>
      <c r="D1149" s="83" t="s">
        <v>88</v>
      </c>
      <c r="E1149" s="83" t="s">
        <v>282</v>
      </c>
      <c r="F1149" s="83" t="s">
        <v>67</v>
      </c>
      <c r="G1149" s="86">
        <v>123.8</v>
      </c>
      <c r="H1149" s="86">
        <v>123.8</v>
      </c>
      <c r="I1149" s="172"/>
      <c r="J1149" s="68"/>
      <c r="K1149" s="68"/>
      <c r="L1149" s="68"/>
      <c r="M1149" s="68"/>
      <c r="N1149" s="68"/>
      <c r="O1149" s="68"/>
      <c r="P1149" s="68"/>
      <c r="Q1149" s="68"/>
      <c r="R1149" s="1"/>
      <c r="S1149" s="1"/>
    </row>
    <row r="1150" spans="1:19" s="147" customFormat="1" ht="67.5" customHeight="1">
      <c r="A1150" s="81" t="s">
        <v>320</v>
      </c>
      <c r="B1150" s="82">
        <v>795</v>
      </c>
      <c r="C1150" s="83" t="s">
        <v>173</v>
      </c>
      <c r="D1150" s="83" t="s">
        <v>28</v>
      </c>
      <c r="E1150" s="83" t="s">
        <v>321</v>
      </c>
      <c r="F1150" s="83"/>
      <c r="G1150" s="86">
        <f>G1153+G1151</f>
        <v>776719</v>
      </c>
      <c r="H1150" s="86">
        <f>H1153+H1151</f>
        <v>771477</v>
      </c>
      <c r="I1150" s="119"/>
      <c r="L1150" s="120">
        <v>1893100</v>
      </c>
      <c r="O1150" s="168"/>
      <c r="P1150" s="168"/>
      <c r="Q1150" s="168"/>
      <c r="R1150" s="168"/>
      <c r="S1150" s="168"/>
    </row>
    <row r="1151" spans="1:19" ht="25.5">
      <c r="A1151" s="16" t="s">
        <v>36</v>
      </c>
      <c r="B1151" s="49">
        <v>793</v>
      </c>
      <c r="C1151" s="15" t="s">
        <v>173</v>
      </c>
      <c r="D1151" s="15" t="s">
        <v>28</v>
      </c>
      <c r="E1151" s="15" t="s">
        <v>321</v>
      </c>
      <c r="F1151" s="15" t="s">
        <v>37</v>
      </c>
      <c r="G1151" s="69">
        <f>G1152</f>
        <v>0</v>
      </c>
      <c r="H1151" s="69">
        <f>H1152</f>
        <v>0</v>
      </c>
      <c r="I1151" s="170"/>
      <c r="O1151" s="1"/>
      <c r="P1151" s="1"/>
      <c r="Q1151" s="1"/>
      <c r="R1151" s="1"/>
      <c r="S1151" s="1"/>
    </row>
    <row r="1152" spans="1:19" ht="25.5">
      <c r="A1152" s="16" t="s">
        <v>38</v>
      </c>
      <c r="B1152" s="49">
        <v>793</v>
      </c>
      <c r="C1152" s="15" t="s">
        <v>173</v>
      </c>
      <c r="D1152" s="15" t="s">
        <v>28</v>
      </c>
      <c r="E1152" s="15" t="s">
        <v>321</v>
      </c>
      <c r="F1152" s="15" t="s">
        <v>39</v>
      </c>
      <c r="G1152" s="69">
        <v>0</v>
      </c>
      <c r="H1152" s="69"/>
      <c r="I1152" s="170"/>
      <c r="O1152" s="1"/>
      <c r="P1152" s="1"/>
      <c r="Q1152" s="1"/>
      <c r="R1152" s="1"/>
      <c r="S1152" s="1"/>
    </row>
    <row r="1153" spans="1:19" s="147" customFormat="1" ht="21.75" customHeight="1">
      <c r="A1153" s="81" t="s">
        <v>156</v>
      </c>
      <c r="B1153" s="82">
        <v>795</v>
      </c>
      <c r="C1153" s="83" t="s">
        <v>173</v>
      </c>
      <c r="D1153" s="83" t="s">
        <v>28</v>
      </c>
      <c r="E1153" s="83" t="s">
        <v>321</v>
      </c>
      <c r="F1153" s="83" t="s">
        <v>157</v>
      </c>
      <c r="G1153" s="86">
        <f t="shared" ref="G1153:H1153" si="319">G1154</f>
        <v>776719</v>
      </c>
      <c r="H1153" s="86">
        <f t="shared" si="319"/>
        <v>771477</v>
      </c>
      <c r="I1153" s="119"/>
      <c r="L1153" s="120">
        <v>2400000</v>
      </c>
      <c r="O1153" s="168"/>
      <c r="P1153" s="168"/>
      <c r="Q1153" s="168"/>
      <c r="R1153" s="168"/>
      <c r="S1153" s="168"/>
    </row>
    <row r="1154" spans="1:19" s="89" customFormat="1" ht="18.75" customHeight="1">
      <c r="A1154" s="81" t="s">
        <v>178</v>
      </c>
      <c r="B1154" s="82">
        <v>795</v>
      </c>
      <c r="C1154" s="83" t="s">
        <v>173</v>
      </c>
      <c r="D1154" s="83" t="s">
        <v>28</v>
      </c>
      <c r="E1154" s="83" t="s">
        <v>321</v>
      </c>
      <c r="F1154" s="83" t="s">
        <v>179</v>
      </c>
      <c r="G1154" s="69">
        <f>'прил 5,'!G1535</f>
        <v>776719</v>
      </c>
      <c r="H1154" s="69">
        <f>'прил 5,'!H1535</f>
        <v>771477</v>
      </c>
      <c r="I1154" s="119"/>
      <c r="L1154" s="120">
        <v>1000000</v>
      </c>
      <c r="O1154" s="122"/>
      <c r="P1154" s="122"/>
      <c r="Q1154" s="122"/>
      <c r="R1154" s="122"/>
      <c r="S1154" s="122"/>
    </row>
    <row r="1155" spans="1:19" ht="25.5">
      <c r="A1155" s="81" t="s">
        <v>1107</v>
      </c>
      <c r="B1155" s="82">
        <v>793</v>
      </c>
      <c r="C1155" s="83" t="s">
        <v>173</v>
      </c>
      <c r="D1155" s="83" t="s">
        <v>28</v>
      </c>
      <c r="E1155" s="83" t="s">
        <v>1106</v>
      </c>
      <c r="F1155" s="83"/>
      <c r="G1155" s="86">
        <f>G1156</f>
        <v>712816.76</v>
      </c>
      <c r="H1155" s="86">
        <f t="shared" ref="G1155:H1156" si="320">H1156</f>
        <v>20000</v>
      </c>
      <c r="I1155" s="171"/>
      <c r="J1155" s="177"/>
      <c r="K1155" s="177"/>
      <c r="L1155" s="177"/>
      <c r="M1155" s="177"/>
      <c r="N1155" s="177"/>
      <c r="O1155" s="177"/>
      <c r="P1155" s="177"/>
      <c r="Q1155" s="177"/>
      <c r="R1155" s="1"/>
      <c r="S1155" s="1"/>
    </row>
    <row r="1156" spans="1:19" ht="25.5">
      <c r="A1156" s="81" t="s">
        <v>96</v>
      </c>
      <c r="B1156" s="82">
        <v>793</v>
      </c>
      <c r="C1156" s="83" t="s">
        <v>173</v>
      </c>
      <c r="D1156" s="83" t="s">
        <v>28</v>
      </c>
      <c r="E1156" s="83" t="s">
        <v>1106</v>
      </c>
      <c r="F1156" s="83" t="s">
        <v>348</v>
      </c>
      <c r="G1156" s="86">
        <f t="shared" si="320"/>
        <v>712816.76</v>
      </c>
      <c r="H1156" s="86">
        <f t="shared" si="320"/>
        <v>20000</v>
      </c>
      <c r="I1156" s="171"/>
      <c r="J1156" s="177"/>
      <c r="K1156" s="177"/>
      <c r="L1156" s="177"/>
      <c r="M1156" s="177"/>
      <c r="N1156" s="177"/>
      <c r="O1156" s="177"/>
      <c r="P1156" s="177"/>
      <c r="Q1156" s="177"/>
      <c r="R1156" s="1"/>
      <c r="S1156" s="1"/>
    </row>
    <row r="1157" spans="1:19">
      <c r="A1157" s="81" t="s">
        <v>349</v>
      </c>
      <c r="B1157" s="82">
        <v>793</v>
      </c>
      <c r="C1157" s="83" t="s">
        <v>173</v>
      </c>
      <c r="D1157" s="83" t="s">
        <v>28</v>
      </c>
      <c r="E1157" s="83" t="s">
        <v>1106</v>
      </c>
      <c r="F1157" s="83" t="s">
        <v>350</v>
      </c>
      <c r="G1157" s="86">
        <f>'прил 5,'!G1556</f>
        <v>712816.76</v>
      </c>
      <c r="H1157" s="86">
        <f>'прил 5,'!H1556</f>
        <v>20000</v>
      </c>
      <c r="I1157" s="171"/>
      <c r="J1157" s="177"/>
      <c r="K1157" s="177"/>
      <c r="L1157" s="177"/>
      <c r="M1157" s="177"/>
      <c r="N1157" s="177"/>
      <c r="O1157" s="177"/>
      <c r="P1157" s="177"/>
      <c r="Q1157" s="177"/>
      <c r="R1157" s="1"/>
      <c r="S1157" s="1"/>
    </row>
    <row r="1158" spans="1:19" s="89" customFormat="1" ht="27.75" customHeight="1">
      <c r="A1158" s="81" t="s">
        <v>749</v>
      </c>
      <c r="B1158" s="82">
        <v>795</v>
      </c>
      <c r="C1158" s="83" t="s">
        <v>173</v>
      </c>
      <c r="D1158" s="83" t="s">
        <v>28</v>
      </c>
      <c r="E1158" s="83" t="s">
        <v>296</v>
      </c>
      <c r="F1158" s="83"/>
      <c r="G1158" s="69">
        <f>G1159+G1161</f>
        <v>7453410.1500000004</v>
      </c>
      <c r="H1158" s="69">
        <f t="shared" ref="G1158:H1159" si="321">H1159</f>
        <v>7373886.9500000002</v>
      </c>
      <c r="I1158" s="119"/>
      <c r="L1158" s="120">
        <v>662715</v>
      </c>
      <c r="O1158" s="122"/>
      <c r="P1158" s="122"/>
      <c r="Q1158" s="122"/>
      <c r="R1158" s="122"/>
      <c r="S1158" s="122"/>
    </row>
    <row r="1159" spans="1:19" s="89" customFormat="1" ht="25.5">
      <c r="A1159" s="81" t="s">
        <v>36</v>
      </c>
      <c r="B1159" s="82">
        <v>795</v>
      </c>
      <c r="C1159" s="83" t="s">
        <v>173</v>
      </c>
      <c r="D1159" s="83" t="s">
        <v>28</v>
      </c>
      <c r="E1159" s="83" t="s">
        <v>296</v>
      </c>
      <c r="F1159" s="83" t="s">
        <v>37</v>
      </c>
      <c r="G1159" s="69">
        <f t="shared" si="321"/>
        <v>7453410.1500000004</v>
      </c>
      <c r="H1159" s="69">
        <f t="shared" si="321"/>
        <v>7373886.9500000002</v>
      </c>
      <c r="I1159" s="119"/>
      <c r="L1159" s="120">
        <v>1000000</v>
      </c>
      <c r="O1159" s="122"/>
      <c r="P1159" s="122"/>
      <c r="Q1159" s="122"/>
      <c r="R1159" s="122"/>
      <c r="S1159" s="122"/>
    </row>
    <row r="1160" spans="1:19" s="89" customFormat="1" ht="25.5">
      <c r="A1160" s="81" t="s">
        <v>38</v>
      </c>
      <c r="B1160" s="82">
        <v>795</v>
      </c>
      <c r="C1160" s="83" t="s">
        <v>173</v>
      </c>
      <c r="D1160" s="83" t="s">
        <v>28</v>
      </c>
      <c r="E1160" s="83" t="s">
        <v>296</v>
      </c>
      <c r="F1160" s="83" t="s">
        <v>39</v>
      </c>
      <c r="G1160" s="69">
        <f>'прил 5,'!G1516+'прил 5,'!G2216</f>
        <v>7453410.1500000004</v>
      </c>
      <c r="H1160" s="69">
        <f>'прил 5,'!H1516+'прил 5,'!H2216</f>
        <v>7373886.9500000002</v>
      </c>
      <c r="I1160" s="69">
        <f>'прил 5,'!I1516+'прил 5,'!I2216</f>
        <v>0</v>
      </c>
      <c r="J1160" s="69">
        <f>'прил 5,'!J1516+'прил 5,'!J2216</f>
        <v>0</v>
      </c>
      <c r="K1160" s="69">
        <f>'прил 5,'!K1516+'прил 5,'!K2216</f>
        <v>0</v>
      </c>
      <c r="L1160" s="69">
        <f>'прил 5,'!L1516+'прил 5,'!L2216</f>
        <v>0</v>
      </c>
      <c r="M1160" s="69">
        <f>'прил 5,'!M1516+'прил 5,'!M2216</f>
        <v>0</v>
      </c>
      <c r="N1160" s="69">
        <f>'прил 5,'!N1516+'прил 5,'!N2216</f>
        <v>0</v>
      </c>
      <c r="O1160" s="122"/>
      <c r="P1160" s="122"/>
      <c r="Q1160" s="122"/>
      <c r="R1160" s="122"/>
      <c r="S1160" s="122"/>
    </row>
    <row r="1161" spans="1:19" hidden="1">
      <c r="A1161" s="16" t="s">
        <v>63</v>
      </c>
      <c r="B1161" s="49">
        <v>795</v>
      </c>
      <c r="C1161" s="15" t="s">
        <v>173</v>
      </c>
      <c r="D1161" s="15" t="s">
        <v>28</v>
      </c>
      <c r="E1161" s="15" t="s">
        <v>296</v>
      </c>
      <c r="F1161" s="15" t="s">
        <v>64</v>
      </c>
      <c r="G1161" s="69">
        <f>G1162</f>
        <v>0</v>
      </c>
      <c r="H1161" s="69">
        <v>0</v>
      </c>
      <c r="I1161" s="1"/>
    </row>
    <row r="1162" spans="1:19" hidden="1">
      <c r="A1162" s="16" t="s">
        <v>180</v>
      </c>
      <c r="B1162" s="49">
        <v>795</v>
      </c>
      <c r="C1162" s="15" t="s">
        <v>173</v>
      </c>
      <c r="D1162" s="15" t="s">
        <v>28</v>
      </c>
      <c r="E1162" s="15" t="s">
        <v>296</v>
      </c>
      <c r="F1162" s="15" t="s">
        <v>181</v>
      </c>
      <c r="G1162" s="69">
        <f>'прил 5,'!G1966</f>
        <v>0</v>
      </c>
      <c r="H1162" s="69">
        <v>0</v>
      </c>
      <c r="I1162" s="1"/>
    </row>
    <row r="1163" spans="1:19" s="89" customFormat="1" hidden="1">
      <c r="A1163" s="81" t="s">
        <v>694</v>
      </c>
      <c r="B1163" s="82">
        <v>795</v>
      </c>
      <c r="C1163" s="83" t="s">
        <v>173</v>
      </c>
      <c r="D1163" s="83" t="s">
        <v>28</v>
      </c>
      <c r="E1163" s="83" t="s">
        <v>693</v>
      </c>
      <c r="F1163" s="83"/>
      <c r="G1163" s="86">
        <f t="shared" ref="G1163:H1164" si="322">G1164</f>
        <v>0</v>
      </c>
      <c r="H1163" s="86">
        <f t="shared" si="322"/>
        <v>0</v>
      </c>
      <c r="O1163" s="122"/>
      <c r="P1163" s="122"/>
      <c r="Q1163" s="122"/>
      <c r="R1163" s="122"/>
      <c r="S1163" s="122"/>
    </row>
    <row r="1164" spans="1:19" s="89" customFormat="1" ht="25.5" hidden="1">
      <c r="A1164" s="81" t="s">
        <v>36</v>
      </c>
      <c r="B1164" s="82">
        <v>795</v>
      </c>
      <c r="C1164" s="83" t="s">
        <v>173</v>
      </c>
      <c r="D1164" s="83" t="s">
        <v>28</v>
      </c>
      <c r="E1164" s="83" t="s">
        <v>693</v>
      </c>
      <c r="F1164" s="83" t="s">
        <v>37</v>
      </c>
      <c r="G1164" s="86">
        <f t="shared" si="322"/>
        <v>0</v>
      </c>
      <c r="H1164" s="86">
        <f t="shared" si="322"/>
        <v>0</v>
      </c>
      <c r="O1164" s="122"/>
      <c r="P1164" s="122"/>
      <c r="Q1164" s="122"/>
      <c r="R1164" s="122"/>
      <c r="S1164" s="122"/>
    </row>
    <row r="1165" spans="1:19" s="89" customFormat="1" ht="25.5" hidden="1">
      <c r="A1165" s="81" t="s">
        <v>38</v>
      </c>
      <c r="B1165" s="82">
        <v>795</v>
      </c>
      <c r="C1165" s="83" t="s">
        <v>173</v>
      </c>
      <c r="D1165" s="83" t="s">
        <v>28</v>
      </c>
      <c r="E1165" s="83" t="s">
        <v>693</v>
      </c>
      <c r="F1165" s="83" t="s">
        <v>39</v>
      </c>
      <c r="G1165" s="86">
        <f>'прил 5,'!G1084</f>
        <v>0</v>
      </c>
      <c r="H1165" s="86">
        <v>0</v>
      </c>
      <c r="O1165" s="122"/>
      <c r="P1165" s="122"/>
      <c r="Q1165" s="122"/>
      <c r="R1165" s="122"/>
      <c r="S1165" s="122"/>
    </row>
    <row r="1166" spans="1:19" hidden="1">
      <c r="A1166" s="16" t="s">
        <v>740</v>
      </c>
      <c r="B1166" s="49">
        <v>795</v>
      </c>
      <c r="C1166" s="15" t="s">
        <v>173</v>
      </c>
      <c r="D1166" s="15" t="s">
        <v>28</v>
      </c>
      <c r="E1166" s="15" t="s">
        <v>739</v>
      </c>
      <c r="F1166" s="15"/>
      <c r="G1166" s="69">
        <f t="shared" ref="G1166:H1167" si="323">G1167</f>
        <v>0</v>
      </c>
      <c r="H1166" s="69">
        <f t="shared" si="323"/>
        <v>0</v>
      </c>
      <c r="I1166" s="1"/>
    </row>
    <row r="1167" spans="1:19" ht="25.5" hidden="1">
      <c r="A1167" s="16" t="s">
        <v>36</v>
      </c>
      <c r="B1167" s="49">
        <v>795</v>
      </c>
      <c r="C1167" s="15" t="s">
        <v>173</v>
      </c>
      <c r="D1167" s="15" t="s">
        <v>28</v>
      </c>
      <c r="E1167" s="15" t="s">
        <v>739</v>
      </c>
      <c r="F1167" s="15" t="s">
        <v>37</v>
      </c>
      <c r="G1167" s="69">
        <f t="shared" si="323"/>
        <v>0</v>
      </c>
      <c r="H1167" s="69">
        <f t="shared" si="323"/>
        <v>0</v>
      </c>
      <c r="I1167" s="1"/>
    </row>
    <row r="1168" spans="1:19" ht="25.5" hidden="1">
      <c r="A1168" s="16" t="s">
        <v>38</v>
      </c>
      <c r="B1168" s="49">
        <v>795</v>
      </c>
      <c r="C1168" s="15" t="s">
        <v>173</v>
      </c>
      <c r="D1168" s="15" t="s">
        <v>28</v>
      </c>
      <c r="E1168" s="15" t="s">
        <v>739</v>
      </c>
      <c r="F1168" s="15" t="s">
        <v>39</v>
      </c>
      <c r="G1168" s="69">
        <f>'прил 5,'!G1972</f>
        <v>0</v>
      </c>
      <c r="H1168" s="69">
        <v>0</v>
      </c>
      <c r="I1168" s="1"/>
    </row>
    <row r="1169" spans="1:19" ht="25.5">
      <c r="A1169" s="81" t="s">
        <v>1046</v>
      </c>
      <c r="B1169" s="49">
        <v>793</v>
      </c>
      <c r="C1169" s="15" t="s">
        <v>173</v>
      </c>
      <c r="D1169" s="15" t="s">
        <v>28</v>
      </c>
      <c r="E1169" s="15" t="s">
        <v>1049</v>
      </c>
      <c r="F1169" s="15"/>
      <c r="G1169" s="69">
        <f>G1170</f>
        <v>270000</v>
      </c>
      <c r="H1169" s="69">
        <f t="shared" ref="G1169:H1170" si="324">H1170</f>
        <v>260000</v>
      </c>
      <c r="I1169" s="171"/>
      <c r="J1169" s="177"/>
      <c r="K1169" s="177"/>
      <c r="L1169" s="177"/>
      <c r="M1169" s="177"/>
      <c r="N1169" s="177"/>
      <c r="O1169" s="177"/>
      <c r="P1169" s="177"/>
      <c r="Q1169" s="177"/>
      <c r="R1169" s="1"/>
      <c r="S1169" s="1"/>
    </row>
    <row r="1170" spans="1:19" ht="25.5">
      <c r="A1170" s="16" t="s">
        <v>36</v>
      </c>
      <c r="B1170" s="49">
        <v>793</v>
      </c>
      <c r="C1170" s="15" t="s">
        <v>173</v>
      </c>
      <c r="D1170" s="15" t="s">
        <v>28</v>
      </c>
      <c r="E1170" s="15" t="s">
        <v>1049</v>
      </c>
      <c r="F1170" s="15" t="s">
        <v>348</v>
      </c>
      <c r="G1170" s="69">
        <f t="shared" si="324"/>
        <v>270000</v>
      </c>
      <c r="H1170" s="69">
        <f t="shared" si="324"/>
        <v>260000</v>
      </c>
      <c r="I1170" s="171"/>
      <c r="J1170" s="177"/>
      <c r="K1170" s="177"/>
      <c r="L1170" s="177"/>
      <c r="M1170" s="177"/>
      <c r="N1170" s="177"/>
      <c r="O1170" s="177"/>
      <c r="P1170" s="177"/>
      <c r="Q1170" s="177"/>
      <c r="R1170" s="1"/>
      <c r="S1170" s="1"/>
    </row>
    <row r="1171" spans="1:19" ht="25.5">
      <c r="A1171" s="16" t="s">
        <v>38</v>
      </c>
      <c r="B1171" s="49">
        <v>793</v>
      </c>
      <c r="C1171" s="15" t="s">
        <v>173</v>
      </c>
      <c r="D1171" s="15" t="s">
        <v>28</v>
      </c>
      <c r="E1171" s="15" t="s">
        <v>1049</v>
      </c>
      <c r="F1171" s="15" t="s">
        <v>350</v>
      </c>
      <c r="G1171" s="69">
        <f>'прил 5,'!G1527</f>
        <v>270000</v>
      </c>
      <c r="H1171" s="69">
        <f>'прил 5,'!H1527</f>
        <v>260000</v>
      </c>
      <c r="I1171" s="171"/>
      <c r="J1171" s="177"/>
      <c r="K1171" s="177"/>
      <c r="L1171" s="177"/>
      <c r="M1171" s="177"/>
      <c r="N1171" s="177"/>
      <c r="O1171" s="177"/>
      <c r="P1171" s="177"/>
      <c r="Q1171" s="177"/>
      <c r="R1171" s="1"/>
      <c r="S1171" s="1"/>
    </row>
    <row r="1172" spans="1:19">
      <c r="A1172" s="81" t="s">
        <v>992</v>
      </c>
      <c r="B1172" s="49">
        <v>793</v>
      </c>
      <c r="C1172" s="15" t="s">
        <v>173</v>
      </c>
      <c r="D1172" s="15" t="s">
        <v>28</v>
      </c>
      <c r="E1172" s="15" t="s">
        <v>991</v>
      </c>
      <c r="F1172" s="15"/>
      <c r="G1172" s="69">
        <f>G1173</f>
        <v>656946.05000000005</v>
      </c>
      <c r="H1172" s="69">
        <f t="shared" ref="G1172:H1173" si="325">H1173</f>
        <v>656946.05000000005</v>
      </c>
      <c r="I1172" s="171"/>
      <c r="J1172" s="177"/>
      <c r="K1172" s="177"/>
      <c r="L1172" s="177"/>
      <c r="M1172" s="177"/>
      <c r="N1172" s="177"/>
      <c r="O1172" s="177"/>
      <c r="P1172" s="177"/>
      <c r="Q1172" s="177"/>
      <c r="R1172" s="1"/>
      <c r="S1172" s="1"/>
    </row>
    <row r="1173" spans="1:19" ht="25.5">
      <c r="A1173" s="16" t="s">
        <v>96</v>
      </c>
      <c r="B1173" s="49">
        <v>793</v>
      </c>
      <c r="C1173" s="15" t="s">
        <v>173</v>
      </c>
      <c r="D1173" s="15" t="s">
        <v>28</v>
      </c>
      <c r="E1173" s="15" t="s">
        <v>991</v>
      </c>
      <c r="F1173" s="15" t="s">
        <v>348</v>
      </c>
      <c r="G1173" s="69">
        <f t="shared" si="325"/>
        <v>656946.05000000005</v>
      </c>
      <c r="H1173" s="69">
        <f t="shared" si="325"/>
        <v>656946.05000000005</v>
      </c>
      <c r="I1173" s="171"/>
      <c r="J1173" s="177"/>
      <c r="K1173" s="177"/>
      <c r="L1173" s="177"/>
      <c r="M1173" s="177"/>
      <c r="N1173" s="177"/>
      <c r="O1173" s="177"/>
      <c r="P1173" s="177"/>
      <c r="Q1173" s="177"/>
      <c r="R1173" s="1"/>
      <c r="S1173" s="1"/>
    </row>
    <row r="1174" spans="1:19">
      <c r="A1174" s="16" t="s">
        <v>349</v>
      </c>
      <c r="B1174" s="49">
        <v>793</v>
      </c>
      <c r="C1174" s="15" t="s">
        <v>173</v>
      </c>
      <c r="D1174" s="15" t="s">
        <v>28</v>
      </c>
      <c r="E1174" s="15" t="s">
        <v>991</v>
      </c>
      <c r="F1174" s="15" t="s">
        <v>350</v>
      </c>
      <c r="G1174" s="69">
        <v>656946.05000000005</v>
      </c>
      <c r="H1174" s="69">
        <v>656946.05000000005</v>
      </c>
      <c r="I1174" s="171"/>
      <c r="J1174" s="177"/>
      <c r="K1174" s="177"/>
      <c r="L1174" s="177"/>
      <c r="M1174" s="177"/>
      <c r="N1174" s="177"/>
      <c r="O1174" s="177"/>
      <c r="P1174" s="177"/>
      <c r="Q1174" s="177"/>
      <c r="R1174" s="1"/>
      <c r="S1174" s="1"/>
    </row>
    <row r="1175" spans="1:19" s="89" customFormat="1">
      <c r="A1175" s="81" t="s">
        <v>116</v>
      </c>
      <c r="B1175" s="82">
        <v>795</v>
      </c>
      <c r="C1175" s="83" t="s">
        <v>173</v>
      </c>
      <c r="D1175" s="83" t="s">
        <v>70</v>
      </c>
      <c r="E1175" s="83" t="s">
        <v>100</v>
      </c>
      <c r="F1175" s="83"/>
      <c r="G1175" s="86">
        <f>G1176+G1178</f>
        <v>560800</v>
      </c>
      <c r="H1175" s="86">
        <f>H1176+H1178</f>
        <v>560800</v>
      </c>
      <c r="I1175" s="119"/>
      <c r="L1175" s="120">
        <v>60914</v>
      </c>
      <c r="O1175" s="122"/>
      <c r="P1175" s="122"/>
      <c r="Q1175" s="122"/>
      <c r="R1175" s="122"/>
      <c r="S1175" s="122"/>
    </row>
    <row r="1176" spans="1:19" s="89" customFormat="1" ht="25.5" customHeight="1">
      <c r="A1176" s="81" t="s">
        <v>323</v>
      </c>
      <c r="B1176" s="145">
        <v>793</v>
      </c>
      <c r="C1176" s="83" t="s">
        <v>19</v>
      </c>
      <c r="D1176" s="83" t="s">
        <v>23</v>
      </c>
      <c r="E1176" s="83" t="s">
        <v>100</v>
      </c>
      <c r="F1176" s="83" t="s">
        <v>37</v>
      </c>
      <c r="G1176" s="86">
        <f>G1177</f>
        <v>560800</v>
      </c>
      <c r="H1176" s="86">
        <f>H1177</f>
        <v>560800</v>
      </c>
      <c r="I1176" s="119"/>
      <c r="L1176" s="120">
        <v>365000</v>
      </c>
      <c r="O1176" s="122"/>
      <c r="P1176" s="122"/>
      <c r="Q1176" s="122"/>
      <c r="R1176" s="122"/>
      <c r="S1176" s="122"/>
    </row>
    <row r="1177" spans="1:19" s="89" customFormat="1" ht="25.5" customHeight="1">
      <c r="A1177" s="81" t="s">
        <v>38</v>
      </c>
      <c r="B1177" s="145">
        <v>793</v>
      </c>
      <c r="C1177" s="83" t="s">
        <v>19</v>
      </c>
      <c r="D1177" s="83" t="s">
        <v>23</v>
      </c>
      <c r="E1177" s="83" t="s">
        <v>100</v>
      </c>
      <c r="F1177" s="83" t="s">
        <v>39</v>
      </c>
      <c r="G1177" s="69">
        <f>'прил 5,'!G1596+'прил 5,'!G2236</f>
        <v>560800</v>
      </c>
      <c r="H1177" s="69">
        <f>'прил 5,'!H1596+'прил 5,'!H2236</f>
        <v>560800</v>
      </c>
      <c r="I1177" s="119"/>
      <c r="L1177" s="120">
        <v>50000</v>
      </c>
      <c r="O1177" s="122"/>
      <c r="P1177" s="122"/>
      <c r="Q1177" s="122"/>
      <c r="R1177" s="122"/>
      <c r="S1177" s="122"/>
    </row>
    <row r="1178" spans="1:19" s="89" customFormat="1" hidden="1">
      <c r="A1178" s="81" t="s">
        <v>156</v>
      </c>
      <c r="B1178" s="82">
        <v>795</v>
      </c>
      <c r="C1178" s="83" t="s">
        <v>173</v>
      </c>
      <c r="D1178" s="83" t="s">
        <v>70</v>
      </c>
      <c r="E1178" s="83" t="s">
        <v>100</v>
      </c>
      <c r="F1178" s="83" t="s">
        <v>157</v>
      </c>
      <c r="G1178" s="69">
        <f>G1179</f>
        <v>0</v>
      </c>
      <c r="H1178" s="69">
        <f t="shared" ref="H1178" si="326">H1179</f>
        <v>0</v>
      </c>
      <c r="I1178" s="122"/>
      <c r="L1178" s="89">
        <v>500000</v>
      </c>
      <c r="O1178" s="122"/>
      <c r="P1178" s="122"/>
      <c r="Q1178" s="122"/>
      <c r="R1178" s="122"/>
      <c r="S1178" s="122"/>
    </row>
    <row r="1179" spans="1:19" s="89" customFormat="1" hidden="1">
      <c r="A1179" s="81" t="s">
        <v>178</v>
      </c>
      <c r="B1179" s="82">
        <v>795</v>
      </c>
      <c r="C1179" s="83" t="s">
        <v>173</v>
      </c>
      <c r="D1179" s="83" t="s">
        <v>70</v>
      </c>
      <c r="E1179" s="83" t="s">
        <v>100</v>
      </c>
      <c r="F1179" s="83" t="s">
        <v>179</v>
      </c>
      <c r="G1179" s="69">
        <f>'прил 5,'!G2046</f>
        <v>0</v>
      </c>
      <c r="H1179" s="69">
        <f>'прил 5,'!H2046</f>
        <v>0</v>
      </c>
      <c r="I1179" s="122"/>
      <c r="L1179" s="89">
        <f>L1135+L1136+L1137+L1138+L1139+L1140+L1141+L1142+L1150+L1153+L1154+L1158+L1159+L1160+L1175+L1176+L1177+L1178</f>
        <v>119915842</v>
      </c>
      <c r="O1179" s="122"/>
      <c r="P1179" s="122"/>
      <c r="Q1179" s="122"/>
      <c r="R1179" s="122"/>
      <c r="S1179" s="122"/>
    </row>
    <row r="1180" spans="1:19" s="89" customFormat="1" ht="26.25" customHeight="1">
      <c r="A1180" s="81" t="s">
        <v>77</v>
      </c>
      <c r="B1180" s="82">
        <v>795</v>
      </c>
      <c r="C1180" s="83" t="s">
        <v>173</v>
      </c>
      <c r="D1180" s="83" t="s">
        <v>70</v>
      </c>
      <c r="E1180" s="83" t="s">
        <v>78</v>
      </c>
      <c r="F1180" s="83"/>
      <c r="G1180" s="69">
        <f t="shared" ref="G1180:H1181" si="327">G1181</f>
        <v>70000</v>
      </c>
      <c r="H1180" s="69">
        <f t="shared" si="327"/>
        <v>59000</v>
      </c>
      <c r="I1180" s="122"/>
      <c r="L1180" s="122">
        <f>L1179-H1135</f>
        <v>98789076.120000005</v>
      </c>
      <c r="O1180" s="122"/>
      <c r="P1180" s="122"/>
      <c r="Q1180" s="122"/>
      <c r="R1180" s="122"/>
      <c r="S1180" s="122"/>
    </row>
    <row r="1181" spans="1:19" s="89" customFormat="1" ht="26.25" customHeight="1">
      <c r="A1181" s="81" t="s">
        <v>36</v>
      </c>
      <c r="B1181" s="82">
        <v>795</v>
      </c>
      <c r="C1181" s="83" t="s">
        <v>173</v>
      </c>
      <c r="D1181" s="83" t="s">
        <v>70</v>
      </c>
      <c r="E1181" s="83" t="s">
        <v>78</v>
      </c>
      <c r="F1181" s="83" t="s">
        <v>37</v>
      </c>
      <c r="G1181" s="69">
        <f t="shared" si="327"/>
        <v>70000</v>
      </c>
      <c r="H1181" s="69">
        <f t="shared" si="327"/>
        <v>59000</v>
      </c>
      <c r="I1181" s="122"/>
      <c r="O1181" s="122"/>
      <c r="P1181" s="122"/>
      <c r="Q1181" s="122"/>
      <c r="R1181" s="122"/>
      <c r="S1181" s="122"/>
    </row>
    <row r="1182" spans="1:19" s="89" customFormat="1" ht="25.5">
      <c r="A1182" s="81" t="s">
        <v>38</v>
      </c>
      <c r="B1182" s="82">
        <v>795</v>
      </c>
      <c r="C1182" s="83" t="s">
        <v>173</v>
      </c>
      <c r="D1182" s="83" t="s">
        <v>70</v>
      </c>
      <c r="E1182" s="83" t="s">
        <v>78</v>
      </c>
      <c r="F1182" s="83" t="s">
        <v>39</v>
      </c>
      <c r="G1182" s="69">
        <f>'прил 5,'!G1601</f>
        <v>70000</v>
      </c>
      <c r="H1182" s="69">
        <f>'прил 5,'!H1601</f>
        <v>59000</v>
      </c>
      <c r="I1182" s="122"/>
      <c r="O1182" s="122"/>
      <c r="P1182" s="122"/>
      <c r="Q1182" s="122"/>
      <c r="R1182" s="122"/>
      <c r="S1182" s="122"/>
    </row>
    <row r="1183" spans="1:19" s="89" customFormat="1" ht="34.5" customHeight="1">
      <c r="A1183" s="81" t="s">
        <v>698</v>
      </c>
      <c r="B1183" s="82">
        <v>795</v>
      </c>
      <c r="C1183" s="83" t="s">
        <v>173</v>
      </c>
      <c r="D1183" s="83" t="s">
        <v>70</v>
      </c>
      <c r="E1183" s="83" t="s">
        <v>416</v>
      </c>
      <c r="F1183" s="83"/>
      <c r="G1183" s="69">
        <f t="shared" ref="G1183:H1184" si="328">G1184</f>
        <v>200000</v>
      </c>
      <c r="H1183" s="69">
        <f t="shared" si="328"/>
        <v>0</v>
      </c>
      <c r="I1183" s="122"/>
      <c r="O1183" s="122"/>
      <c r="P1183" s="122"/>
      <c r="Q1183" s="122"/>
      <c r="R1183" s="122"/>
      <c r="S1183" s="122"/>
    </row>
    <row r="1184" spans="1:19" s="89" customFormat="1" ht="34.5" customHeight="1">
      <c r="A1184" s="81" t="s">
        <v>36</v>
      </c>
      <c r="B1184" s="82">
        <v>795</v>
      </c>
      <c r="C1184" s="83" t="s">
        <v>173</v>
      </c>
      <c r="D1184" s="83" t="s">
        <v>70</v>
      </c>
      <c r="E1184" s="83" t="s">
        <v>416</v>
      </c>
      <c r="F1184" s="83" t="s">
        <v>37</v>
      </c>
      <c r="G1184" s="69">
        <f t="shared" si="328"/>
        <v>200000</v>
      </c>
      <c r="H1184" s="69">
        <f t="shared" si="328"/>
        <v>0</v>
      </c>
      <c r="I1184" s="122"/>
      <c r="O1184" s="122"/>
      <c r="P1184" s="122"/>
      <c r="Q1184" s="122"/>
      <c r="R1184" s="122"/>
      <c r="S1184" s="122"/>
    </row>
    <row r="1185" spans="1:19" s="89" customFormat="1" ht="34.5" customHeight="1">
      <c r="A1185" s="81" t="s">
        <v>38</v>
      </c>
      <c r="B1185" s="82">
        <v>795</v>
      </c>
      <c r="C1185" s="83" t="s">
        <v>173</v>
      </c>
      <c r="D1185" s="83" t="s">
        <v>70</v>
      </c>
      <c r="E1185" s="83" t="s">
        <v>416</v>
      </c>
      <c r="F1185" s="83" t="s">
        <v>39</v>
      </c>
      <c r="G1185" s="69">
        <f>'прил 5,'!G1604</f>
        <v>200000</v>
      </c>
      <c r="H1185" s="69">
        <f>'прил 5,'!H1604</f>
        <v>0</v>
      </c>
      <c r="I1185" s="122"/>
      <c r="O1185" s="122"/>
      <c r="P1185" s="122"/>
      <c r="Q1185" s="122"/>
      <c r="R1185" s="122"/>
      <c r="S1185" s="122"/>
    </row>
    <row r="1186" spans="1:19" ht="28.5" hidden="1" customHeight="1">
      <c r="A1186" s="81" t="s">
        <v>530</v>
      </c>
      <c r="B1186" s="49">
        <v>793</v>
      </c>
      <c r="C1186" s="15" t="s">
        <v>173</v>
      </c>
      <c r="D1186" s="15" t="s">
        <v>28</v>
      </c>
      <c r="E1186" s="15" t="s">
        <v>529</v>
      </c>
      <c r="F1186" s="15"/>
      <c r="G1186" s="69">
        <f>G1187</f>
        <v>0</v>
      </c>
      <c r="H1186" s="69">
        <f t="shared" ref="G1186:H1187" si="329">H1187</f>
        <v>0</v>
      </c>
      <c r="I1186" s="171"/>
      <c r="J1186" s="177"/>
      <c r="K1186" s="177"/>
      <c r="L1186" s="177"/>
      <c r="M1186" s="177"/>
      <c r="N1186" s="177"/>
      <c r="O1186" s="177"/>
      <c r="P1186" s="177"/>
      <c r="Q1186" s="177"/>
      <c r="R1186" s="1"/>
      <c r="S1186" s="1"/>
    </row>
    <row r="1187" spans="1:19" ht="25.5" hidden="1">
      <c r="A1187" s="16" t="s">
        <v>36</v>
      </c>
      <c r="B1187" s="49">
        <v>793</v>
      </c>
      <c r="C1187" s="15" t="s">
        <v>173</v>
      </c>
      <c r="D1187" s="15" t="s">
        <v>28</v>
      </c>
      <c r="E1187" s="15" t="s">
        <v>529</v>
      </c>
      <c r="F1187" s="15" t="s">
        <v>37</v>
      </c>
      <c r="G1187" s="69">
        <f t="shared" si="329"/>
        <v>0</v>
      </c>
      <c r="H1187" s="69">
        <f t="shared" si="329"/>
        <v>0</v>
      </c>
      <c r="I1187" s="171"/>
      <c r="J1187" s="177"/>
      <c r="K1187" s="177"/>
      <c r="L1187" s="177"/>
      <c r="M1187" s="177"/>
      <c r="N1187" s="177"/>
      <c r="O1187" s="177"/>
      <c r="P1187" s="177"/>
      <c r="Q1187" s="177"/>
      <c r="R1187" s="1"/>
      <c r="S1187" s="1"/>
    </row>
    <row r="1188" spans="1:19" ht="25.5" hidden="1">
      <c r="A1188" s="16" t="s">
        <v>38</v>
      </c>
      <c r="B1188" s="49">
        <v>793</v>
      </c>
      <c r="C1188" s="15" t="s">
        <v>173</v>
      </c>
      <c r="D1188" s="15" t="s">
        <v>28</v>
      </c>
      <c r="E1188" s="15" t="s">
        <v>529</v>
      </c>
      <c r="F1188" s="15" t="s">
        <v>39</v>
      </c>
      <c r="G1188" s="69"/>
      <c r="H1188" s="69">
        <v>0</v>
      </c>
      <c r="I1188" s="171"/>
      <c r="J1188" s="177"/>
      <c r="K1188" s="177"/>
      <c r="L1188" s="177"/>
      <c r="M1188" s="177"/>
      <c r="N1188" s="177"/>
      <c r="O1188" s="177"/>
      <c r="P1188" s="177"/>
      <c r="Q1188" s="177"/>
      <c r="R1188" s="1"/>
      <c r="S1188" s="1"/>
    </row>
    <row r="1189" spans="1:19" s="89" customFormat="1" ht="51">
      <c r="A1189" s="81" t="s">
        <v>81</v>
      </c>
      <c r="B1189" s="82">
        <v>795</v>
      </c>
      <c r="C1189" s="83" t="s">
        <v>173</v>
      </c>
      <c r="D1189" s="83" t="s">
        <v>70</v>
      </c>
      <c r="E1189" s="83" t="s">
        <v>80</v>
      </c>
      <c r="F1189" s="83"/>
      <c r="G1189" s="69">
        <f t="shared" ref="G1189:H1190" si="330">G1190</f>
        <v>2930124.22</v>
      </c>
      <c r="H1189" s="69">
        <f t="shared" si="330"/>
        <v>2921839.59</v>
      </c>
      <c r="I1189" s="122"/>
      <c r="O1189" s="122"/>
      <c r="P1189" s="122"/>
      <c r="Q1189" s="122"/>
      <c r="R1189" s="122"/>
      <c r="S1189" s="122"/>
    </row>
    <row r="1190" spans="1:19" s="89" customFormat="1" ht="25.5" customHeight="1">
      <c r="A1190" s="81" t="s">
        <v>323</v>
      </c>
      <c r="B1190" s="145">
        <v>793</v>
      </c>
      <c r="C1190" s="83" t="s">
        <v>19</v>
      </c>
      <c r="D1190" s="83" t="s">
        <v>23</v>
      </c>
      <c r="E1190" s="83" t="s">
        <v>80</v>
      </c>
      <c r="F1190" s="83" t="s">
        <v>37</v>
      </c>
      <c r="G1190" s="86">
        <f t="shared" si="330"/>
        <v>2930124.22</v>
      </c>
      <c r="H1190" s="86">
        <f t="shared" si="330"/>
        <v>2921839.59</v>
      </c>
      <c r="I1190" s="122"/>
      <c r="O1190" s="122"/>
      <c r="P1190" s="122"/>
      <c r="Q1190" s="122"/>
      <c r="R1190" s="122"/>
      <c r="S1190" s="122"/>
    </row>
    <row r="1191" spans="1:19" s="89" customFormat="1" ht="25.5" customHeight="1">
      <c r="A1191" s="81" t="s">
        <v>38</v>
      </c>
      <c r="B1191" s="145">
        <v>793</v>
      </c>
      <c r="C1191" s="83" t="s">
        <v>19</v>
      </c>
      <c r="D1191" s="83" t="s">
        <v>23</v>
      </c>
      <c r="E1191" s="83" t="s">
        <v>80</v>
      </c>
      <c r="F1191" s="83" t="s">
        <v>39</v>
      </c>
      <c r="G1191" s="69">
        <f>'прил 5,'!G1478+'прил 5,'!G442+'прил 5,'!G2201</f>
        <v>2930124.22</v>
      </c>
      <c r="H1191" s="69">
        <f>'прил 5,'!H1478+'прил 5,'!H442+'прил 5,'!H2201</f>
        <v>2921839.59</v>
      </c>
      <c r="I1191" s="122"/>
      <c r="O1191" s="122"/>
      <c r="P1191" s="122"/>
      <c r="Q1191" s="122"/>
      <c r="R1191" s="122"/>
      <c r="S1191" s="122"/>
    </row>
    <row r="1192" spans="1:19" s="89" customFormat="1" ht="20.25" hidden="1" customHeight="1">
      <c r="A1192" s="81" t="s">
        <v>627</v>
      </c>
      <c r="B1192" s="82">
        <v>795</v>
      </c>
      <c r="C1192" s="83" t="s">
        <v>173</v>
      </c>
      <c r="D1192" s="83" t="s">
        <v>28</v>
      </c>
      <c r="E1192" s="83" t="s">
        <v>626</v>
      </c>
      <c r="F1192" s="83"/>
      <c r="G1192" s="69">
        <f t="shared" ref="G1192:H1193" si="331">G1193</f>
        <v>0</v>
      </c>
      <c r="H1192" s="69">
        <f t="shared" si="331"/>
        <v>0</v>
      </c>
      <c r="O1192" s="122"/>
      <c r="P1192" s="122"/>
      <c r="Q1192" s="122"/>
      <c r="R1192" s="122"/>
      <c r="S1192" s="122"/>
    </row>
    <row r="1193" spans="1:19" s="89" customFormat="1" ht="34.5" hidden="1" customHeight="1">
      <c r="A1193" s="81" t="s">
        <v>36</v>
      </c>
      <c r="B1193" s="82">
        <v>795</v>
      </c>
      <c r="C1193" s="83" t="s">
        <v>173</v>
      </c>
      <c r="D1193" s="83" t="s">
        <v>28</v>
      </c>
      <c r="E1193" s="83" t="s">
        <v>626</v>
      </c>
      <c r="F1193" s="83" t="s">
        <v>37</v>
      </c>
      <c r="G1193" s="69">
        <f t="shared" si="331"/>
        <v>0</v>
      </c>
      <c r="H1193" s="69">
        <f t="shared" si="331"/>
        <v>0</v>
      </c>
      <c r="O1193" s="122"/>
      <c r="P1193" s="122"/>
      <c r="Q1193" s="122"/>
      <c r="R1193" s="122"/>
      <c r="S1193" s="122"/>
    </row>
    <row r="1194" spans="1:19" s="89" customFormat="1" ht="34.5" hidden="1" customHeight="1">
      <c r="A1194" s="81" t="s">
        <v>38</v>
      </c>
      <c r="B1194" s="82">
        <v>795</v>
      </c>
      <c r="C1194" s="83" t="s">
        <v>173</v>
      </c>
      <c r="D1194" s="83" t="s">
        <v>28</v>
      </c>
      <c r="E1194" s="83" t="s">
        <v>626</v>
      </c>
      <c r="F1194" s="83" t="s">
        <v>39</v>
      </c>
      <c r="G1194" s="69">
        <f>'прил 5,'!G2010</f>
        <v>0</v>
      </c>
      <c r="H1194" s="69"/>
      <c r="O1194" s="122"/>
      <c r="P1194" s="122"/>
      <c r="Q1194" s="122"/>
      <c r="R1194" s="122"/>
      <c r="S1194" s="122"/>
    </row>
    <row r="1195" spans="1:19" s="89" customFormat="1" ht="31.5" customHeight="1">
      <c r="A1195" s="81" t="s">
        <v>960</v>
      </c>
      <c r="B1195" s="82">
        <v>795</v>
      </c>
      <c r="C1195" s="83" t="s">
        <v>173</v>
      </c>
      <c r="D1195" s="83" t="s">
        <v>70</v>
      </c>
      <c r="E1195" s="83" t="s">
        <v>82</v>
      </c>
      <c r="F1195" s="83"/>
      <c r="G1195" s="69">
        <f t="shared" ref="G1195:H1196" si="332">G1196</f>
        <v>1353350</v>
      </c>
      <c r="H1195" s="69">
        <f t="shared" si="332"/>
        <v>1325316.28</v>
      </c>
      <c r="I1195" s="122"/>
      <c r="O1195" s="122"/>
      <c r="P1195" s="122"/>
      <c r="Q1195" s="122"/>
      <c r="R1195" s="122"/>
      <c r="S1195" s="122"/>
    </row>
    <row r="1196" spans="1:19" s="89" customFormat="1" ht="21.75" customHeight="1">
      <c r="A1196" s="81" t="s">
        <v>323</v>
      </c>
      <c r="B1196" s="145">
        <v>793</v>
      </c>
      <c r="C1196" s="83" t="s">
        <v>19</v>
      </c>
      <c r="D1196" s="83" t="s">
        <v>23</v>
      </c>
      <c r="E1196" s="83" t="s">
        <v>82</v>
      </c>
      <c r="F1196" s="83" t="s">
        <v>37</v>
      </c>
      <c r="G1196" s="69">
        <f t="shared" si="332"/>
        <v>1353350</v>
      </c>
      <c r="H1196" s="69">
        <f t="shared" si="332"/>
        <v>1325316.28</v>
      </c>
      <c r="I1196" s="122"/>
      <c r="O1196" s="122"/>
      <c r="P1196" s="122"/>
      <c r="Q1196" s="122"/>
      <c r="R1196" s="122"/>
      <c r="S1196" s="122"/>
    </row>
    <row r="1197" spans="1:19" s="89" customFormat="1" ht="29.25" customHeight="1">
      <c r="A1197" s="81" t="s">
        <v>38</v>
      </c>
      <c r="B1197" s="145">
        <v>793</v>
      </c>
      <c r="C1197" s="83" t="s">
        <v>19</v>
      </c>
      <c r="D1197" s="83" t="s">
        <v>23</v>
      </c>
      <c r="E1197" s="83" t="s">
        <v>82</v>
      </c>
      <c r="F1197" s="83" t="s">
        <v>39</v>
      </c>
      <c r="G1197" s="69">
        <f>'прил 5,'!G1481</f>
        <v>1353350</v>
      </c>
      <c r="H1197" s="69">
        <f>'прил 5,'!H1481</f>
        <v>1325316.28</v>
      </c>
      <c r="I1197" s="122"/>
      <c r="O1197" s="122"/>
      <c r="P1197" s="122"/>
      <c r="Q1197" s="122"/>
      <c r="R1197" s="122"/>
      <c r="S1197" s="122"/>
    </row>
    <row r="1198" spans="1:19" s="18" customFormat="1" ht="35.25" customHeight="1">
      <c r="A1198" s="16" t="s">
        <v>954</v>
      </c>
      <c r="B1198" s="49">
        <v>793</v>
      </c>
      <c r="C1198" s="15" t="s">
        <v>173</v>
      </c>
      <c r="D1198" s="15" t="s">
        <v>19</v>
      </c>
      <c r="E1198" s="15" t="s">
        <v>953</v>
      </c>
      <c r="F1198" s="15"/>
      <c r="G1198" s="69">
        <f t="shared" ref="G1198:H1199" si="333">G1199</f>
        <v>875000</v>
      </c>
      <c r="H1198" s="69">
        <f t="shared" si="333"/>
        <v>875000</v>
      </c>
      <c r="I1198" s="171"/>
      <c r="J1198" s="191"/>
      <c r="K1198" s="191"/>
      <c r="L1198" s="191"/>
      <c r="M1198" s="191"/>
      <c r="N1198" s="191"/>
      <c r="O1198" s="191"/>
      <c r="P1198" s="191"/>
      <c r="Q1198" s="191"/>
    </row>
    <row r="1199" spans="1:19" ht="35.25" customHeight="1">
      <c r="A1199" s="16" t="s">
        <v>36</v>
      </c>
      <c r="B1199" s="49">
        <v>793</v>
      </c>
      <c r="C1199" s="15" t="s">
        <v>173</v>
      </c>
      <c r="D1199" s="15" t="s">
        <v>19</v>
      </c>
      <c r="E1199" s="15" t="s">
        <v>953</v>
      </c>
      <c r="F1199" s="15" t="s">
        <v>37</v>
      </c>
      <c r="G1199" s="69">
        <f t="shared" si="333"/>
        <v>875000</v>
      </c>
      <c r="H1199" s="69">
        <f t="shared" si="333"/>
        <v>875000</v>
      </c>
      <c r="I1199" s="171"/>
      <c r="J1199" s="177"/>
      <c r="K1199" s="177"/>
      <c r="L1199" s="177"/>
      <c r="M1199" s="177"/>
      <c r="N1199" s="177"/>
      <c r="O1199" s="177"/>
      <c r="P1199" s="177"/>
      <c r="Q1199" s="177"/>
      <c r="R1199" s="1"/>
      <c r="S1199" s="1"/>
    </row>
    <row r="1200" spans="1:19" s="18" customFormat="1" ht="35.25" customHeight="1">
      <c r="A1200" s="16" t="s">
        <v>38</v>
      </c>
      <c r="B1200" s="49">
        <v>793</v>
      </c>
      <c r="C1200" s="15" t="s">
        <v>173</v>
      </c>
      <c r="D1200" s="15" t="s">
        <v>19</v>
      </c>
      <c r="E1200" s="15" t="s">
        <v>953</v>
      </c>
      <c r="F1200" s="15" t="s">
        <v>39</v>
      </c>
      <c r="G1200" s="69">
        <f>'прил 5,'!G1484</f>
        <v>875000</v>
      </c>
      <c r="H1200" s="69">
        <f>'прил 5,'!H1484</f>
        <v>875000</v>
      </c>
      <c r="I1200" s="171"/>
      <c r="J1200" s="191"/>
      <c r="K1200" s="191"/>
      <c r="L1200" s="191"/>
      <c r="M1200" s="191"/>
      <c r="N1200" s="191"/>
      <c r="O1200" s="191"/>
      <c r="P1200" s="191"/>
      <c r="Q1200" s="191"/>
    </row>
    <row r="1201" spans="1:19" s="89" customFormat="1" ht="21.75" customHeight="1">
      <c r="A1201" s="81" t="s">
        <v>85</v>
      </c>
      <c r="B1201" s="82">
        <v>795</v>
      </c>
      <c r="C1201" s="83" t="s">
        <v>173</v>
      </c>
      <c r="D1201" s="83" t="s">
        <v>70</v>
      </c>
      <c r="E1201" s="83" t="s">
        <v>84</v>
      </c>
      <c r="F1201" s="83"/>
      <c r="G1201" s="69">
        <f t="shared" ref="G1201:H1202" si="334">G1202</f>
        <v>617693.68999999994</v>
      </c>
      <c r="H1201" s="69">
        <f t="shared" si="334"/>
        <v>539947.46</v>
      </c>
      <c r="I1201" s="122"/>
      <c r="O1201" s="122"/>
      <c r="P1201" s="122"/>
      <c r="Q1201" s="122"/>
      <c r="R1201" s="122"/>
      <c r="S1201" s="122"/>
    </row>
    <row r="1202" spans="1:19" s="89" customFormat="1" ht="21.75" customHeight="1">
      <c r="A1202" s="81" t="s">
        <v>323</v>
      </c>
      <c r="B1202" s="145">
        <v>793</v>
      </c>
      <c r="C1202" s="83" t="s">
        <v>19</v>
      </c>
      <c r="D1202" s="83" t="s">
        <v>23</v>
      </c>
      <c r="E1202" s="83" t="s">
        <v>84</v>
      </c>
      <c r="F1202" s="83" t="s">
        <v>37</v>
      </c>
      <c r="G1202" s="69">
        <f t="shared" si="334"/>
        <v>617693.68999999994</v>
      </c>
      <c r="H1202" s="69">
        <f t="shared" si="334"/>
        <v>539947.46</v>
      </c>
      <c r="I1202" s="122"/>
      <c r="O1202" s="122"/>
      <c r="P1202" s="122"/>
      <c r="Q1202" s="122"/>
      <c r="R1202" s="122"/>
      <c r="S1202" s="122"/>
    </row>
    <row r="1203" spans="1:19" s="89" customFormat="1" ht="30.75" customHeight="1">
      <c r="A1203" s="81" t="s">
        <v>38</v>
      </c>
      <c r="B1203" s="145">
        <v>793</v>
      </c>
      <c r="C1203" s="83" t="s">
        <v>19</v>
      </c>
      <c r="D1203" s="83" t="s">
        <v>23</v>
      </c>
      <c r="E1203" s="83" t="s">
        <v>84</v>
      </c>
      <c r="F1203" s="83" t="s">
        <v>39</v>
      </c>
      <c r="G1203" s="69">
        <f>'прил 5,'!G1941+'прил 5,'!G1474+'прил 5,'!G438+'прил 5,'!G1487+'прил 5,'!G2198</f>
        <v>617693.68999999994</v>
      </c>
      <c r="H1203" s="69">
        <f>'прил 5,'!H1941+'прил 5,'!H1474+'прил 5,'!H438+'прил 5,'!H1487+'прил 5,'!H2198</f>
        <v>539947.46</v>
      </c>
      <c r="I1203" s="86">
        <f>'прил 5,'!J1941+'прил 5,'!J1474</f>
        <v>0</v>
      </c>
      <c r="J1203" s="86">
        <f>'прил 5,'!K1941+'прил 5,'!K1474</f>
        <v>0</v>
      </c>
      <c r="K1203" s="86">
        <f>'прил 5,'!L1941+'прил 5,'!L1474</f>
        <v>0</v>
      </c>
      <c r="L1203" s="86">
        <f>'прил 5,'!M1941+'прил 5,'!M1474</f>
        <v>0</v>
      </c>
      <c r="M1203" s="86">
        <f>'прил 5,'!N1941+'прил 5,'!N1474</f>
        <v>0</v>
      </c>
      <c r="N1203" s="86">
        <f>'прил 5,'!O1941+'прил 5,'!O1474</f>
        <v>0</v>
      </c>
      <c r="O1203" s="122"/>
      <c r="P1203" s="122"/>
      <c r="Q1203" s="122"/>
      <c r="R1203" s="122"/>
      <c r="S1203" s="122"/>
    </row>
    <row r="1204" spans="1:19" s="146" customFormat="1" ht="17.25" customHeight="1">
      <c r="A1204" s="81" t="s">
        <v>380</v>
      </c>
      <c r="B1204" s="145">
        <v>793</v>
      </c>
      <c r="C1204" s="83" t="s">
        <v>173</v>
      </c>
      <c r="D1204" s="83" t="s">
        <v>70</v>
      </c>
      <c r="E1204" s="83" t="s">
        <v>379</v>
      </c>
      <c r="F1204" s="83"/>
      <c r="G1204" s="69">
        <f t="shared" ref="G1204:N1205" si="335">G1205</f>
        <v>9607</v>
      </c>
      <c r="H1204" s="69">
        <f t="shared" si="335"/>
        <v>0</v>
      </c>
      <c r="I1204" s="148"/>
      <c r="O1204" s="148"/>
      <c r="P1204" s="148"/>
      <c r="Q1204" s="148"/>
      <c r="R1204" s="148"/>
      <c r="S1204" s="148"/>
    </row>
    <row r="1205" spans="1:19" s="146" customFormat="1" ht="17.25" customHeight="1">
      <c r="A1205" s="81" t="s">
        <v>323</v>
      </c>
      <c r="B1205" s="145">
        <v>793</v>
      </c>
      <c r="C1205" s="83" t="s">
        <v>173</v>
      </c>
      <c r="D1205" s="83" t="s">
        <v>70</v>
      </c>
      <c r="E1205" s="83" t="s">
        <v>379</v>
      </c>
      <c r="F1205" s="83" t="s">
        <v>37</v>
      </c>
      <c r="G1205" s="69">
        <f t="shared" si="335"/>
        <v>9607</v>
      </c>
      <c r="H1205" s="69">
        <f t="shared" si="335"/>
        <v>0</v>
      </c>
      <c r="I1205" s="159">
        <f t="shared" si="335"/>
        <v>0</v>
      </c>
      <c r="J1205" s="159">
        <f t="shared" si="335"/>
        <v>0</v>
      </c>
      <c r="K1205" s="159">
        <f t="shared" si="335"/>
        <v>0</v>
      </c>
      <c r="L1205" s="159">
        <f t="shared" si="335"/>
        <v>0</v>
      </c>
      <c r="M1205" s="159">
        <f t="shared" si="335"/>
        <v>0</v>
      </c>
      <c r="N1205" s="159">
        <f t="shared" si="335"/>
        <v>0</v>
      </c>
      <c r="O1205" s="148"/>
      <c r="P1205" s="148"/>
      <c r="Q1205" s="148"/>
      <c r="R1205" s="148"/>
      <c r="S1205" s="148"/>
    </row>
    <row r="1206" spans="1:19" s="146" customFormat="1" ht="28.5" customHeight="1">
      <c r="A1206" s="81" t="s">
        <v>38</v>
      </c>
      <c r="B1206" s="145">
        <v>793</v>
      </c>
      <c r="C1206" s="83" t="s">
        <v>173</v>
      </c>
      <c r="D1206" s="83" t="s">
        <v>70</v>
      </c>
      <c r="E1206" s="83" t="s">
        <v>379</v>
      </c>
      <c r="F1206" s="83" t="s">
        <v>39</v>
      </c>
      <c r="G1206" s="69">
        <v>9607</v>
      </c>
      <c r="H1206" s="69">
        <f>'прил 5,'!H1454+'прил 5,'!H2041+'прил 5,'!H1583</f>
        <v>0</v>
      </c>
      <c r="I1206" s="148"/>
      <c r="O1206" s="148"/>
      <c r="P1206" s="148"/>
      <c r="Q1206" s="148"/>
      <c r="R1206" s="148"/>
      <c r="S1206" s="148"/>
    </row>
    <row r="1207" spans="1:19" s="146" customFormat="1" ht="27.75" hidden="1" customHeight="1">
      <c r="A1207" s="81" t="s">
        <v>532</v>
      </c>
      <c r="B1207" s="82">
        <v>795</v>
      </c>
      <c r="C1207" s="149" t="s">
        <v>173</v>
      </c>
      <c r="D1207" s="149" t="s">
        <v>19</v>
      </c>
      <c r="E1207" s="83" t="s">
        <v>531</v>
      </c>
      <c r="F1207" s="83"/>
      <c r="G1207" s="69">
        <f t="shared" ref="G1207:H1208" si="336">G1208</f>
        <v>0</v>
      </c>
      <c r="H1207" s="69">
        <f t="shared" si="336"/>
        <v>0</v>
      </c>
      <c r="O1207" s="148"/>
      <c r="P1207" s="148"/>
      <c r="Q1207" s="148"/>
      <c r="R1207" s="148"/>
      <c r="S1207" s="148"/>
    </row>
    <row r="1208" spans="1:19" s="146" customFormat="1" ht="28.5" hidden="1" customHeight="1">
      <c r="A1208" s="81" t="s">
        <v>323</v>
      </c>
      <c r="B1208" s="82">
        <v>795</v>
      </c>
      <c r="C1208" s="149" t="s">
        <v>173</v>
      </c>
      <c r="D1208" s="149" t="s">
        <v>19</v>
      </c>
      <c r="E1208" s="83" t="s">
        <v>531</v>
      </c>
      <c r="F1208" s="83" t="s">
        <v>37</v>
      </c>
      <c r="G1208" s="69">
        <f t="shared" si="336"/>
        <v>0</v>
      </c>
      <c r="H1208" s="69">
        <f t="shared" si="336"/>
        <v>0</v>
      </c>
      <c r="O1208" s="148"/>
      <c r="P1208" s="148"/>
      <c r="Q1208" s="148"/>
      <c r="R1208" s="148"/>
      <c r="S1208" s="148"/>
    </row>
    <row r="1209" spans="1:19" s="146" customFormat="1" ht="28.5" hidden="1" customHeight="1">
      <c r="A1209" s="81" t="s">
        <v>38</v>
      </c>
      <c r="B1209" s="82">
        <v>795</v>
      </c>
      <c r="C1209" s="149" t="s">
        <v>173</v>
      </c>
      <c r="D1209" s="149" t="s">
        <v>19</v>
      </c>
      <c r="E1209" s="83" t="s">
        <v>531</v>
      </c>
      <c r="F1209" s="83" t="s">
        <v>39</v>
      </c>
      <c r="G1209" s="69"/>
      <c r="H1209" s="69">
        <v>0</v>
      </c>
      <c r="O1209" s="148"/>
      <c r="P1209" s="148"/>
      <c r="Q1209" s="148"/>
      <c r="R1209" s="148"/>
      <c r="S1209" s="148"/>
    </row>
    <row r="1210" spans="1:19" s="89" customFormat="1" ht="25.5" hidden="1" customHeight="1">
      <c r="A1210" s="81" t="s">
        <v>503</v>
      </c>
      <c r="B1210" s="82">
        <v>795</v>
      </c>
      <c r="C1210" s="83" t="s">
        <v>173</v>
      </c>
      <c r="D1210" s="83" t="s">
        <v>28</v>
      </c>
      <c r="E1210" s="83" t="s">
        <v>458</v>
      </c>
      <c r="F1210" s="83"/>
      <c r="G1210" s="69">
        <f t="shared" ref="G1210:H1211" si="337">G1211</f>
        <v>0</v>
      </c>
      <c r="H1210" s="69">
        <f t="shared" si="337"/>
        <v>0</v>
      </c>
      <c r="I1210" s="122"/>
      <c r="O1210" s="122"/>
      <c r="P1210" s="122"/>
      <c r="Q1210" s="122"/>
      <c r="R1210" s="122"/>
      <c r="S1210" s="122"/>
    </row>
    <row r="1211" spans="1:19" s="89" customFormat="1" ht="34.5" hidden="1" customHeight="1">
      <c r="A1211" s="81" t="s">
        <v>36</v>
      </c>
      <c r="B1211" s="82">
        <v>795</v>
      </c>
      <c r="C1211" s="83" t="s">
        <v>173</v>
      </c>
      <c r="D1211" s="83" t="s">
        <v>28</v>
      </c>
      <c r="E1211" s="83" t="s">
        <v>458</v>
      </c>
      <c r="F1211" s="83" t="s">
        <v>348</v>
      </c>
      <c r="G1211" s="69">
        <f t="shared" si="337"/>
        <v>0</v>
      </c>
      <c r="H1211" s="69">
        <f t="shared" si="337"/>
        <v>0</v>
      </c>
      <c r="I1211" s="122"/>
      <c r="O1211" s="122"/>
      <c r="P1211" s="122"/>
      <c r="Q1211" s="122"/>
      <c r="R1211" s="122"/>
      <c r="S1211" s="122"/>
    </row>
    <row r="1212" spans="1:19" s="89" customFormat="1" ht="34.5" hidden="1" customHeight="1">
      <c r="A1212" s="81" t="s">
        <v>38</v>
      </c>
      <c r="B1212" s="82">
        <v>795</v>
      </c>
      <c r="C1212" s="83" t="s">
        <v>173</v>
      </c>
      <c r="D1212" s="83" t="s">
        <v>28</v>
      </c>
      <c r="E1212" s="83" t="s">
        <v>458</v>
      </c>
      <c r="F1212" s="83" t="s">
        <v>350</v>
      </c>
      <c r="G1212" s="69">
        <f>'прил 5,'!G1990</f>
        <v>0</v>
      </c>
      <c r="H1212" s="69">
        <f>'прил 5,'!H1990</f>
        <v>0</v>
      </c>
      <c r="I1212" s="122"/>
      <c r="O1212" s="122"/>
      <c r="P1212" s="122"/>
      <c r="Q1212" s="122"/>
      <c r="R1212" s="122"/>
      <c r="S1212" s="122"/>
    </row>
    <row r="1213" spans="1:19" s="89" customFormat="1" ht="34.5" hidden="1" customHeight="1">
      <c r="A1213" s="81" t="s">
        <v>460</v>
      </c>
      <c r="B1213" s="82">
        <v>795</v>
      </c>
      <c r="C1213" s="83" t="s">
        <v>173</v>
      </c>
      <c r="D1213" s="83" t="s">
        <v>28</v>
      </c>
      <c r="E1213" s="83" t="s">
        <v>459</v>
      </c>
      <c r="F1213" s="83"/>
      <c r="G1213" s="69">
        <f t="shared" ref="G1213:H1214" si="338">G1214</f>
        <v>0</v>
      </c>
      <c r="H1213" s="69">
        <f t="shared" si="338"/>
        <v>0</v>
      </c>
      <c r="I1213" s="122"/>
      <c r="O1213" s="122"/>
      <c r="P1213" s="122"/>
      <c r="Q1213" s="122"/>
      <c r="R1213" s="122"/>
      <c r="S1213" s="122"/>
    </row>
    <row r="1214" spans="1:19" s="89" customFormat="1" ht="34.5" hidden="1" customHeight="1">
      <c r="A1214" s="81" t="s">
        <v>36</v>
      </c>
      <c r="B1214" s="82">
        <v>795</v>
      </c>
      <c r="C1214" s="83" t="s">
        <v>173</v>
      </c>
      <c r="D1214" s="83" t="s">
        <v>28</v>
      </c>
      <c r="E1214" s="83" t="s">
        <v>459</v>
      </c>
      <c r="F1214" s="83" t="s">
        <v>37</v>
      </c>
      <c r="G1214" s="69">
        <f t="shared" si="338"/>
        <v>0</v>
      </c>
      <c r="H1214" s="69">
        <f t="shared" si="338"/>
        <v>0</v>
      </c>
      <c r="I1214" s="122"/>
      <c r="O1214" s="122"/>
      <c r="P1214" s="122"/>
      <c r="Q1214" s="122"/>
      <c r="R1214" s="122"/>
      <c r="S1214" s="122"/>
    </row>
    <row r="1215" spans="1:19" s="89" customFormat="1" ht="34.5" hidden="1" customHeight="1">
      <c r="A1215" s="81" t="s">
        <v>38</v>
      </c>
      <c r="B1215" s="82">
        <v>795</v>
      </c>
      <c r="C1215" s="83" t="s">
        <v>173</v>
      </c>
      <c r="D1215" s="83" t="s">
        <v>28</v>
      </c>
      <c r="E1215" s="83" t="s">
        <v>459</v>
      </c>
      <c r="F1215" s="83" t="s">
        <v>39</v>
      </c>
      <c r="G1215" s="69">
        <f>'прил 5,'!G2001</f>
        <v>0</v>
      </c>
      <c r="H1215" s="69">
        <f>'прил 5,'!H2001</f>
        <v>0</v>
      </c>
      <c r="I1215" s="122"/>
      <c r="O1215" s="122"/>
      <c r="P1215" s="122"/>
      <c r="Q1215" s="122"/>
      <c r="R1215" s="122"/>
      <c r="S1215" s="122"/>
    </row>
    <row r="1216" spans="1:19" s="89" customFormat="1" ht="34.5" hidden="1" customHeight="1">
      <c r="A1216" s="81" t="s">
        <v>498</v>
      </c>
      <c r="B1216" s="82">
        <v>795</v>
      </c>
      <c r="C1216" s="83" t="s">
        <v>173</v>
      </c>
      <c r="D1216" s="83" t="s">
        <v>28</v>
      </c>
      <c r="E1216" s="83" t="s">
        <v>497</v>
      </c>
      <c r="F1216" s="83"/>
      <c r="G1216" s="69">
        <f>G1217</f>
        <v>0</v>
      </c>
      <c r="H1216" s="69">
        <f t="shared" ref="H1216:H1217" si="339">H1217</f>
        <v>0</v>
      </c>
      <c r="O1216" s="122"/>
      <c r="P1216" s="122"/>
      <c r="Q1216" s="122"/>
      <c r="R1216" s="122"/>
      <c r="S1216" s="122"/>
    </row>
    <row r="1217" spans="1:19" s="89" customFormat="1" ht="34.5" hidden="1" customHeight="1">
      <c r="A1217" s="81" t="s">
        <v>96</v>
      </c>
      <c r="B1217" s="82">
        <v>795</v>
      </c>
      <c r="C1217" s="83" t="s">
        <v>173</v>
      </c>
      <c r="D1217" s="83" t="s">
        <v>28</v>
      </c>
      <c r="E1217" s="83" t="s">
        <v>497</v>
      </c>
      <c r="F1217" s="83" t="s">
        <v>348</v>
      </c>
      <c r="G1217" s="69">
        <f>G1218</f>
        <v>0</v>
      </c>
      <c r="H1217" s="69">
        <f t="shared" si="339"/>
        <v>0</v>
      </c>
      <c r="O1217" s="122"/>
      <c r="P1217" s="122"/>
      <c r="Q1217" s="122"/>
      <c r="R1217" s="122"/>
      <c r="S1217" s="122"/>
    </row>
    <row r="1218" spans="1:19" s="89" customFormat="1" ht="34.5" hidden="1" customHeight="1">
      <c r="A1218" s="81" t="s">
        <v>349</v>
      </c>
      <c r="B1218" s="82">
        <v>795</v>
      </c>
      <c r="C1218" s="83" t="s">
        <v>173</v>
      </c>
      <c r="D1218" s="83" t="s">
        <v>28</v>
      </c>
      <c r="E1218" s="83" t="s">
        <v>497</v>
      </c>
      <c r="F1218" s="83" t="s">
        <v>350</v>
      </c>
      <c r="G1218" s="69">
        <f>'прил 5,'!G2004</f>
        <v>0</v>
      </c>
      <c r="H1218" s="69">
        <v>0</v>
      </c>
      <c r="O1218" s="122"/>
      <c r="P1218" s="122"/>
      <c r="Q1218" s="122"/>
      <c r="R1218" s="122"/>
      <c r="S1218" s="122"/>
    </row>
    <row r="1219" spans="1:19" s="89" customFormat="1" ht="34.5" hidden="1" customHeight="1">
      <c r="A1219" s="81" t="s">
        <v>504</v>
      </c>
      <c r="B1219" s="82">
        <v>795</v>
      </c>
      <c r="C1219" s="83" t="s">
        <v>173</v>
      </c>
      <c r="D1219" s="83" t="s">
        <v>28</v>
      </c>
      <c r="E1219" s="83" t="s">
        <v>505</v>
      </c>
      <c r="F1219" s="83"/>
      <c r="G1219" s="69">
        <f t="shared" ref="G1219:H1220" si="340">G1220</f>
        <v>0</v>
      </c>
      <c r="H1219" s="69">
        <f t="shared" si="340"/>
        <v>0</v>
      </c>
      <c r="O1219" s="122"/>
      <c r="P1219" s="122"/>
      <c r="Q1219" s="122"/>
      <c r="R1219" s="122"/>
      <c r="S1219" s="122"/>
    </row>
    <row r="1220" spans="1:19" s="89" customFormat="1" ht="34.5" hidden="1" customHeight="1">
      <c r="A1220" s="81" t="s">
        <v>36</v>
      </c>
      <c r="B1220" s="82">
        <v>795</v>
      </c>
      <c r="C1220" s="83" t="s">
        <v>173</v>
      </c>
      <c r="D1220" s="83" t="s">
        <v>28</v>
      </c>
      <c r="E1220" s="83" t="s">
        <v>505</v>
      </c>
      <c r="F1220" s="83" t="s">
        <v>37</v>
      </c>
      <c r="G1220" s="69">
        <f t="shared" si="340"/>
        <v>0</v>
      </c>
      <c r="H1220" s="69">
        <f t="shared" si="340"/>
        <v>0</v>
      </c>
      <c r="O1220" s="122"/>
      <c r="P1220" s="122"/>
      <c r="Q1220" s="122"/>
      <c r="R1220" s="122"/>
      <c r="S1220" s="122"/>
    </row>
    <row r="1221" spans="1:19" s="89" customFormat="1" ht="34.5" hidden="1" customHeight="1">
      <c r="A1221" s="81" t="s">
        <v>38</v>
      </c>
      <c r="B1221" s="82">
        <v>795</v>
      </c>
      <c r="C1221" s="83" t="s">
        <v>173</v>
      </c>
      <c r="D1221" s="83" t="s">
        <v>28</v>
      </c>
      <c r="E1221" s="83" t="s">
        <v>505</v>
      </c>
      <c r="F1221" s="83" t="s">
        <v>39</v>
      </c>
      <c r="G1221" s="69">
        <f>'прил 5,'!G2081+'прил 5,'!G1993</f>
        <v>0</v>
      </c>
      <c r="H1221" s="69">
        <f>'прил 5,'!H2081+'прил 5,'!H1993</f>
        <v>0</v>
      </c>
      <c r="O1221" s="122"/>
      <c r="P1221" s="122"/>
      <c r="Q1221" s="122"/>
      <c r="R1221" s="122"/>
      <c r="S1221" s="122"/>
    </row>
    <row r="1222" spans="1:19" ht="60.75" customHeight="1">
      <c r="A1222" s="16" t="s">
        <v>1051</v>
      </c>
      <c r="B1222" s="14">
        <v>793</v>
      </c>
      <c r="C1222" s="15" t="s">
        <v>173</v>
      </c>
      <c r="D1222" s="15" t="s">
        <v>28</v>
      </c>
      <c r="E1222" s="15" t="s">
        <v>1048</v>
      </c>
      <c r="F1222" s="15"/>
      <c r="G1222" s="69">
        <f t="shared" ref="G1222:H1223" si="341">G1223</f>
        <v>5000000</v>
      </c>
      <c r="H1222" s="69">
        <f t="shared" si="341"/>
        <v>0</v>
      </c>
      <c r="I1222" s="177"/>
      <c r="J1222" s="177"/>
      <c r="K1222" s="177"/>
      <c r="L1222" s="177"/>
      <c r="M1222" s="177"/>
      <c r="N1222" s="177"/>
      <c r="O1222" s="177"/>
      <c r="P1222" s="177"/>
      <c r="Q1222" s="177"/>
      <c r="R1222" s="1"/>
      <c r="S1222" s="1"/>
    </row>
    <row r="1223" spans="1:19" ht="34.5" customHeight="1">
      <c r="A1223" s="16" t="s">
        <v>63</v>
      </c>
      <c r="B1223" s="14">
        <v>793</v>
      </c>
      <c r="C1223" s="15" t="s">
        <v>173</v>
      </c>
      <c r="D1223" s="15" t="s">
        <v>28</v>
      </c>
      <c r="E1223" s="15" t="s">
        <v>1048</v>
      </c>
      <c r="F1223" s="15" t="s">
        <v>64</v>
      </c>
      <c r="G1223" s="69">
        <f t="shared" si="341"/>
        <v>5000000</v>
      </c>
      <c r="H1223" s="69">
        <f t="shared" si="341"/>
        <v>0</v>
      </c>
      <c r="I1223" s="177"/>
      <c r="J1223" s="177"/>
      <c r="K1223" s="177"/>
      <c r="L1223" s="177"/>
      <c r="M1223" s="177"/>
      <c r="N1223" s="177"/>
      <c r="O1223" s="177"/>
      <c r="P1223" s="177"/>
      <c r="Q1223" s="177"/>
      <c r="R1223" s="1"/>
      <c r="S1223" s="1"/>
    </row>
    <row r="1224" spans="1:19" ht="34.5" customHeight="1">
      <c r="A1224" s="16" t="s">
        <v>180</v>
      </c>
      <c r="B1224" s="14">
        <v>793</v>
      </c>
      <c r="C1224" s="15" t="s">
        <v>173</v>
      </c>
      <c r="D1224" s="15" t="s">
        <v>28</v>
      </c>
      <c r="E1224" s="15" t="s">
        <v>1048</v>
      </c>
      <c r="F1224" s="15" t="s">
        <v>181</v>
      </c>
      <c r="G1224" s="69">
        <f>'прил 5,'!G1566</f>
        <v>5000000</v>
      </c>
      <c r="H1224" s="69">
        <v>0</v>
      </c>
      <c r="I1224" s="177"/>
      <c r="J1224" s="177"/>
      <c r="K1224" s="177"/>
      <c r="L1224" s="177"/>
      <c r="M1224" s="177"/>
      <c r="N1224" s="177"/>
      <c r="O1224" s="177"/>
      <c r="P1224" s="177"/>
      <c r="Q1224" s="177"/>
      <c r="R1224" s="1"/>
      <c r="S1224" s="1"/>
    </row>
    <row r="1225" spans="1:19" s="89" customFormat="1" ht="34.5" customHeight="1">
      <c r="A1225" s="81" t="s">
        <v>530</v>
      </c>
      <c r="B1225" s="82">
        <v>795</v>
      </c>
      <c r="C1225" s="83" t="s">
        <v>173</v>
      </c>
      <c r="D1225" s="83" t="s">
        <v>28</v>
      </c>
      <c r="E1225" s="83" t="s">
        <v>529</v>
      </c>
      <c r="F1225" s="83"/>
      <c r="G1225" s="69">
        <f t="shared" ref="G1225:H1225" si="342">G1226</f>
        <v>547673</v>
      </c>
      <c r="H1225" s="69">
        <f t="shared" si="342"/>
        <v>355900.83</v>
      </c>
      <c r="O1225" s="122"/>
      <c r="P1225" s="122"/>
      <c r="Q1225" s="122"/>
      <c r="R1225" s="122"/>
      <c r="S1225" s="122"/>
    </row>
    <row r="1226" spans="1:19" s="89" customFormat="1" ht="34.5" customHeight="1">
      <c r="A1226" s="81" t="s">
        <v>36</v>
      </c>
      <c r="B1226" s="82">
        <v>795</v>
      </c>
      <c r="C1226" s="83" t="s">
        <v>173</v>
      </c>
      <c r="D1226" s="83" t="s">
        <v>28</v>
      </c>
      <c r="E1226" s="83" t="s">
        <v>529</v>
      </c>
      <c r="F1226" s="83" t="s">
        <v>37</v>
      </c>
      <c r="G1226" s="69">
        <f>G1227</f>
        <v>547673</v>
      </c>
      <c r="H1226" s="69">
        <f>H1227</f>
        <v>355900.83</v>
      </c>
      <c r="O1226" s="122"/>
      <c r="P1226" s="122"/>
      <c r="Q1226" s="122"/>
      <c r="R1226" s="122"/>
      <c r="S1226" s="122"/>
    </row>
    <row r="1227" spans="1:19" s="89" customFormat="1" ht="34.5" customHeight="1">
      <c r="A1227" s="81" t="s">
        <v>38</v>
      </c>
      <c r="B1227" s="82">
        <v>795</v>
      </c>
      <c r="C1227" s="83" t="s">
        <v>173</v>
      </c>
      <c r="D1227" s="83" t="s">
        <v>28</v>
      </c>
      <c r="E1227" s="83" t="s">
        <v>529</v>
      </c>
      <c r="F1227" s="83" t="s">
        <v>39</v>
      </c>
      <c r="G1227" s="69">
        <f>'прил 5,'!G1559+'прил 5,'!G2219</f>
        <v>547673</v>
      </c>
      <c r="H1227" s="69">
        <f>'прил 5,'!H1559+'прил 5,'!H2219</f>
        <v>355900.83</v>
      </c>
      <c r="O1227" s="122"/>
      <c r="P1227" s="122"/>
      <c r="Q1227" s="122"/>
      <c r="R1227" s="122"/>
      <c r="S1227" s="122"/>
    </row>
    <row r="1228" spans="1:19" s="89" customFormat="1" ht="32.25" hidden="1" customHeight="1">
      <c r="A1228" s="81" t="s">
        <v>533</v>
      </c>
      <c r="B1228" s="82">
        <v>795</v>
      </c>
      <c r="C1228" s="83" t="s">
        <v>173</v>
      </c>
      <c r="D1228" s="83" t="s">
        <v>28</v>
      </c>
      <c r="E1228" s="83" t="s">
        <v>534</v>
      </c>
      <c r="F1228" s="83"/>
      <c r="G1228" s="86">
        <f>G1229</f>
        <v>0</v>
      </c>
      <c r="H1228" s="86">
        <v>0</v>
      </c>
      <c r="O1228" s="122"/>
      <c r="P1228" s="122"/>
      <c r="Q1228" s="122"/>
      <c r="R1228" s="122"/>
      <c r="S1228" s="122"/>
    </row>
    <row r="1229" spans="1:19" s="89" customFormat="1" ht="30" hidden="1" customHeight="1">
      <c r="A1229" s="81" t="s">
        <v>96</v>
      </c>
      <c r="B1229" s="82">
        <v>795</v>
      </c>
      <c r="C1229" s="83" t="s">
        <v>173</v>
      </c>
      <c r="D1229" s="83" t="s">
        <v>28</v>
      </c>
      <c r="E1229" s="83" t="s">
        <v>534</v>
      </c>
      <c r="F1229" s="83" t="s">
        <v>348</v>
      </c>
      <c r="G1229" s="86">
        <f>G1230</f>
        <v>0</v>
      </c>
      <c r="H1229" s="86">
        <v>0</v>
      </c>
      <c r="O1229" s="122"/>
      <c r="P1229" s="122"/>
      <c r="Q1229" s="122"/>
      <c r="R1229" s="122"/>
      <c r="S1229" s="122"/>
    </row>
    <row r="1230" spans="1:19" s="89" customFormat="1" ht="20.25" hidden="1" customHeight="1">
      <c r="A1230" s="81" t="s">
        <v>349</v>
      </c>
      <c r="B1230" s="82">
        <v>795</v>
      </c>
      <c r="C1230" s="83" t="s">
        <v>173</v>
      </c>
      <c r="D1230" s="83" t="s">
        <v>28</v>
      </c>
      <c r="E1230" s="83" t="s">
        <v>534</v>
      </c>
      <c r="F1230" s="83" t="s">
        <v>350</v>
      </c>
      <c r="G1230" s="86">
        <f>'прил 5,'!G2007</f>
        <v>0</v>
      </c>
      <c r="H1230" s="86">
        <v>0</v>
      </c>
      <c r="O1230" s="122"/>
      <c r="P1230" s="122"/>
      <c r="Q1230" s="122"/>
      <c r="R1230" s="122"/>
      <c r="S1230" s="122"/>
    </row>
    <row r="1231" spans="1:19" ht="49.5" hidden="1" customHeight="1">
      <c r="A1231" s="37" t="s">
        <v>733</v>
      </c>
      <c r="B1231" s="49">
        <v>795</v>
      </c>
      <c r="C1231" s="15" t="s">
        <v>173</v>
      </c>
      <c r="D1231" s="15" t="s">
        <v>173</v>
      </c>
      <c r="E1231" s="15" t="s">
        <v>717</v>
      </c>
      <c r="F1231" s="15"/>
      <c r="G1231" s="86">
        <f>G1232+G1234</f>
        <v>0</v>
      </c>
      <c r="H1231" s="69">
        <f t="shared" ref="H1231" si="343">H1232+H1234</f>
        <v>0</v>
      </c>
      <c r="I1231" s="1"/>
    </row>
    <row r="1232" spans="1:19" ht="27" hidden="1" customHeight="1">
      <c r="A1232" s="16" t="s">
        <v>96</v>
      </c>
      <c r="B1232" s="49">
        <v>795</v>
      </c>
      <c r="C1232" s="15" t="s">
        <v>173</v>
      </c>
      <c r="D1232" s="15" t="s">
        <v>173</v>
      </c>
      <c r="E1232" s="15" t="s">
        <v>605</v>
      </c>
      <c r="F1232" s="15" t="s">
        <v>348</v>
      </c>
      <c r="G1232" s="86">
        <f>G1233</f>
        <v>0</v>
      </c>
      <c r="H1232" s="8">
        <f>H1233</f>
        <v>0</v>
      </c>
      <c r="I1232" s="1"/>
    </row>
    <row r="1233" spans="1:19" ht="18.75" hidden="1" customHeight="1">
      <c r="A1233" s="81" t="s">
        <v>349</v>
      </c>
      <c r="B1233" s="49">
        <v>795</v>
      </c>
      <c r="C1233" s="15" t="s">
        <v>173</v>
      </c>
      <c r="D1233" s="15" t="s">
        <v>173</v>
      </c>
      <c r="E1233" s="15" t="s">
        <v>605</v>
      </c>
      <c r="F1233" s="15" t="s">
        <v>350</v>
      </c>
      <c r="G1233" s="86"/>
      <c r="H1233" s="8"/>
      <c r="I1233" s="1"/>
    </row>
    <row r="1234" spans="1:19" ht="39.75" hidden="1" customHeight="1">
      <c r="A1234" s="81" t="s">
        <v>36</v>
      </c>
      <c r="B1234" s="49">
        <v>795</v>
      </c>
      <c r="C1234" s="15" t="s">
        <v>173</v>
      </c>
      <c r="D1234" s="15" t="s">
        <v>173</v>
      </c>
      <c r="E1234" s="15" t="s">
        <v>718</v>
      </c>
      <c r="F1234" s="15" t="s">
        <v>348</v>
      </c>
      <c r="G1234" s="86">
        <f>G1235</f>
        <v>0</v>
      </c>
      <c r="H1234" s="8"/>
      <c r="I1234" s="1"/>
    </row>
    <row r="1235" spans="1:19" ht="39" hidden="1" customHeight="1">
      <c r="A1235" s="16" t="s">
        <v>38</v>
      </c>
      <c r="B1235" s="49">
        <v>795</v>
      </c>
      <c r="C1235" s="15" t="s">
        <v>173</v>
      </c>
      <c r="D1235" s="15" t="s">
        <v>173</v>
      </c>
      <c r="E1235" s="15" t="s">
        <v>717</v>
      </c>
      <c r="F1235" s="15" t="s">
        <v>350</v>
      </c>
      <c r="G1235" s="86">
        <f>'прил 5,'!G2073</f>
        <v>0</v>
      </c>
      <c r="H1235" s="8"/>
      <c r="I1235" s="1"/>
    </row>
    <row r="1236" spans="1:19" s="89" customFormat="1" ht="39.75" hidden="1" customHeight="1">
      <c r="A1236" s="135" t="s">
        <v>733</v>
      </c>
      <c r="B1236" s="82">
        <v>795</v>
      </c>
      <c r="C1236" s="83" t="s">
        <v>173</v>
      </c>
      <c r="D1236" s="83" t="s">
        <v>173</v>
      </c>
      <c r="E1236" s="83" t="s">
        <v>605</v>
      </c>
      <c r="F1236" s="83"/>
      <c r="G1236" s="86">
        <f>G1237+G1239</f>
        <v>0</v>
      </c>
      <c r="H1236" s="86">
        <f t="shared" ref="H1236" si="344">H1237+H1239</f>
        <v>0</v>
      </c>
      <c r="O1236" s="122"/>
      <c r="P1236" s="122"/>
      <c r="Q1236" s="122"/>
      <c r="R1236" s="122"/>
      <c r="S1236" s="122"/>
    </row>
    <row r="1237" spans="1:19" s="89" customFormat="1" ht="27" hidden="1" customHeight="1">
      <c r="A1237" s="81" t="s">
        <v>96</v>
      </c>
      <c r="B1237" s="82">
        <v>795</v>
      </c>
      <c r="C1237" s="83" t="s">
        <v>173</v>
      </c>
      <c r="D1237" s="83" t="s">
        <v>173</v>
      </c>
      <c r="E1237" s="83" t="s">
        <v>605</v>
      </c>
      <c r="F1237" s="83" t="s">
        <v>348</v>
      </c>
      <c r="G1237" s="86">
        <f>G1238</f>
        <v>0</v>
      </c>
      <c r="H1237" s="84">
        <f>H1238</f>
        <v>0</v>
      </c>
      <c r="O1237" s="122"/>
      <c r="P1237" s="122"/>
      <c r="Q1237" s="122"/>
      <c r="R1237" s="122"/>
      <c r="S1237" s="122"/>
    </row>
    <row r="1238" spans="1:19" s="89" customFormat="1" ht="18.75" hidden="1" customHeight="1">
      <c r="A1238" s="81" t="s">
        <v>349</v>
      </c>
      <c r="B1238" s="82">
        <v>795</v>
      </c>
      <c r="C1238" s="83" t="s">
        <v>173</v>
      </c>
      <c r="D1238" s="83" t="s">
        <v>173</v>
      </c>
      <c r="E1238" s="83" t="s">
        <v>605</v>
      </c>
      <c r="F1238" s="83" t="s">
        <v>350</v>
      </c>
      <c r="G1238" s="86"/>
      <c r="H1238" s="84"/>
      <c r="O1238" s="122"/>
      <c r="P1238" s="122"/>
      <c r="Q1238" s="122"/>
      <c r="R1238" s="122"/>
      <c r="S1238" s="122"/>
    </row>
    <row r="1239" spans="1:19" s="89" customFormat="1" ht="33.75" hidden="1" customHeight="1">
      <c r="A1239" s="81" t="s">
        <v>36</v>
      </c>
      <c r="B1239" s="82">
        <v>795</v>
      </c>
      <c r="C1239" s="83" t="s">
        <v>173</v>
      </c>
      <c r="D1239" s="83" t="s">
        <v>173</v>
      </c>
      <c r="E1239" s="83" t="s">
        <v>605</v>
      </c>
      <c r="F1239" s="83" t="s">
        <v>348</v>
      </c>
      <c r="G1239" s="86">
        <f>G1240</f>
        <v>0</v>
      </c>
      <c r="H1239" s="84">
        <v>0</v>
      </c>
      <c r="O1239" s="122"/>
      <c r="P1239" s="122"/>
      <c r="Q1239" s="122"/>
      <c r="R1239" s="122"/>
      <c r="S1239" s="122"/>
    </row>
    <row r="1240" spans="1:19" s="89" customFormat="1" ht="42" hidden="1" customHeight="1">
      <c r="A1240" s="16" t="s">
        <v>38</v>
      </c>
      <c r="B1240" s="82">
        <v>795</v>
      </c>
      <c r="C1240" s="83" t="s">
        <v>173</v>
      </c>
      <c r="D1240" s="83" t="s">
        <v>173</v>
      </c>
      <c r="E1240" s="83" t="s">
        <v>605</v>
      </c>
      <c r="F1240" s="83" t="s">
        <v>350</v>
      </c>
      <c r="G1240" s="86">
        <f>'прил 5,'!G2078</f>
        <v>0</v>
      </c>
      <c r="H1240" s="84">
        <v>0</v>
      </c>
      <c r="O1240" s="122"/>
      <c r="P1240" s="122"/>
      <c r="Q1240" s="122"/>
      <c r="R1240" s="122"/>
      <c r="S1240" s="122"/>
    </row>
    <row r="1241" spans="1:19" s="89" customFormat="1" ht="81" hidden="1" customHeight="1">
      <c r="A1241" s="37" t="s">
        <v>709</v>
      </c>
      <c r="B1241" s="82">
        <v>795</v>
      </c>
      <c r="C1241" s="83" t="s">
        <v>173</v>
      </c>
      <c r="D1241" s="83" t="s">
        <v>173</v>
      </c>
      <c r="E1241" s="83" t="s">
        <v>715</v>
      </c>
      <c r="F1241" s="83"/>
      <c r="G1241" s="86">
        <f>G1242</f>
        <v>0</v>
      </c>
      <c r="H1241" s="84">
        <v>0</v>
      </c>
      <c r="O1241" s="122"/>
      <c r="P1241" s="122"/>
      <c r="Q1241" s="122"/>
      <c r="R1241" s="122"/>
      <c r="S1241" s="122"/>
    </row>
    <row r="1242" spans="1:19" s="89" customFormat="1" ht="21" hidden="1" customHeight="1">
      <c r="A1242" s="81" t="s">
        <v>156</v>
      </c>
      <c r="B1242" s="82">
        <v>795</v>
      </c>
      <c r="C1242" s="83" t="s">
        <v>173</v>
      </c>
      <c r="D1242" s="83" t="s">
        <v>173</v>
      </c>
      <c r="E1242" s="83" t="s">
        <v>715</v>
      </c>
      <c r="F1242" s="83" t="s">
        <v>157</v>
      </c>
      <c r="G1242" s="86">
        <f>G1243</f>
        <v>0</v>
      </c>
      <c r="H1242" s="84">
        <v>0</v>
      </c>
      <c r="O1242" s="122"/>
      <c r="P1242" s="122"/>
      <c r="Q1242" s="122"/>
      <c r="R1242" s="122"/>
      <c r="S1242" s="122"/>
    </row>
    <row r="1243" spans="1:19" s="89" customFormat="1" ht="24" hidden="1" customHeight="1">
      <c r="A1243" s="81" t="s">
        <v>170</v>
      </c>
      <c r="B1243" s="82">
        <v>795</v>
      </c>
      <c r="C1243" s="83" t="s">
        <v>173</v>
      </c>
      <c r="D1243" s="83" t="s">
        <v>173</v>
      </c>
      <c r="E1243" s="83" t="s">
        <v>715</v>
      </c>
      <c r="F1243" s="83" t="s">
        <v>171</v>
      </c>
      <c r="G1243" s="86">
        <f>'прил 5,'!G2064</f>
        <v>0</v>
      </c>
      <c r="H1243" s="84">
        <v>0</v>
      </c>
      <c r="O1243" s="122"/>
      <c r="P1243" s="122"/>
      <c r="Q1243" s="122"/>
      <c r="R1243" s="122"/>
      <c r="S1243" s="122"/>
    </row>
    <row r="1244" spans="1:19" s="89" customFormat="1" ht="39.75" hidden="1" customHeight="1">
      <c r="A1244" s="135" t="s">
        <v>581</v>
      </c>
      <c r="B1244" s="82">
        <v>795</v>
      </c>
      <c r="C1244" s="83" t="s">
        <v>173</v>
      </c>
      <c r="D1244" s="83" t="s">
        <v>173</v>
      </c>
      <c r="E1244" s="83" t="s">
        <v>605</v>
      </c>
      <c r="F1244" s="83"/>
      <c r="G1244" s="86">
        <f>G1245+G1247</f>
        <v>0</v>
      </c>
      <c r="H1244" s="86">
        <f t="shared" ref="H1244" si="345">H1245+H1247</f>
        <v>0</v>
      </c>
      <c r="O1244" s="122"/>
      <c r="P1244" s="122"/>
      <c r="Q1244" s="122"/>
      <c r="R1244" s="122"/>
      <c r="S1244" s="122"/>
    </row>
    <row r="1245" spans="1:19" s="89" customFormat="1" ht="27" hidden="1" customHeight="1">
      <c r="A1245" s="81" t="s">
        <v>96</v>
      </c>
      <c r="B1245" s="82">
        <v>795</v>
      </c>
      <c r="C1245" s="83" t="s">
        <v>173</v>
      </c>
      <c r="D1245" s="83" t="s">
        <v>173</v>
      </c>
      <c r="E1245" s="83" t="s">
        <v>605</v>
      </c>
      <c r="F1245" s="83" t="s">
        <v>348</v>
      </c>
      <c r="G1245" s="86">
        <f>G1246</f>
        <v>0</v>
      </c>
      <c r="H1245" s="84">
        <f>H1246</f>
        <v>0</v>
      </c>
      <c r="O1245" s="122"/>
      <c r="P1245" s="122"/>
      <c r="Q1245" s="122"/>
      <c r="R1245" s="122"/>
      <c r="S1245" s="122"/>
    </row>
    <row r="1246" spans="1:19" s="89" customFormat="1" ht="24" hidden="1" customHeight="1">
      <c r="A1246" s="81" t="s">
        <v>349</v>
      </c>
      <c r="B1246" s="82">
        <v>795</v>
      </c>
      <c r="C1246" s="83" t="s">
        <v>173</v>
      </c>
      <c r="D1246" s="83" t="s">
        <v>173</v>
      </c>
      <c r="E1246" s="83" t="s">
        <v>605</v>
      </c>
      <c r="F1246" s="83" t="s">
        <v>350</v>
      </c>
      <c r="G1246" s="86">
        <f>'прил 5,'!G2076</f>
        <v>0</v>
      </c>
      <c r="H1246" s="84">
        <f>'прил 5,'!H2076</f>
        <v>0</v>
      </c>
      <c r="O1246" s="122"/>
      <c r="P1246" s="122"/>
      <c r="Q1246" s="122"/>
      <c r="R1246" s="122"/>
      <c r="S1246" s="122"/>
    </row>
    <row r="1247" spans="1:19" s="89" customFormat="1" ht="17.25" hidden="1" customHeight="1">
      <c r="A1247" s="81" t="s">
        <v>156</v>
      </c>
      <c r="B1247" s="82">
        <v>795</v>
      </c>
      <c r="C1247" s="83" t="s">
        <v>173</v>
      </c>
      <c r="D1247" s="83" t="s">
        <v>173</v>
      </c>
      <c r="E1247" s="83" t="s">
        <v>605</v>
      </c>
      <c r="F1247" s="83" t="s">
        <v>157</v>
      </c>
      <c r="G1247" s="86">
        <f>G1248</f>
        <v>0</v>
      </c>
      <c r="H1247" s="84"/>
      <c r="O1247" s="122"/>
      <c r="P1247" s="122"/>
      <c r="Q1247" s="122"/>
      <c r="R1247" s="122"/>
      <c r="S1247" s="122"/>
    </row>
    <row r="1248" spans="1:19" s="89" customFormat="1" ht="21" hidden="1" customHeight="1">
      <c r="A1248" s="81" t="s">
        <v>170</v>
      </c>
      <c r="B1248" s="82">
        <v>795</v>
      </c>
      <c r="C1248" s="83" t="s">
        <v>173</v>
      </c>
      <c r="D1248" s="83" t="s">
        <v>173</v>
      </c>
      <c r="E1248" s="83" t="s">
        <v>605</v>
      </c>
      <c r="F1248" s="83" t="s">
        <v>171</v>
      </c>
      <c r="G1248" s="86"/>
      <c r="H1248" s="84"/>
      <c r="O1248" s="122"/>
      <c r="P1248" s="122"/>
      <c r="Q1248" s="122"/>
      <c r="R1248" s="122"/>
      <c r="S1248" s="122"/>
    </row>
    <row r="1249" spans="1:19" s="89" customFormat="1" ht="25.5" hidden="1" customHeight="1">
      <c r="A1249" s="135" t="s">
        <v>622</v>
      </c>
      <c r="B1249" s="82">
        <v>795</v>
      </c>
      <c r="C1249" s="83" t="s">
        <v>173</v>
      </c>
      <c r="D1249" s="83" t="s">
        <v>173</v>
      </c>
      <c r="E1249" s="83" t="s">
        <v>619</v>
      </c>
      <c r="F1249" s="83"/>
      <c r="G1249" s="86">
        <f>G1250</f>
        <v>0</v>
      </c>
      <c r="H1249" s="84">
        <v>0</v>
      </c>
      <c r="O1249" s="122"/>
      <c r="P1249" s="122"/>
      <c r="Q1249" s="122"/>
      <c r="R1249" s="122"/>
      <c r="S1249" s="122"/>
    </row>
    <row r="1250" spans="1:19" s="89" customFormat="1" ht="39.75" hidden="1" customHeight="1">
      <c r="A1250" s="135" t="s">
        <v>621</v>
      </c>
      <c r="B1250" s="82">
        <v>795</v>
      </c>
      <c r="C1250" s="83" t="s">
        <v>173</v>
      </c>
      <c r="D1250" s="83" t="s">
        <v>173</v>
      </c>
      <c r="E1250" s="83" t="s">
        <v>620</v>
      </c>
      <c r="F1250" s="83"/>
      <c r="G1250" s="86">
        <f>G1251</f>
        <v>0</v>
      </c>
      <c r="H1250" s="84">
        <v>0</v>
      </c>
      <c r="O1250" s="122"/>
      <c r="P1250" s="122"/>
      <c r="Q1250" s="122"/>
      <c r="R1250" s="122"/>
      <c r="S1250" s="122"/>
    </row>
    <row r="1251" spans="1:19" s="89" customFormat="1" ht="30.75" hidden="1" customHeight="1">
      <c r="A1251" s="81" t="s">
        <v>96</v>
      </c>
      <c r="B1251" s="82">
        <v>795</v>
      </c>
      <c r="C1251" s="83" t="s">
        <v>173</v>
      </c>
      <c r="D1251" s="83" t="s">
        <v>173</v>
      </c>
      <c r="E1251" s="83" t="s">
        <v>620</v>
      </c>
      <c r="F1251" s="83" t="s">
        <v>348</v>
      </c>
      <c r="G1251" s="86">
        <f>G1252</f>
        <v>0</v>
      </c>
      <c r="H1251" s="84">
        <v>0</v>
      </c>
      <c r="O1251" s="122"/>
      <c r="P1251" s="122"/>
      <c r="Q1251" s="122"/>
      <c r="R1251" s="122"/>
      <c r="S1251" s="122"/>
    </row>
    <row r="1252" spans="1:19" s="89" customFormat="1" ht="30.75" hidden="1" customHeight="1">
      <c r="A1252" s="81" t="s">
        <v>349</v>
      </c>
      <c r="B1252" s="82">
        <v>795</v>
      </c>
      <c r="C1252" s="83" t="s">
        <v>173</v>
      </c>
      <c r="D1252" s="83" t="s">
        <v>173</v>
      </c>
      <c r="E1252" s="83" t="s">
        <v>620</v>
      </c>
      <c r="F1252" s="83" t="s">
        <v>350</v>
      </c>
      <c r="G1252" s="86">
        <f>'прил 5,'!G2068</f>
        <v>0</v>
      </c>
      <c r="H1252" s="84">
        <v>0</v>
      </c>
      <c r="O1252" s="122"/>
      <c r="P1252" s="122"/>
      <c r="Q1252" s="122"/>
      <c r="R1252" s="122"/>
      <c r="S1252" s="122"/>
    </row>
    <row r="1253" spans="1:19" s="89" customFormat="1" ht="66" hidden="1" customHeight="1">
      <c r="A1253" s="81" t="s">
        <v>818</v>
      </c>
      <c r="B1253" s="82">
        <v>795</v>
      </c>
      <c r="C1253" s="83" t="s">
        <v>173</v>
      </c>
      <c r="D1253" s="83" t="s">
        <v>28</v>
      </c>
      <c r="E1253" s="83" t="s">
        <v>714</v>
      </c>
      <c r="F1253" s="83"/>
      <c r="G1253" s="86">
        <f>G1254+G1256</f>
        <v>0</v>
      </c>
      <c r="H1253" s="86">
        <f t="shared" ref="G1253:H1254" si="346">H1254</f>
        <v>0</v>
      </c>
      <c r="O1253" s="122"/>
      <c r="P1253" s="122"/>
      <c r="Q1253" s="122"/>
      <c r="R1253" s="122"/>
      <c r="S1253" s="122"/>
    </row>
    <row r="1254" spans="1:19" s="89" customFormat="1" ht="34.5" hidden="1" customHeight="1">
      <c r="A1254" s="81" t="s">
        <v>36</v>
      </c>
      <c r="B1254" s="82">
        <v>795</v>
      </c>
      <c r="C1254" s="83" t="s">
        <v>173</v>
      </c>
      <c r="D1254" s="83" t="s">
        <v>28</v>
      </c>
      <c r="E1254" s="83" t="s">
        <v>714</v>
      </c>
      <c r="F1254" s="83" t="s">
        <v>348</v>
      </c>
      <c r="G1254" s="86">
        <f t="shared" si="346"/>
        <v>0</v>
      </c>
      <c r="H1254" s="86">
        <f t="shared" si="346"/>
        <v>0</v>
      </c>
      <c r="O1254" s="122"/>
      <c r="P1254" s="122"/>
      <c r="Q1254" s="122"/>
      <c r="R1254" s="122"/>
      <c r="S1254" s="122"/>
    </row>
    <row r="1255" spans="1:19" ht="34.5" hidden="1" customHeight="1">
      <c r="A1255" s="16" t="s">
        <v>38</v>
      </c>
      <c r="B1255" s="49">
        <v>795</v>
      </c>
      <c r="C1255" s="15" t="s">
        <v>173</v>
      </c>
      <c r="D1255" s="15" t="s">
        <v>28</v>
      </c>
      <c r="E1255" s="15" t="s">
        <v>714</v>
      </c>
      <c r="F1255" s="15" t="s">
        <v>350</v>
      </c>
      <c r="G1255" s="69">
        <f>'прил 5,'!G1990</f>
        <v>0</v>
      </c>
      <c r="H1255" s="69">
        <f>832780-832780</f>
        <v>0</v>
      </c>
      <c r="I1255" s="1"/>
    </row>
    <row r="1256" spans="1:19" ht="18" hidden="1" customHeight="1">
      <c r="A1256" s="81" t="s">
        <v>156</v>
      </c>
      <c r="B1256" s="49">
        <v>795</v>
      </c>
      <c r="C1256" s="15" t="s">
        <v>173</v>
      </c>
      <c r="D1256" s="15" t="s">
        <v>28</v>
      </c>
      <c r="E1256" s="15" t="s">
        <v>714</v>
      </c>
      <c r="F1256" s="83" t="s">
        <v>157</v>
      </c>
      <c r="G1256" s="69">
        <f>G1257</f>
        <v>0</v>
      </c>
      <c r="H1256" s="69">
        <f>H1257</f>
        <v>0</v>
      </c>
      <c r="I1256" s="1"/>
    </row>
    <row r="1257" spans="1:19" ht="18" hidden="1" customHeight="1">
      <c r="A1257" s="81" t="s">
        <v>178</v>
      </c>
      <c r="B1257" s="49">
        <v>795</v>
      </c>
      <c r="C1257" s="15" t="s">
        <v>173</v>
      </c>
      <c r="D1257" s="15" t="s">
        <v>28</v>
      </c>
      <c r="E1257" s="15" t="s">
        <v>714</v>
      </c>
      <c r="F1257" s="83" t="s">
        <v>179</v>
      </c>
      <c r="G1257" s="69"/>
      <c r="H1257" s="69"/>
      <c r="I1257" s="1"/>
    </row>
    <row r="1258" spans="1:19" ht="44.25" hidden="1" customHeight="1">
      <c r="A1258" s="81" t="s">
        <v>806</v>
      </c>
      <c r="B1258" s="49">
        <v>795</v>
      </c>
      <c r="C1258" s="15" t="s">
        <v>173</v>
      </c>
      <c r="D1258" s="15" t="s">
        <v>28</v>
      </c>
      <c r="E1258" s="15" t="s">
        <v>805</v>
      </c>
      <c r="F1258" s="15"/>
      <c r="G1258" s="69">
        <f t="shared" ref="G1258:H1259" si="347">G1259</f>
        <v>0</v>
      </c>
      <c r="H1258" s="69">
        <f t="shared" si="347"/>
        <v>0</v>
      </c>
      <c r="I1258" s="1"/>
    </row>
    <row r="1259" spans="1:19" ht="34.5" hidden="1" customHeight="1">
      <c r="A1259" s="81" t="s">
        <v>36</v>
      </c>
      <c r="B1259" s="49">
        <v>795</v>
      </c>
      <c r="C1259" s="15" t="s">
        <v>173</v>
      </c>
      <c r="D1259" s="15" t="s">
        <v>28</v>
      </c>
      <c r="E1259" s="15" t="s">
        <v>805</v>
      </c>
      <c r="F1259" s="15" t="s">
        <v>348</v>
      </c>
      <c r="G1259" s="69">
        <f t="shared" si="347"/>
        <v>0</v>
      </c>
      <c r="H1259" s="69">
        <f t="shared" si="347"/>
        <v>0</v>
      </c>
      <c r="I1259" s="1"/>
    </row>
    <row r="1260" spans="1:19" ht="34.5" hidden="1" customHeight="1">
      <c r="A1260" s="16" t="s">
        <v>38</v>
      </c>
      <c r="B1260" s="49">
        <v>795</v>
      </c>
      <c r="C1260" s="15" t="s">
        <v>173</v>
      </c>
      <c r="D1260" s="15" t="s">
        <v>28</v>
      </c>
      <c r="E1260" s="15" t="s">
        <v>805</v>
      </c>
      <c r="F1260" s="15" t="s">
        <v>350</v>
      </c>
      <c r="G1260" s="69"/>
      <c r="H1260" s="69"/>
      <c r="I1260" s="1"/>
    </row>
    <row r="1261" spans="1:19" ht="44.25" hidden="1" customHeight="1">
      <c r="A1261" s="81" t="s">
        <v>808</v>
      </c>
      <c r="B1261" s="49">
        <v>795</v>
      </c>
      <c r="C1261" s="15" t="s">
        <v>173</v>
      </c>
      <c r="D1261" s="15" t="s">
        <v>28</v>
      </c>
      <c r="E1261" s="15" t="s">
        <v>807</v>
      </c>
      <c r="F1261" s="15"/>
      <c r="G1261" s="69">
        <f t="shared" ref="G1261:H1262" si="348">G1262</f>
        <v>0</v>
      </c>
      <c r="H1261" s="69">
        <f t="shared" si="348"/>
        <v>0</v>
      </c>
      <c r="I1261" s="1"/>
    </row>
    <row r="1262" spans="1:19" ht="34.5" hidden="1" customHeight="1">
      <c r="A1262" s="81" t="s">
        <v>36</v>
      </c>
      <c r="B1262" s="49">
        <v>795</v>
      </c>
      <c r="C1262" s="15" t="s">
        <v>173</v>
      </c>
      <c r="D1262" s="15" t="s">
        <v>28</v>
      </c>
      <c r="E1262" s="15" t="s">
        <v>807</v>
      </c>
      <c r="F1262" s="15" t="s">
        <v>348</v>
      </c>
      <c r="G1262" s="69">
        <f t="shared" si="348"/>
        <v>0</v>
      </c>
      <c r="H1262" s="69">
        <f t="shared" si="348"/>
        <v>0</v>
      </c>
      <c r="I1262" s="1"/>
    </row>
    <row r="1263" spans="1:19" ht="34.5" hidden="1" customHeight="1">
      <c r="A1263" s="16" t="s">
        <v>38</v>
      </c>
      <c r="B1263" s="49">
        <v>795</v>
      </c>
      <c r="C1263" s="15" t="s">
        <v>173</v>
      </c>
      <c r="D1263" s="15" t="s">
        <v>28</v>
      </c>
      <c r="E1263" s="15" t="s">
        <v>807</v>
      </c>
      <c r="F1263" s="15" t="s">
        <v>350</v>
      </c>
      <c r="G1263" s="69"/>
      <c r="H1263" s="69"/>
      <c r="I1263" s="1"/>
    </row>
    <row r="1264" spans="1:19" ht="44.25" hidden="1" customHeight="1">
      <c r="A1264" s="81" t="s">
        <v>810</v>
      </c>
      <c r="B1264" s="49">
        <v>795</v>
      </c>
      <c r="C1264" s="15" t="s">
        <v>173</v>
      </c>
      <c r="D1264" s="15" t="s">
        <v>28</v>
      </c>
      <c r="E1264" s="15" t="s">
        <v>809</v>
      </c>
      <c r="F1264" s="15"/>
      <c r="G1264" s="69">
        <f t="shared" ref="G1264:H1265" si="349">G1265</f>
        <v>0</v>
      </c>
      <c r="H1264" s="69">
        <f t="shared" si="349"/>
        <v>0</v>
      </c>
      <c r="I1264" s="1"/>
    </row>
    <row r="1265" spans="1:19" ht="34.5" hidden="1" customHeight="1">
      <c r="A1265" s="81" t="s">
        <v>36</v>
      </c>
      <c r="B1265" s="49">
        <v>795</v>
      </c>
      <c r="C1265" s="15" t="s">
        <v>173</v>
      </c>
      <c r="D1265" s="15" t="s">
        <v>28</v>
      </c>
      <c r="E1265" s="15" t="s">
        <v>809</v>
      </c>
      <c r="F1265" s="15" t="s">
        <v>348</v>
      </c>
      <c r="G1265" s="69">
        <f t="shared" si="349"/>
        <v>0</v>
      </c>
      <c r="H1265" s="69">
        <f t="shared" si="349"/>
        <v>0</v>
      </c>
      <c r="I1265" s="1"/>
    </row>
    <row r="1266" spans="1:19" ht="34.5" hidden="1" customHeight="1">
      <c r="A1266" s="16" t="s">
        <v>38</v>
      </c>
      <c r="B1266" s="49">
        <v>795</v>
      </c>
      <c r="C1266" s="15" t="s">
        <v>173</v>
      </c>
      <c r="D1266" s="15" t="s">
        <v>28</v>
      </c>
      <c r="E1266" s="15" t="s">
        <v>809</v>
      </c>
      <c r="F1266" s="15" t="s">
        <v>350</v>
      </c>
      <c r="G1266" s="69">
        <f>'прил 5,'!G1984</f>
        <v>0</v>
      </c>
      <c r="H1266" s="69">
        <f>832780-832780</f>
        <v>0</v>
      </c>
      <c r="I1266" s="1"/>
    </row>
    <row r="1267" spans="1:19" ht="57" hidden="1" customHeight="1">
      <c r="A1267" s="81" t="s">
        <v>812</v>
      </c>
      <c r="B1267" s="49">
        <v>795</v>
      </c>
      <c r="C1267" s="15" t="s">
        <v>173</v>
      </c>
      <c r="D1267" s="15" t="s">
        <v>28</v>
      </c>
      <c r="E1267" s="15" t="s">
        <v>811</v>
      </c>
      <c r="F1267" s="15"/>
      <c r="G1267" s="69">
        <f t="shared" ref="G1267:H1268" si="350">G1268</f>
        <v>0</v>
      </c>
      <c r="H1267" s="69">
        <f t="shared" si="350"/>
        <v>0</v>
      </c>
      <c r="I1267" s="1"/>
    </row>
    <row r="1268" spans="1:19" ht="34.5" hidden="1" customHeight="1">
      <c r="A1268" s="81" t="s">
        <v>36</v>
      </c>
      <c r="B1268" s="49">
        <v>795</v>
      </c>
      <c r="C1268" s="15" t="s">
        <v>173</v>
      </c>
      <c r="D1268" s="15" t="s">
        <v>28</v>
      </c>
      <c r="E1268" s="15" t="s">
        <v>811</v>
      </c>
      <c r="F1268" s="15" t="s">
        <v>348</v>
      </c>
      <c r="G1268" s="69">
        <f t="shared" si="350"/>
        <v>0</v>
      </c>
      <c r="H1268" s="69">
        <f t="shared" si="350"/>
        <v>0</v>
      </c>
      <c r="I1268" s="1"/>
    </row>
    <row r="1269" spans="1:19" ht="34.5" hidden="1" customHeight="1">
      <c r="A1269" s="16" t="s">
        <v>38</v>
      </c>
      <c r="B1269" s="49">
        <v>795</v>
      </c>
      <c r="C1269" s="15" t="s">
        <v>173</v>
      </c>
      <c r="D1269" s="15" t="s">
        <v>28</v>
      </c>
      <c r="E1269" s="15" t="s">
        <v>811</v>
      </c>
      <c r="F1269" s="15" t="s">
        <v>350</v>
      </c>
      <c r="G1269" s="69"/>
      <c r="H1269" s="69"/>
      <c r="I1269" s="1"/>
    </row>
    <row r="1270" spans="1:19" s="18" customFormat="1" ht="63" hidden="1" customHeight="1">
      <c r="A1270" s="81" t="s">
        <v>81</v>
      </c>
      <c r="B1270" s="49">
        <v>793</v>
      </c>
      <c r="C1270" s="15" t="s">
        <v>173</v>
      </c>
      <c r="D1270" s="15" t="s">
        <v>19</v>
      </c>
      <c r="E1270" s="15" t="s">
        <v>80</v>
      </c>
      <c r="F1270" s="15"/>
      <c r="G1270" s="69">
        <f t="shared" ref="G1270:H1271" si="351">G1271</f>
        <v>0</v>
      </c>
      <c r="H1270" s="69">
        <f t="shared" si="351"/>
        <v>0</v>
      </c>
      <c r="O1270" s="17"/>
      <c r="P1270" s="17"/>
      <c r="Q1270" s="17"/>
      <c r="R1270" s="17"/>
      <c r="S1270" s="17"/>
    </row>
    <row r="1271" spans="1:19" ht="30.75" hidden="1" customHeight="1">
      <c r="A1271" s="16" t="s">
        <v>36</v>
      </c>
      <c r="B1271" s="49">
        <v>793</v>
      </c>
      <c r="C1271" s="15" t="s">
        <v>173</v>
      </c>
      <c r="D1271" s="15" t="s">
        <v>19</v>
      </c>
      <c r="E1271" s="15" t="s">
        <v>80</v>
      </c>
      <c r="F1271" s="15" t="s">
        <v>37</v>
      </c>
      <c r="G1271" s="69">
        <f t="shared" si="351"/>
        <v>0</v>
      </c>
      <c r="H1271" s="69">
        <f t="shared" si="351"/>
        <v>0</v>
      </c>
      <c r="I1271" s="1"/>
    </row>
    <row r="1272" spans="1:19" s="18" customFormat="1" ht="34.5" hidden="1" customHeight="1">
      <c r="A1272" s="16" t="s">
        <v>38</v>
      </c>
      <c r="B1272" s="49">
        <v>793</v>
      </c>
      <c r="C1272" s="15" t="s">
        <v>173</v>
      </c>
      <c r="D1272" s="15" t="s">
        <v>19</v>
      </c>
      <c r="E1272" s="15" t="s">
        <v>80</v>
      </c>
      <c r="F1272" s="15" t="s">
        <v>39</v>
      </c>
      <c r="G1272" s="69"/>
      <c r="H1272" s="69"/>
      <c r="O1272" s="17"/>
      <c r="P1272" s="17"/>
      <c r="Q1272" s="17"/>
      <c r="R1272" s="17"/>
      <c r="S1272" s="17"/>
    </row>
    <row r="1273" spans="1:19" s="18" customFormat="1" ht="20.25" hidden="1" customHeight="1">
      <c r="A1273" s="16" t="s">
        <v>83</v>
      </c>
      <c r="B1273" s="49">
        <v>793</v>
      </c>
      <c r="C1273" s="15" t="s">
        <v>173</v>
      </c>
      <c r="D1273" s="15" t="s">
        <v>19</v>
      </c>
      <c r="E1273" s="15" t="s">
        <v>82</v>
      </c>
      <c r="F1273" s="15"/>
      <c r="G1273" s="69">
        <f t="shared" ref="G1273:H1274" si="352">G1274</f>
        <v>0</v>
      </c>
      <c r="H1273" s="69">
        <f t="shared" si="352"/>
        <v>0</v>
      </c>
      <c r="O1273" s="17"/>
      <c r="P1273" s="17"/>
      <c r="Q1273" s="17"/>
      <c r="R1273" s="17"/>
      <c r="S1273" s="17"/>
    </row>
    <row r="1274" spans="1:19" ht="30.75" hidden="1" customHeight="1">
      <c r="A1274" s="16" t="s">
        <v>36</v>
      </c>
      <c r="B1274" s="49">
        <v>793</v>
      </c>
      <c r="C1274" s="15" t="s">
        <v>173</v>
      </c>
      <c r="D1274" s="15" t="s">
        <v>19</v>
      </c>
      <c r="E1274" s="15" t="s">
        <v>82</v>
      </c>
      <c r="F1274" s="15" t="s">
        <v>37</v>
      </c>
      <c r="G1274" s="69">
        <f t="shared" si="352"/>
        <v>0</v>
      </c>
      <c r="H1274" s="69">
        <f t="shared" si="352"/>
        <v>0</v>
      </c>
      <c r="I1274" s="1"/>
    </row>
    <row r="1275" spans="1:19" s="18" customFormat="1" ht="34.5" hidden="1" customHeight="1">
      <c r="A1275" s="16" t="s">
        <v>38</v>
      </c>
      <c r="B1275" s="49">
        <v>793</v>
      </c>
      <c r="C1275" s="15" t="s">
        <v>173</v>
      </c>
      <c r="D1275" s="15" t="s">
        <v>19</v>
      </c>
      <c r="E1275" s="15" t="s">
        <v>82</v>
      </c>
      <c r="F1275" s="15" t="s">
        <v>39</v>
      </c>
      <c r="G1275" s="69"/>
      <c r="H1275" s="69"/>
      <c r="O1275" s="17"/>
      <c r="P1275" s="17"/>
      <c r="Q1275" s="17"/>
      <c r="R1275" s="17"/>
      <c r="S1275" s="17"/>
    </row>
    <row r="1276" spans="1:19" s="18" customFormat="1" ht="20.25" hidden="1" customHeight="1">
      <c r="A1276" s="16" t="s">
        <v>85</v>
      </c>
      <c r="B1276" s="49">
        <v>793</v>
      </c>
      <c r="C1276" s="15" t="s">
        <v>173</v>
      </c>
      <c r="D1276" s="15" t="s">
        <v>19</v>
      </c>
      <c r="E1276" s="15" t="s">
        <v>84</v>
      </c>
      <c r="F1276" s="15"/>
      <c r="G1276" s="69">
        <f t="shared" ref="G1276:H1277" si="353">G1277</f>
        <v>0</v>
      </c>
      <c r="H1276" s="69">
        <f t="shared" si="353"/>
        <v>0</v>
      </c>
      <c r="O1276" s="17"/>
      <c r="P1276" s="17"/>
      <c r="Q1276" s="17"/>
      <c r="R1276" s="17"/>
      <c r="S1276" s="17"/>
    </row>
    <row r="1277" spans="1:19" ht="30.75" hidden="1" customHeight="1">
      <c r="A1277" s="16" t="s">
        <v>36</v>
      </c>
      <c r="B1277" s="49">
        <v>793</v>
      </c>
      <c r="C1277" s="15" t="s">
        <v>173</v>
      </c>
      <c r="D1277" s="15" t="s">
        <v>19</v>
      </c>
      <c r="E1277" s="15" t="s">
        <v>84</v>
      </c>
      <c r="F1277" s="15" t="s">
        <v>37</v>
      </c>
      <c r="G1277" s="69">
        <f t="shared" si="353"/>
        <v>0</v>
      </c>
      <c r="H1277" s="69">
        <f t="shared" si="353"/>
        <v>0</v>
      </c>
      <c r="I1277" s="1"/>
    </row>
    <row r="1278" spans="1:19" s="18" customFormat="1" ht="34.5" hidden="1" customHeight="1">
      <c r="A1278" s="16" t="s">
        <v>38</v>
      </c>
      <c r="B1278" s="49">
        <v>793</v>
      </c>
      <c r="C1278" s="15" t="s">
        <v>173</v>
      </c>
      <c r="D1278" s="15" t="s">
        <v>19</v>
      </c>
      <c r="E1278" s="15" t="s">
        <v>84</v>
      </c>
      <c r="F1278" s="15" t="s">
        <v>39</v>
      </c>
      <c r="G1278" s="69"/>
      <c r="H1278" s="69"/>
      <c r="O1278" s="17"/>
      <c r="P1278" s="17"/>
      <c r="Q1278" s="17"/>
      <c r="R1278" s="17"/>
      <c r="S1278" s="17"/>
    </row>
    <row r="1279" spans="1:19" ht="73.5" customHeight="1">
      <c r="A1279" s="37" t="s">
        <v>709</v>
      </c>
      <c r="B1279" s="49">
        <v>793</v>
      </c>
      <c r="C1279" s="15" t="s">
        <v>173</v>
      </c>
      <c r="D1279" s="15" t="s">
        <v>173</v>
      </c>
      <c r="E1279" s="15" t="s">
        <v>715</v>
      </c>
      <c r="F1279" s="15"/>
      <c r="G1279" s="69">
        <f>G1280</f>
        <v>2017013.5199999996</v>
      </c>
      <c r="H1279" s="69">
        <f>H1280</f>
        <v>711051.18</v>
      </c>
      <c r="I1279" s="172"/>
      <c r="J1279" s="177"/>
      <c r="K1279" s="177"/>
      <c r="L1279" s="177"/>
      <c r="M1279" s="177"/>
      <c r="N1279" s="177"/>
      <c r="O1279" s="177"/>
      <c r="P1279" s="177"/>
      <c r="Q1279" s="177"/>
      <c r="R1279" s="1"/>
      <c r="S1279" s="1"/>
    </row>
    <row r="1280" spans="1:19" ht="21" customHeight="1">
      <c r="A1280" s="81" t="s">
        <v>156</v>
      </c>
      <c r="B1280" s="49">
        <v>793</v>
      </c>
      <c r="C1280" s="15" t="s">
        <v>173</v>
      </c>
      <c r="D1280" s="15" t="s">
        <v>173</v>
      </c>
      <c r="E1280" s="15" t="s">
        <v>715</v>
      </c>
      <c r="F1280" s="15" t="s">
        <v>157</v>
      </c>
      <c r="G1280" s="69">
        <f>G1281</f>
        <v>2017013.5199999996</v>
      </c>
      <c r="H1280" s="69">
        <f>H1281</f>
        <v>711051.18</v>
      </c>
      <c r="I1280" s="172"/>
      <c r="J1280" s="177"/>
      <c r="K1280" s="177"/>
      <c r="L1280" s="177"/>
      <c r="M1280" s="177"/>
      <c r="N1280" s="177"/>
      <c r="O1280" s="177"/>
      <c r="P1280" s="177"/>
      <c r="Q1280" s="177"/>
      <c r="R1280" s="1"/>
      <c r="S1280" s="1"/>
    </row>
    <row r="1281" spans="1:19" ht="20.25" customHeight="1">
      <c r="A1281" s="81" t="s">
        <v>178</v>
      </c>
      <c r="B1281" s="49">
        <v>793</v>
      </c>
      <c r="C1281" s="15" t="s">
        <v>173</v>
      </c>
      <c r="D1281" s="15" t="s">
        <v>173</v>
      </c>
      <c r="E1281" s="15" t="s">
        <v>715</v>
      </c>
      <c r="F1281" s="15" t="s">
        <v>179</v>
      </c>
      <c r="G1281" s="86">
        <f>'прил 5,'!G1613</f>
        <v>2017013.5199999996</v>
      </c>
      <c r="H1281" s="86">
        <f>'прил 5,'!H1613</f>
        <v>711051.18</v>
      </c>
      <c r="I1281" s="172"/>
      <c r="J1281" s="177"/>
      <c r="K1281" s="177"/>
      <c r="L1281" s="177"/>
      <c r="M1281" s="177"/>
      <c r="N1281" s="177"/>
      <c r="O1281" s="177"/>
      <c r="P1281" s="177"/>
      <c r="Q1281" s="177"/>
      <c r="R1281" s="1"/>
      <c r="S1281" s="1"/>
    </row>
    <row r="1282" spans="1:19" ht="25.5" hidden="1" customHeight="1">
      <c r="A1282" s="37" t="s">
        <v>622</v>
      </c>
      <c r="B1282" s="49">
        <v>793</v>
      </c>
      <c r="C1282" s="15" t="s">
        <v>173</v>
      </c>
      <c r="D1282" s="15" t="s">
        <v>173</v>
      </c>
      <c r="E1282" s="15" t="s">
        <v>619</v>
      </c>
      <c r="F1282" s="15"/>
      <c r="G1282" s="86">
        <f>G1283</f>
        <v>0</v>
      </c>
      <c r="H1282" s="8">
        <v>0</v>
      </c>
      <c r="I1282" s="172"/>
      <c r="J1282" s="177"/>
      <c r="K1282" s="177"/>
      <c r="L1282" s="177"/>
      <c r="M1282" s="177"/>
      <c r="N1282" s="177"/>
      <c r="O1282" s="177"/>
      <c r="P1282" s="177"/>
      <c r="Q1282" s="177"/>
      <c r="R1282" s="1"/>
      <c r="S1282" s="1"/>
    </row>
    <row r="1283" spans="1:19" ht="39.75" hidden="1" customHeight="1">
      <c r="A1283" s="37" t="s">
        <v>621</v>
      </c>
      <c r="B1283" s="49">
        <v>793</v>
      </c>
      <c r="C1283" s="15" t="s">
        <v>173</v>
      </c>
      <c r="D1283" s="15" t="s">
        <v>173</v>
      </c>
      <c r="E1283" s="15" t="s">
        <v>620</v>
      </c>
      <c r="F1283" s="15"/>
      <c r="G1283" s="86">
        <f>G1284</f>
        <v>0</v>
      </c>
      <c r="H1283" s="8">
        <v>0</v>
      </c>
      <c r="I1283" s="172"/>
      <c r="J1283" s="177"/>
      <c r="K1283" s="177"/>
      <c r="L1283" s="177"/>
      <c r="M1283" s="177"/>
      <c r="N1283" s="177"/>
      <c r="O1283" s="177"/>
      <c r="P1283" s="177"/>
      <c r="Q1283" s="177"/>
      <c r="R1283" s="1"/>
      <c r="S1283" s="1"/>
    </row>
    <row r="1284" spans="1:19" ht="30.75" hidden="1" customHeight="1">
      <c r="A1284" s="16" t="s">
        <v>96</v>
      </c>
      <c r="B1284" s="49">
        <v>793</v>
      </c>
      <c r="C1284" s="15" t="s">
        <v>173</v>
      </c>
      <c r="D1284" s="15" t="s">
        <v>173</v>
      </c>
      <c r="E1284" s="15" t="s">
        <v>620</v>
      </c>
      <c r="F1284" s="15" t="s">
        <v>348</v>
      </c>
      <c r="G1284" s="86">
        <f>G1285</f>
        <v>0</v>
      </c>
      <c r="H1284" s="8">
        <v>0</v>
      </c>
      <c r="I1284" s="172"/>
      <c r="J1284" s="177"/>
      <c r="K1284" s="177"/>
      <c r="L1284" s="177"/>
      <c r="M1284" s="177"/>
      <c r="N1284" s="177"/>
      <c r="O1284" s="177"/>
      <c r="P1284" s="177"/>
      <c r="Q1284" s="177"/>
      <c r="R1284" s="1"/>
      <c r="S1284" s="1"/>
    </row>
    <row r="1285" spans="1:19" ht="30.75" hidden="1" customHeight="1">
      <c r="A1285" s="16" t="s">
        <v>349</v>
      </c>
      <c r="B1285" s="49">
        <v>793</v>
      </c>
      <c r="C1285" s="15" t="s">
        <v>173</v>
      </c>
      <c r="D1285" s="15" t="s">
        <v>173</v>
      </c>
      <c r="E1285" s="15" t="s">
        <v>620</v>
      </c>
      <c r="F1285" s="15" t="s">
        <v>350</v>
      </c>
      <c r="G1285" s="86"/>
      <c r="H1285" s="8">
        <v>0</v>
      </c>
      <c r="I1285" s="172"/>
      <c r="J1285" s="177"/>
      <c r="K1285" s="177"/>
      <c r="L1285" s="177"/>
      <c r="M1285" s="177"/>
      <c r="N1285" s="177"/>
      <c r="O1285" s="177"/>
      <c r="P1285" s="177"/>
      <c r="Q1285" s="177"/>
      <c r="R1285" s="1"/>
      <c r="S1285" s="1"/>
    </row>
    <row r="1286" spans="1:19" ht="55.5" hidden="1" customHeight="1">
      <c r="A1286" s="135" t="s">
        <v>733</v>
      </c>
      <c r="B1286" s="49">
        <v>793</v>
      </c>
      <c r="C1286" s="15" t="s">
        <v>173</v>
      </c>
      <c r="D1286" s="15" t="s">
        <v>173</v>
      </c>
      <c r="E1286" s="15" t="s">
        <v>717</v>
      </c>
      <c r="F1286" s="15"/>
      <c r="G1286" s="86">
        <f>G1287+G1289</f>
        <v>0</v>
      </c>
      <c r="H1286" s="69">
        <f t="shared" ref="H1286" si="354">H1287+H1289</f>
        <v>0</v>
      </c>
      <c r="I1286" s="171"/>
      <c r="J1286" s="177"/>
      <c r="K1286" s="177"/>
      <c r="L1286" s="177"/>
      <c r="M1286" s="177"/>
      <c r="N1286" s="177"/>
      <c r="O1286" s="177"/>
      <c r="P1286" s="177"/>
      <c r="Q1286" s="177"/>
      <c r="R1286" s="1"/>
      <c r="S1286" s="1"/>
    </row>
    <row r="1287" spans="1:19" ht="27" hidden="1" customHeight="1">
      <c r="A1287" s="16" t="s">
        <v>96</v>
      </c>
      <c r="B1287" s="49">
        <v>793</v>
      </c>
      <c r="C1287" s="15" t="s">
        <v>173</v>
      </c>
      <c r="D1287" s="15" t="s">
        <v>173</v>
      </c>
      <c r="E1287" s="15" t="s">
        <v>605</v>
      </c>
      <c r="F1287" s="15" t="s">
        <v>348</v>
      </c>
      <c r="G1287" s="86">
        <f>G1288</f>
        <v>0</v>
      </c>
      <c r="H1287" s="8">
        <f>H1288</f>
        <v>0</v>
      </c>
      <c r="I1287" s="172"/>
      <c r="J1287" s="177"/>
      <c r="K1287" s="177"/>
      <c r="L1287" s="177"/>
      <c r="M1287" s="177"/>
      <c r="N1287" s="177"/>
      <c r="O1287" s="177"/>
      <c r="P1287" s="177"/>
      <c r="Q1287" s="177"/>
      <c r="R1287" s="1"/>
      <c r="S1287" s="1"/>
    </row>
    <row r="1288" spans="1:19" ht="18.75" hidden="1" customHeight="1">
      <c r="A1288" s="81" t="s">
        <v>349</v>
      </c>
      <c r="B1288" s="49">
        <v>793</v>
      </c>
      <c r="C1288" s="15" t="s">
        <v>173</v>
      </c>
      <c r="D1288" s="15" t="s">
        <v>173</v>
      </c>
      <c r="E1288" s="15" t="s">
        <v>605</v>
      </c>
      <c r="F1288" s="15" t="s">
        <v>350</v>
      </c>
      <c r="G1288" s="86"/>
      <c r="H1288" s="8"/>
      <c r="I1288" s="172"/>
      <c r="J1288" s="177"/>
      <c r="K1288" s="177"/>
      <c r="L1288" s="177"/>
      <c r="M1288" s="177"/>
      <c r="N1288" s="177"/>
      <c r="O1288" s="177"/>
      <c r="P1288" s="177"/>
      <c r="Q1288" s="177"/>
      <c r="R1288" s="1"/>
      <c r="S1288" s="1"/>
    </row>
    <row r="1289" spans="1:19" ht="39.75" hidden="1" customHeight="1">
      <c r="A1289" s="81" t="s">
        <v>36</v>
      </c>
      <c r="B1289" s="49">
        <v>793</v>
      </c>
      <c r="C1289" s="15" t="s">
        <v>173</v>
      </c>
      <c r="D1289" s="15" t="s">
        <v>173</v>
      </c>
      <c r="E1289" s="15" t="s">
        <v>718</v>
      </c>
      <c r="F1289" s="15" t="s">
        <v>348</v>
      </c>
      <c r="G1289" s="86">
        <f>G1290</f>
        <v>0</v>
      </c>
      <c r="H1289" s="8"/>
      <c r="I1289" s="172"/>
      <c r="J1289" s="177"/>
      <c r="K1289" s="177"/>
      <c r="L1289" s="177"/>
      <c r="M1289" s="177"/>
      <c r="N1289" s="177"/>
      <c r="O1289" s="177"/>
      <c r="P1289" s="177"/>
      <c r="Q1289" s="177"/>
      <c r="R1289" s="1"/>
      <c r="S1289" s="1"/>
    </row>
    <row r="1290" spans="1:19" ht="39" hidden="1" customHeight="1">
      <c r="A1290" s="16" t="s">
        <v>38</v>
      </c>
      <c r="B1290" s="49">
        <v>793</v>
      </c>
      <c r="C1290" s="15" t="s">
        <v>173</v>
      </c>
      <c r="D1290" s="15" t="s">
        <v>173</v>
      </c>
      <c r="E1290" s="15" t="s">
        <v>717</v>
      </c>
      <c r="F1290" s="15" t="s">
        <v>350</v>
      </c>
      <c r="G1290" s="86">
        <f>358104.72+400000-758104.72</f>
        <v>0</v>
      </c>
      <c r="H1290" s="8"/>
      <c r="I1290" s="172"/>
      <c r="J1290" s="177"/>
      <c r="K1290" s="177"/>
      <c r="L1290" s="177"/>
      <c r="M1290" s="177"/>
      <c r="N1290" s="177"/>
      <c r="O1290" s="177"/>
      <c r="P1290" s="177"/>
      <c r="Q1290" s="177"/>
      <c r="R1290" s="1"/>
      <c r="S1290" s="1"/>
    </row>
    <row r="1291" spans="1:19" ht="57" hidden="1" customHeight="1">
      <c r="A1291" s="37" t="s">
        <v>733</v>
      </c>
      <c r="B1291" s="49">
        <v>793</v>
      </c>
      <c r="C1291" s="15" t="s">
        <v>173</v>
      </c>
      <c r="D1291" s="15" t="s">
        <v>173</v>
      </c>
      <c r="E1291" s="15" t="s">
        <v>605</v>
      </c>
      <c r="F1291" s="15"/>
      <c r="G1291" s="86">
        <f>G1292+G1294</f>
        <v>0</v>
      </c>
      <c r="H1291" s="69">
        <f t="shared" ref="H1291" si="355">H1292+H1294</f>
        <v>0</v>
      </c>
      <c r="I1291" s="171"/>
      <c r="J1291" s="177"/>
      <c r="K1291" s="177"/>
      <c r="L1291" s="177"/>
      <c r="M1291" s="177"/>
      <c r="N1291" s="177"/>
      <c r="O1291" s="177"/>
      <c r="P1291" s="177"/>
      <c r="Q1291" s="177"/>
      <c r="R1291" s="1"/>
      <c r="S1291" s="1"/>
    </row>
    <row r="1292" spans="1:19" ht="27" hidden="1" customHeight="1">
      <c r="A1292" s="16" t="s">
        <v>96</v>
      </c>
      <c r="B1292" s="49">
        <v>793</v>
      </c>
      <c r="C1292" s="15" t="s">
        <v>173</v>
      </c>
      <c r="D1292" s="15" t="s">
        <v>173</v>
      </c>
      <c r="E1292" s="15" t="s">
        <v>605</v>
      </c>
      <c r="F1292" s="15" t="s">
        <v>348</v>
      </c>
      <c r="G1292" s="86">
        <f>G1293</f>
        <v>0</v>
      </c>
      <c r="H1292" s="8">
        <f>H1293</f>
        <v>0</v>
      </c>
      <c r="I1292" s="172"/>
      <c r="J1292" s="177"/>
      <c r="K1292" s="177"/>
      <c r="L1292" s="177"/>
      <c r="M1292" s="177"/>
      <c r="N1292" s="177"/>
      <c r="O1292" s="177"/>
      <c r="P1292" s="177"/>
      <c r="Q1292" s="177"/>
      <c r="R1292" s="1"/>
      <c r="S1292" s="1"/>
    </row>
    <row r="1293" spans="1:19" ht="18.75" hidden="1" customHeight="1">
      <c r="A1293" s="81" t="s">
        <v>349</v>
      </c>
      <c r="B1293" s="49">
        <v>793</v>
      </c>
      <c r="C1293" s="15" t="s">
        <v>173</v>
      </c>
      <c r="D1293" s="15" t="s">
        <v>173</v>
      </c>
      <c r="E1293" s="15" t="s">
        <v>605</v>
      </c>
      <c r="F1293" s="15" t="s">
        <v>350</v>
      </c>
      <c r="G1293" s="86"/>
      <c r="H1293" s="8"/>
      <c r="I1293" s="172"/>
      <c r="J1293" s="177"/>
      <c r="K1293" s="177"/>
      <c r="L1293" s="177"/>
      <c r="M1293" s="177"/>
      <c r="N1293" s="177"/>
      <c r="O1293" s="177"/>
      <c r="P1293" s="177"/>
      <c r="Q1293" s="177"/>
      <c r="R1293" s="1"/>
      <c r="S1293" s="1"/>
    </row>
    <row r="1294" spans="1:19" ht="30" hidden="1" customHeight="1">
      <c r="A1294" s="81" t="s">
        <v>36</v>
      </c>
      <c r="B1294" s="49">
        <v>793</v>
      </c>
      <c r="C1294" s="15" t="s">
        <v>173</v>
      </c>
      <c r="D1294" s="15" t="s">
        <v>173</v>
      </c>
      <c r="E1294" s="15" t="s">
        <v>605</v>
      </c>
      <c r="F1294" s="15" t="s">
        <v>348</v>
      </c>
      <c r="G1294" s="86">
        <f>G1295</f>
        <v>0</v>
      </c>
      <c r="H1294" s="8">
        <v>0</v>
      </c>
      <c r="I1294" s="172"/>
      <c r="J1294" s="177"/>
      <c r="K1294" s="177"/>
      <c r="L1294" s="177"/>
      <c r="M1294" s="177"/>
      <c r="N1294" s="177"/>
      <c r="O1294" s="177"/>
      <c r="P1294" s="177"/>
      <c r="Q1294" s="177"/>
      <c r="R1294" s="1"/>
      <c r="S1294" s="1"/>
    </row>
    <row r="1295" spans="1:19" ht="30.75" hidden="1" customHeight="1">
      <c r="A1295" s="16" t="s">
        <v>38</v>
      </c>
      <c r="B1295" s="49">
        <v>793</v>
      </c>
      <c r="C1295" s="15" t="s">
        <v>173</v>
      </c>
      <c r="D1295" s="15" t="s">
        <v>173</v>
      </c>
      <c r="E1295" s="15" t="s">
        <v>605</v>
      </c>
      <c r="F1295" s="15" t="s">
        <v>350</v>
      </c>
      <c r="G1295" s="86"/>
      <c r="H1295" s="8"/>
      <c r="I1295" s="172"/>
      <c r="J1295" s="177"/>
      <c r="K1295" s="177"/>
      <c r="L1295" s="177"/>
      <c r="M1295" s="177"/>
      <c r="N1295" s="177"/>
      <c r="O1295" s="177"/>
      <c r="P1295" s="177"/>
      <c r="Q1295" s="177"/>
      <c r="R1295" s="1"/>
      <c r="S1295" s="1"/>
    </row>
    <row r="1296" spans="1:19" s="3" customFormat="1" ht="33.75" hidden="1" customHeight="1">
      <c r="A1296" s="16" t="s">
        <v>504</v>
      </c>
      <c r="B1296" s="49">
        <v>793</v>
      </c>
      <c r="C1296" s="15" t="s">
        <v>173</v>
      </c>
      <c r="D1296" s="15" t="s">
        <v>173</v>
      </c>
      <c r="E1296" s="15" t="s">
        <v>505</v>
      </c>
      <c r="F1296" s="15"/>
      <c r="G1296" s="86">
        <f>G1297</f>
        <v>0</v>
      </c>
      <c r="H1296" s="8">
        <v>0</v>
      </c>
      <c r="I1296" s="172"/>
      <c r="J1296" s="190"/>
      <c r="K1296" s="190"/>
      <c r="L1296" s="190"/>
      <c r="M1296" s="190"/>
      <c r="N1296" s="190"/>
      <c r="O1296" s="190"/>
      <c r="P1296" s="190"/>
      <c r="Q1296" s="190"/>
    </row>
    <row r="1297" spans="1:19" s="3" customFormat="1" ht="38.25" hidden="1" customHeight="1">
      <c r="A1297" s="16" t="s">
        <v>36</v>
      </c>
      <c r="B1297" s="49">
        <v>793</v>
      </c>
      <c r="C1297" s="15" t="s">
        <v>173</v>
      </c>
      <c r="D1297" s="15" t="s">
        <v>173</v>
      </c>
      <c r="E1297" s="15" t="s">
        <v>505</v>
      </c>
      <c r="F1297" s="15" t="s">
        <v>37</v>
      </c>
      <c r="G1297" s="69">
        <f>G1298</f>
        <v>0</v>
      </c>
      <c r="H1297" s="8">
        <v>0</v>
      </c>
      <c r="I1297" s="172"/>
      <c r="J1297" s="190"/>
      <c r="K1297" s="190"/>
      <c r="L1297" s="190"/>
      <c r="M1297" s="190"/>
      <c r="N1297" s="190"/>
      <c r="O1297" s="190"/>
      <c r="P1297" s="190"/>
      <c r="Q1297" s="190"/>
    </row>
    <row r="1298" spans="1:19" s="3" customFormat="1" ht="38.25" hidden="1" customHeight="1">
      <c r="A1298" s="16" t="s">
        <v>38</v>
      </c>
      <c r="B1298" s="49">
        <v>793</v>
      </c>
      <c r="C1298" s="15" t="s">
        <v>173</v>
      </c>
      <c r="D1298" s="15" t="s">
        <v>173</v>
      </c>
      <c r="E1298" s="15" t="s">
        <v>505</v>
      </c>
      <c r="F1298" s="15" t="s">
        <v>39</v>
      </c>
      <c r="G1298" s="69"/>
      <c r="H1298" s="8">
        <v>0</v>
      </c>
      <c r="I1298" s="172"/>
      <c r="J1298" s="190"/>
      <c r="K1298" s="190"/>
      <c r="L1298" s="190"/>
      <c r="M1298" s="190"/>
      <c r="N1298" s="190"/>
      <c r="O1298" s="190"/>
      <c r="P1298" s="190"/>
      <c r="Q1298" s="190"/>
    </row>
    <row r="1299" spans="1:19" ht="85.5" customHeight="1">
      <c r="A1299" s="37" t="s">
        <v>818</v>
      </c>
      <c r="B1299" s="49">
        <v>793</v>
      </c>
      <c r="C1299" s="15" t="s">
        <v>173</v>
      </c>
      <c r="D1299" s="15" t="s">
        <v>173</v>
      </c>
      <c r="E1299" s="15" t="s">
        <v>714</v>
      </c>
      <c r="F1299" s="15"/>
      <c r="G1299" s="69">
        <f>G1300</f>
        <v>675000</v>
      </c>
      <c r="H1299" s="8">
        <v>0</v>
      </c>
      <c r="I1299" s="172"/>
      <c r="J1299" s="177"/>
      <c r="K1299" s="177"/>
      <c r="L1299" s="177"/>
      <c r="M1299" s="177"/>
      <c r="N1299" s="177"/>
      <c r="O1299" s="177"/>
      <c r="P1299" s="177"/>
      <c r="Q1299" s="177"/>
      <c r="R1299" s="1"/>
      <c r="S1299" s="1"/>
    </row>
    <row r="1300" spans="1:19" ht="21" customHeight="1">
      <c r="A1300" s="81" t="s">
        <v>156</v>
      </c>
      <c r="B1300" s="49">
        <v>793</v>
      </c>
      <c r="C1300" s="15" t="s">
        <v>173</v>
      </c>
      <c r="D1300" s="15" t="s">
        <v>173</v>
      </c>
      <c r="E1300" s="15" t="s">
        <v>714</v>
      </c>
      <c r="F1300" s="15" t="s">
        <v>157</v>
      </c>
      <c r="G1300" s="69">
        <f>G1301</f>
        <v>675000</v>
      </c>
      <c r="H1300" s="8">
        <v>0</v>
      </c>
      <c r="I1300" s="172"/>
      <c r="J1300" s="177"/>
      <c r="K1300" s="177"/>
      <c r="L1300" s="177"/>
      <c r="M1300" s="177"/>
      <c r="N1300" s="177"/>
      <c r="O1300" s="177"/>
      <c r="P1300" s="177"/>
      <c r="Q1300" s="177"/>
      <c r="R1300" s="1"/>
      <c r="S1300" s="1"/>
    </row>
    <row r="1301" spans="1:19" ht="20.25" customHeight="1">
      <c r="A1301" s="81" t="s">
        <v>178</v>
      </c>
      <c r="B1301" s="49">
        <v>793</v>
      </c>
      <c r="C1301" s="15" t="s">
        <v>173</v>
      </c>
      <c r="D1301" s="15" t="s">
        <v>173</v>
      </c>
      <c r="E1301" s="15" t="s">
        <v>714</v>
      </c>
      <c r="F1301" s="15" t="s">
        <v>179</v>
      </c>
      <c r="G1301" s="86">
        <f>'прил 5,'!G1636</f>
        <v>675000</v>
      </c>
      <c r="H1301" s="8">
        <v>0</v>
      </c>
      <c r="I1301" s="172"/>
      <c r="J1301" s="177"/>
      <c r="K1301" s="177"/>
      <c r="L1301" s="177"/>
      <c r="M1301" s="177"/>
      <c r="N1301" s="177"/>
      <c r="O1301" s="177"/>
      <c r="P1301" s="177"/>
      <c r="Q1301" s="177"/>
      <c r="R1301" s="1"/>
      <c r="S1301" s="1"/>
    </row>
    <row r="1302" spans="1:19" ht="34.5" customHeight="1">
      <c r="A1302" s="37" t="s">
        <v>1117</v>
      </c>
      <c r="B1302" s="49">
        <v>793</v>
      </c>
      <c r="C1302" s="15" t="s">
        <v>173</v>
      </c>
      <c r="D1302" s="15" t="s">
        <v>173</v>
      </c>
      <c r="E1302" s="15" t="s">
        <v>1116</v>
      </c>
      <c r="F1302" s="15"/>
      <c r="G1302" s="69">
        <f>G1303</f>
        <v>0</v>
      </c>
      <c r="H1302" s="69">
        <f t="shared" ref="H1302:H1303" si="356">H1303</f>
        <v>0</v>
      </c>
      <c r="I1302" s="309"/>
      <c r="J1302" s="68"/>
      <c r="K1302" s="68"/>
      <c r="L1302" s="68"/>
      <c r="M1302" s="68"/>
      <c r="N1302" s="68"/>
      <c r="O1302" s="68"/>
      <c r="P1302" s="68"/>
      <c r="Q1302" s="68"/>
      <c r="R1302" s="1"/>
      <c r="S1302" s="1"/>
    </row>
    <row r="1303" spans="1:19" ht="33.75" customHeight="1">
      <c r="A1303" s="16" t="s">
        <v>36</v>
      </c>
      <c r="B1303" s="49">
        <v>793</v>
      </c>
      <c r="C1303" s="15" t="s">
        <v>173</v>
      </c>
      <c r="D1303" s="15" t="s">
        <v>173</v>
      </c>
      <c r="E1303" s="15" t="s">
        <v>1116</v>
      </c>
      <c r="F1303" s="15" t="s">
        <v>37</v>
      </c>
      <c r="G1303" s="69">
        <f>G1304</f>
        <v>0</v>
      </c>
      <c r="H1303" s="69">
        <f t="shared" si="356"/>
        <v>0</v>
      </c>
      <c r="I1303" s="309"/>
      <c r="J1303" s="68"/>
      <c r="K1303" s="68"/>
      <c r="L1303" s="68"/>
      <c r="M1303" s="68"/>
      <c r="N1303" s="68"/>
      <c r="O1303" s="68"/>
      <c r="P1303" s="68"/>
      <c r="Q1303" s="68"/>
      <c r="R1303" s="1"/>
      <c r="S1303" s="1"/>
    </row>
    <row r="1304" spans="1:19" ht="36.75" customHeight="1">
      <c r="A1304" s="16" t="s">
        <v>38</v>
      </c>
      <c r="B1304" s="49">
        <v>793</v>
      </c>
      <c r="C1304" s="15" t="s">
        <v>173</v>
      </c>
      <c r="D1304" s="15" t="s">
        <v>173</v>
      </c>
      <c r="E1304" s="15" t="s">
        <v>1116</v>
      </c>
      <c r="F1304" s="15" t="s">
        <v>39</v>
      </c>
      <c r="G1304" s="69"/>
      <c r="H1304" s="69"/>
      <c r="I1304" s="309"/>
      <c r="J1304" s="68"/>
      <c r="K1304" s="68"/>
      <c r="L1304" s="68"/>
      <c r="M1304" s="68"/>
      <c r="N1304" s="68"/>
      <c r="O1304" s="68"/>
      <c r="P1304" s="68"/>
      <c r="Q1304" s="68"/>
      <c r="R1304" s="1"/>
      <c r="S1304" s="1"/>
    </row>
    <row r="1305" spans="1:19" ht="67.5" customHeight="1">
      <c r="A1305" s="37" t="s">
        <v>994</v>
      </c>
      <c r="B1305" s="49">
        <v>793</v>
      </c>
      <c r="C1305" s="15" t="s">
        <v>173</v>
      </c>
      <c r="D1305" s="15" t="s">
        <v>173</v>
      </c>
      <c r="E1305" s="15" t="s">
        <v>605</v>
      </c>
      <c r="F1305" s="15"/>
      <c r="G1305" s="69">
        <f>G1306</f>
        <v>1652729.41</v>
      </c>
      <c r="H1305" s="69">
        <f>H1306</f>
        <v>1352631</v>
      </c>
      <c r="I1305" s="172"/>
      <c r="J1305" s="177"/>
      <c r="K1305" s="177"/>
      <c r="L1305" s="177"/>
      <c r="M1305" s="177"/>
      <c r="N1305" s="177"/>
      <c r="O1305" s="177"/>
      <c r="P1305" s="177"/>
      <c r="Q1305" s="177"/>
      <c r="R1305" s="1"/>
      <c r="S1305" s="1"/>
    </row>
    <row r="1306" spans="1:19" ht="44.25" customHeight="1">
      <c r="A1306" s="81" t="s">
        <v>96</v>
      </c>
      <c r="B1306" s="49">
        <v>793</v>
      </c>
      <c r="C1306" s="15" t="s">
        <v>173</v>
      </c>
      <c r="D1306" s="15" t="s">
        <v>173</v>
      </c>
      <c r="E1306" s="15" t="s">
        <v>605</v>
      </c>
      <c r="F1306" s="15" t="s">
        <v>348</v>
      </c>
      <c r="G1306" s="69">
        <f>G1307</f>
        <v>1652729.41</v>
      </c>
      <c r="H1306" s="69">
        <f>H1307</f>
        <v>1352631</v>
      </c>
      <c r="I1306" s="172"/>
      <c r="J1306" s="177"/>
      <c r="K1306" s="177"/>
      <c r="L1306" s="177"/>
      <c r="M1306" s="177"/>
      <c r="N1306" s="177"/>
      <c r="O1306" s="177"/>
      <c r="P1306" s="177"/>
      <c r="Q1306" s="177"/>
      <c r="R1306" s="1"/>
      <c r="S1306" s="1"/>
    </row>
    <row r="1307" spans="1:19" ht="20.25" customHeight="1">
      <c r="A1307" s="81" t="s">
        <v>349</v>
      </c>
      <c r="B1307" s="49">
        <v>793</v>
      </c>
      <c r="C1307" s="15" t="s">
        <v>173</v>
      </c>
      <c r="D1307" s="15" t="s">
        <v>173</v>
      </c>
      <c r="E1307" s="15" t="s">
        <v>605</v>
      </c>
      <c r="F1307" s="15" t="s">
        <v>350</v>
      </c>
      <c r="G1307" s="86">
        <f>'прил 5,'!G1633</f>
        <v>1652729.41</v>
      </c>
      <c r="H1307" s="86">
        <f>'прил 5,'!H1633</f>
        <v>1352631</v>
      </c>
      <c r="I1307" s="172"/>
      <c r="J1307" s="177"/>
      <c r="K1307" s="177"/>
      <c r="L1307" s="177"/>
      <c r="M1307" s="177"/>
      <c r="N1307" s="177"/>
      <c r="O1307" s="177"/>
      <c r="P1307" s="177"/>
      <c r="Q1307" s="177"/>
      <c r="R1307" s="1"/>
      <c r="S1307" s="1"/>
    </row>
    <row r="1308" spans="1:19" ht="57" hidden="1" customHeight="1">
      <c r="A1308" s="37" t="s">
        <v>868</v>
      </c>
      <c r="B1308" s="49">
        <v>795</v>
      </c>
      <c r="C1308" s="15" t="s">
        <v>173</v>
      </c>
      <c r="D1308" s="15" t="s">
        <v>173</v>
      </c>
      <c r="E1308" s="15" t="s">
        <v>867</v>
      </c>
      <c r="F1308" s="15"/>
      <c r="G1308" s="86">
        <f>G1309</f>
        <v>0</v>
      </c>
      <c r="H1308" s="86">
        <f t="shared" ref="H1308" si="357">H1309</f>
        <v>0</v>
      </c>
      <c r="I1308" s="1"/>
    </row>
    <row r="1309" spans="1:19" ht="27" hidden="1" customHeight="1">
      <c r="A1309" s="81" t="s">
        <v>63</v>
      </c>
      <c r="B1309" s="49">
        <v>795</v>
      </c>
      <c r="C1309" s="15" t="s">
        <v>173</v>
      </c>
      <c r="D1309" s="15" t="s">
        <v>173</v>
      </c>
      <c r="E1309" s="15" t="s">
        <v>867</v>
      </c>
      <c r="F1309" s="15" t="s">
        <v>64</v>
      </c>
      <c r="G1309" s="86">
        <f>G1310</f>
        <v>0</v>
      </c>
      <c r="H1309" s="8">
        <f>H1310</f>
        <v>0</v>
      </c>
      <c r="I1309" s="1"/>
    </row>
    <row r="1310" spans="1:19" ht="18.75" hidden="1" customHeight="1">
      <c r="A1310" s="81" t="s">
        <v>180</v>
      </c>
      <c r="B1310" s="49">
        <v>795</v>
      </c>
      <c r="C1310" s="15" t="s">
        <v>173</v>
      </c>
      <c r="D1310" s="15" t="s">
        <v>173</v>
      </c>
      <c r="E1310" s="15" t="s">
        <v>867</v>
      </c>
      <c r="F1310" s="15" t="s">
        <v>181</v>
      </c>
      <c r="G1310" s="69"/>
      <c r="H1310" s="69">
        <v>0</v>
      </c>
      <c r="I1310" s="1"/>
    </row>
    <row r="1311" spans="1:19" ht="34.5" customHeight="1">
      <c r="A1311" s="16" t="s">
        <v>887</v>
      </c>
      <c r="B1311" s="14">
        <v>793</v>
      </c>
      <c r="C1311" s="15" t="s">
        <v>173</v>
      </c>
      <c r="D1311" s="15" t="s">
        <v>28</v>
      </c>
      <c r="E1311" s="15" t="s">
        <v>888</v>
      </c>
      <c r="F1311" s="15"/>
      <c r="G1311" s="69">
        <f t="shared" ref="G1311:H1312" si="358">G1312</f>
        <v>3379982.6199999996</v>
      </c>
      <c r="H1311" s="69">
        <f t="shared" si="358"/>
        <v>3213915.54</v>
      </c>
      <c r="I1311" s="1"/>
      <c r="O1311" s="1"/>
      <c r="P1311" s="1"/>
      <c r="Q1311" s="1"/>
      <c r="R1311" s="1"/>
      <c r="S1311" s="1"/>
    </row>
    <row r="1312" spans="1:19" ht="34.5" customHeight="1">
      <c r="A1312" s="16" t="s">
        <v>36</v>
      </c>
      <c r="B1312" s="14">
        <v>793</v>
      </c>
      <c r="C1312" s="15" t="s">
        <v>173</v>
      </c>
      <c r="D1312" s="15" t="s">
        <v>28</v>
      </c>
      <c r="E1312" s="15" t="s">
        <v>888</v>
      </c>
      <c r="F1312" s="15" t="s">
        <v>37</v>
      </c>
      <c r="G1312" s="69">
        <f t="shared" si="358"/>
        <v>3379982.6199999996</v>
      </c>
      <c r="H1312" s="69">
        <f t="shared" si="358"/>
        <v>3213915.54</v>
      </c>
      <c r="I1312" s="1"/>
      <c r="O1312" s="1"/>
      <c r="P1312" s="1"/>
      <c r="Q1312" s="1"/>
      <c r="R1312" s="1"/>
      <c r="S1312" s="1"/>
    </row>
    <row r="1313" spans="1:19" ht="34.5" customHeight="1">
      <c r="A1313" s="16" t="s">
        <v>38</v>
      </c>
      <c r="B1313" s="14">
        <v>793</v>
      </c>
      <c r="C1313" s="15" t="s">
        <v>173</v>
      </c>
      <c r="D1313" s="15" t="s">
        <v>28</v>
      </c>
      <c r="E1313" s="15" t="s">
        <v>888</v>
      </c>
      <c r="F1313" s="15" t="s">
        <v>39</v>
      </c>
      <c r="G1313" s="69">
        <f>'прил 5,'!G1561</f>
        <v>3379982.6199999996</v>
      </c>
      <c r="H1313" s="69">
        <f>'прил 5,'!H1563</f>
        <v>3213915.54</v>
      </c>
      <c r="I1313" s="1"/>
      <c r="O1313" s="1"/>
      <c r="P1313" s="1"/>
      <c r="Q1313" s="1"/>
      <c r="R1313" s="1"/>
      <c r="S1313" s="1"/>
    </row>
    <row r="1314" spans="1:19" s="233" customFormat="1" ht="31.5" customHeight="1">
      <c r="A1314" s="34" t="s">
        <v>481</v>
      </c>
      <c r="B1314" s="36" t="s">
        <v>94</v>
      </c>
      <c r="C1314" s="36" t="s">
        <v>69</v>
      </c>
      <c r="D1314" s="36" t="s">
        <v>19</v>
      </c>
      <c r="E1314" s="36" t="s">
        <v>286</v>
      </c>
      <c r="F1314" s="74"/>
      <c r="G1314" s="70">
        <f>G1315+G1318+G1321+G1327+G1336+G1330+G1333+G1324</f>
        <v>29985812.130000003</v>
      </c>
      <c r="H1314" s="70">
        <f>H1315+H1318+H1321+H1327+H1336+H1330+H1333+H1324</f>
        <v>24364401.969999999</v>
      </c>
      <c r="I1314" s="230" t="s">
        <v>462</v>
      </c>
      <c r="O1314" s="169"/>
      <c r="P1314" s="230"/>
      <c r="Q1314" s="230"/>
      <c r="R1314" s="230"/>
      <c r="S1314" s="230"/>
    </row>
    <row r="1315" spans="1:19" s="43" customFormat="1">
      <c r="A1315" s="16" t="s">
        <v>147</v>
      </c>
      <c r="B1315" s="15" t="s">
        <v>94</v>
      </c>
      <c r="C1315" s="15" t="s">
        <v>69</v>
      </c>
      <c r="D1315" s="15" t="s">
        <v>19</v>
      </c>
      <c r="E1315" s="15" t="s">
        <v>290</v>
      </c>
      <c r="F1315" s="39"/>
      <c r="G1315" s="86">
        <f t="shared" ref="G1315:H1316" si="359">G1316</f>
        <v>437050.85</v>
      </c>
      <c r="H1315" s="86">
        <f t="shared" si="359"/>
        <v>334273.63</v>
      </c>
      <c r="I1315" s="106" t="s">
        <v>485</v>
      </c>
      <c r="O1315" s="106"/>
      <c r="P1315" s="106"/>
      <c r="Q1315" s="106"/>
      <c r="R1315" s="106"/>
      <c r="S1315" s="106"/>
    </row>
    <row r="1316" spans="1:19" s="43" customFormat="1">
      <c r="A1316" s="16" t="s">
        <v>148</v>
      </c>
      <c r="B1316" s="15" t="s">
        <v>94</v>
      </c>
      <c r="C1316" s="15" t="s">
        <v>69</v>
      </c>
      <c r="D1316" s="15" t="s">
        <v>19</v>
      </c>
      <c r="E1316" s="15" t="s">
        <v>290</v>
      </c>
      <c r="F1316" s="15" t="s">
        <v>149</v>
      </c>
      <c r="G1316" s="86">
        <f t="shared" si="359"/>
        <v>437050.85</v>
      </c>
      <c r="H1316" s="86">
        <f t="shared" si="359"/>
        <v>334273.63</v>
      </c>
      <c r="I1316" s="106" t="s">
        <v>486</v>
      </c>
      <c r="O1316" s="106"/>
      <c r="P1316" s="106"/>
      <c r="Q1316" s="106"/>
      <c r="R1316" s="106"/>
      <c r="S1316" s="106"/>
    </row>
    <row r="1317" spans="1:19" s="43" customFormat="1">
      <c r="A1317" s="16" t="s">
        <v>354</v>
      </c>
      <c r="B1317" s="15" t="s">
        <v>94</v>
      </c>
      <c r="C1317" s="15" t="s">
        <v>69</v>
      </c>
      <c r="D1317" s="15" t="s">
        <v>19</v>
      </c>
      <c r="E1317" s="15" t="s">
        <v>290</v>
      </c>
      <c r="F1317" s="15" t="s">
        <v>355</v>
      </c>
      <c r="G1317" s="86">
        <f>'прил 5,'!G1005+'прил 5,'!G1699+'прил 5,'!G1090</f>
        <v>437050.85</v>
      </c>
      <c r="H1317" s="86">
        <f>'прил 5,'!H1005+'прил 5,'!H1699+'прил 5,'!H1090</f>
        <v>334273.63</v>
      </c>
      <c r="I1317" s="106" t="s">
        <v>487</v>
      </c>
      <c r="O1317" s="106"/>
      <c r="P1317" s="106"/>
      <c r="Q1317" s="106"/>
      <c r="R1317" s="106"/>
      <c r="S1317" s="106"/>
    </row>
    <row r="1318" spans="1:19" s="28" customFormat="1" ht="54" hidden="1" customHeight="1">
      <c r="A1318" s="16" t="s">
        <v>356</v>
      </c>
      <c r="B1318" s="14">
        <v>793</v>
      </c>
      <c r="C1318" s="15" t="s">
        <v>69</v>
      </c>
      <c r="D1318" s="15" t="s">
        <v>70</v>
      </c>
      <c r="E1318" s="15" t="s">
        <v>374</v>
      </c>
      <c r="F1318" s="39"/>
      <c r="G1318" s="86">
        <f t="shared" ref="G1318:H1319" si="360">G1319</f>
        <v>0</v>
      </c>
      <c r="H1318" s="86">
        <f t="shared" si="360"/>
        <v>0</v>
      </c>
      <c r="I1318" s="106" t="s">
        <v>488</v>
      </c>
      <c r="O1318" s="106"/>
      <c r="P1318" s="106"/>
      <c r="Q1318" s="106"/>
      <c r="R1318" s="106"/>
      <c r="S1318" s="106"/>
    </row>
    <row r="1319" spans="1:19" s="28" customFormat="1" ht="27" hidden="1" customHeight="1">
      <c r="A1319" s="16" t="s">
        <v>63</v>
      </c>
      <c r="B1319" s="14">
        <v>793</v>
      </c>
      <c r="C1319" s="15" t="s">
        <v>69</v>
      </c>
      <c r="D1319" s="15" t="s">
        <v>70</v>
      </c>
      <c r="E1319" s="15" t="s">
        <v>374</v>
      </c>
      <c r="F1319" s="15" t="s">
        <v>64</v>
      </c>
      <c r="G1319" s="86">
        <f t="shared" si="360"/>
        <v>0</v>
      </c>
      <c r="H1319" s="86">
        <f t="shared" si="360"/>
        <v>0</v>
      </c>
      <c r="I1319" s="106">
        <v>10872600</v>
      </c>
      <c r="O1319" s="106"/>
      <c r="P1319" s="106"/>
      <c r="Q1319" s="106"/>
      <c r="R1319" s="106"/>
      <c r="S1319" s="106"/>
    </row>
    <row r="1320" spans="1:19" ht="38.25" hidden="1">
      <c r="A1320" s="16" t="s">
        <v>340</v>
      </c>
      <c r="B1320" s="14">
        <v>793</v>
      </c>
      <c r="C1320" s="15" t="s">
        <v>69</v>
      </c>
      <c r="D1320" s="15" t="s">
        <v>70</v>
      </c>
      <c r="E1320" s="15" t="s">
        <v>374</v>
      </c>
      <c r="F1320" s="15" t="s">
        <v>341</v>
      </c>
      <c r="G1320" s="86">
        <f>'прил 5,'!G1729</f>
        <v>0</v>
      </c>
      <c r="H1320" s="86">
        <f>'прил 5,'!H1729</f>
        <v>0</v>
      </c>
      <c r="I1320" s="2">
        <v>200000</v>
      </c>
    </row>
    <row r="1321" spans="1:19" ht="25.5" customHeight="1">
      <c r="A1321" s="16" t="s">
        <v>657</v>
      </c>
      <c r="B1321" s="14">
        <v>793</v>
      </c>
      <c r="C1321" s="15" t="s">
        <v>69</v>
      </c>
      <c r="D1321" s="15" t="s">
        <v>70</v>
      </c>
      <c r="E1321" s="15" t="s">
        <v>680</v>
      </c>
      <c r="F1321" s="15"/>
      <c r="G1321" s="86">
        <f t="shared" ref="G1321:H1322" si="361">G1322</f>
        <v>280789</v>
      </c>
      <c r="H1321" s="86">
        <f t="shared" si="361"/>
        <v>253710.24</v>
      </c>
      <c r="I1321" s="2">
        <f>I1314+I1315+I1316+I1317+I1318+I1319</f>
        <v>16407672</v>
      </c>
    </row>
    <row r="1322" spans="1:19" ht="25.5" customHeight="1">
      <c r="A1322" s="16" t="s">
        <v>358</v>
      </c>
      <c r="B1322" s="14">
        <v>793</v>
      </c>
      <c r="C1322" s="15" t="s">
        <v>69</v>
      </c>
      <c r="D1322" s="15" t="s">
        <v>70</v>
      </c>
      <c r="E1322" s="15" t="s">
        <v>680</v>
      </c>
      <c r="F1322" s="15" t="s">
        <v>149</v>
      </c>
      <c r="G1322" s="86">
        <f t="shared" si="361"/>
        <v>280789</v>
      </c>
      <c r="H1322" s="86">
        <f t="shared" si="361"/>
        <v>253710.24</v>
      </c>
    </row>
    <row r="1323" spans="1:19" ht="25.5" customHeight="1">
      <c r="A1323" s="16" t="s">
        <v>666</v>
      </c>
      <c r="B1323" s="14">
        <v>793</v>
      </c>
      <c r="C1323" s="15" t="s">
        <v>69</v>
      </c>
      <c r="D1323" s="15" t="s">
        <v>70</v>
      </c>
      <c r="E1323" s="15" t="s">
        <v>680</v>
      </c>
      <c r="F1323" s="15" t="s">
        <v>665</v>
      </c>
      <c r="G1323" s="86">
        <f>'прил 5,'!G1732</f>
        <v>280789</v>
      </c>
      <c r="H1323" s="86">
        <f>'прил 5,'!H1732</f>
        <v>253710.24</v>
      </c>
    </row>
    <row r="1324" spans="1:19" s="18" customFormat="1">
      <c r="A1324" s="16" t="s">
        <v>1037</v>
      </c>
      <c r="B1324" s="14">
        <v>793</v>
      </c>
      <c r="C1324" s="15" t="s">
        <v>69</v>
      </c>
      <c r="D1324" s="15" t="s">
        <v>70</v>
      </c>
      <c r="E1324" s="15" t="s">
        <v>1036</v>
      </c>
      <c r="F1324" s="15"/>
      <c r="G1324" s="69">
        <f t="shared" ref="G1324:H1324" si="362">G1325</f>
        <v>1763974.1</v>
      </c>
      <c r="H1324" s="69">
        <f t="shared" si="362"/>
        <v>909000</v>
      </c>
      <c r="I1324" s="171"/>
      <c r="J1324" s="191"/>
      <c r="K1324" s="191"/>
      <c r="L1324" s="191"/>
      <c r="M1324" s="191"/>
      <c r="N1324" s="191"/>
      <c r="O1324" s="191"/>
      <c r="P1324" s="191"/>
      <c r="Q1324" s="191"/>
    </row>
    <row r="1325" spans="1:19" s="18" customFormat="1" ht="10.5" customHeight="1">
      <c r="A1325" s="127" t="s">
        <v>353</v>
      </c>
      <c r="B1325" s="14">
        <v>793</v>
      </c>
      <c r="C1325" s="15" t="s">
        <v>69</v>
      </c>
      <c r="D1325" s="15" t="s">
        <v>70</v>
      </c>
      <c r="E1325" s="15" t="s">
        <v>1036</v>
      </c>
      <c r="F1325" s="15" t="s">
        <v>149</v>
      </c>
      <c r="G1325" s="69">
        <v>1763974.1</v>
      </c>
      <c r="H1325" s="69">
        <f>H1326</f>
        <v>909000</v>
      </c>
      <c r="I1325" s="171"/>
      <c r="J1325" s="191"/>
      <c r="K1325" s="191"/>
      <c r="L1325" s="191"/>
      <c r="M1325" s="191"/>
      <c r="N1325" s="191"/>
      <c r="O1325" s="191"/>
      <c r="P1325" s="191"/>
      <c r="Q1325" s="191"/>
    </row>
    <row r="1326" spans="1:19" s="18" customFormat="1" ht="29.25" customHeight="1">
      <c r="A1326" s="16" t="s">
        <v>150</v>
      </c>
      <c r="B1326" s="14">
        <v>793</v>
      </c>
      <c r="C1326" s="15" t="s">
        <v>69</v>
      </c>
      <c r="D1326" s="15" t="s">
        <v>70</v>
      </c>
      <c r="E1326" s="15" t="s">
        <v>1036</v>
      </c>
      <c r="F1326" s="15" t="s">
        <v>151</v>
      </c>
      <c r="G1326" s="69">
        <f>G1325</f>
        <v>1763974.1</v>
      </c>
      <c r="H1326" s="69">
        <v>909000</v>
      </c>
      <c r="I1326" s="171"/>
      <c r="J1326" s="191"/>
      <c r="K1326" s="191"/>
      <c r="L1326" s="191"/>
      <c r="M1326" s="191"/>
      <c r="N1326" s="191"/>
      <c r="O1326" s="191"/>
      <c r="P1326" s="191"/>
      <c r="Q1326" s="191"/>
    </row>
    <row r="1327" spans="1:19" ht="57" customHeight="1">
      <c r="A1327" s="79" t="s">
        <v>288</v>
      </c>
      <c r="B1327" s="14">
        <v>793</v>
      </c>
      <c r="C1327" s="15" t="s">
        <v>69</v>
      </c>
      <c r="D1327" s="15" t="s">
        <v>54</v>
      </c>
      <c r="E1327" s="15" t="s">
        <v>287</v>
      </c>
      <c r="F1327" s="15"/>
      <c r="G1327" s="86">
        <f>G1328</f>
        <v>5925317.3300000001</v>
      </c>
      <c r="H1327" s="86">
        <f t="shared" ref="H1327" si="363">H1328</f>
        <v>5925317.3300000001</v>
      </c>
    </row>
    <row r="1328" spans="1:19" ht="25.5">
      <c r="A1328" s="16" t="s">
        <v>347</v>
      </c>
      <c r="B1328" s="14">
        <v>793</v>
      </c>
      <c r="C1328" s="15" t="s">
        <v>69</v>
      </c>
      <c r="D1328" s="15" t="s">
        <v>54</v>
      </c>
      <c r="E1328" s="15" t="s">
        <v>287</v>
      </c>
      <c r="F1328" s="15" t="s">
        <v>348</v>
      </c>
      <c r="G1328" s="86">
        <f>G1329</f>
        <v>5925317.3300000001</v>
      </c>
      <c r="H1328" s="86">
        <f>H1329</f>
        <v>5925317.3300000001</v>
      </c>
      <c r="I1328" s="2">
        <v>78000</v>
      </c>
    </row>
    <row r="1329" spans="1:19">
      <c r="A1329" s="16" t="s">
        <v>349</v>
      </c>
      <c r="B1329" s="14">
        <v>793</v>
      </c>
      <c r="C1329" s="15" t="s">
        <v>69</v>
      </c>
      <c r="D1329" s="15" t="s">
        <v>54</v>
      </c>
      <c r="E1329" s="15" t="s">
        <v>287</v>
      </c>
      <c r="F1329" s="15" t="s">
        <v>350</v>
      </c>
      <c r="G1329" s="86">
        <f>'прил 5,'!G1755</f>
        <v>5925317.3300000001</v>
      </c>
      <c r="H1329" s="86">
        <f>'прил 5,'!H1755</f>
        <v>5925317.3300000001</v>
      </c>
      <c r="I1329" s="2">
        <v>390000</v>
      </c>
    </row>
    <row r="1330" spans="1:19" ht="51">
      <c r="A1330" s="79" t="s">
        <v>289</v>
      </c>
      <c r="B1330" s="14">
        <v>793</v>
      </c>
      <c r="C1330" s="15" t="s">
        <v>69</v>
      </c>
      <c r="D1330" s="15" t="s">
        <v>54</v>
      </c>
      <c r="E1330" s="15" t="s">
        <v>372</v>
      </c>
      <c r="F1330" s="15"/>
      <c r="G1330" s="86">
        <f t="shared" ref="G1330:H1331" si="364">G1331</f>
        <v>14441810.85</v>
      </c>
      <c r="H1330" s="86">
        <f t="shared" si="364"/>
        <v>14441810.77</v>
      </c>
      <c r="I1330" s="2">
        <v>189200</v>
      </c>
    </row>
    <row r="1331" spans="1:19" ht="25.5">
      <c r="A1331" s="16" t="s">
        <v>347</v>
      </c>
      <c r="B1331" s="14">
        <v>793</v>
      </c>
      <c r="C1331" s="15" t="s">
        <v>69</v>
      </c>
      <c r="D1331" s="15" t="s">
        <v>54</v>
      </c>
      <c r="E1331" s="15" t="s">
        <v>372</v>
      </c>
      <c r="F1331" s="15" t="s">
        <v>348</v>
      </c>
      <c r="G1331" s="86">
        <f t="shared" si="364"/>
        <v>14441810.85</v>
      </c>
      <c r="H1331" s="86">
        <f t="shared" si="364"/>
        <v>14441810.77</v>
      </c>
      <c r="I1331" s="2">
        <v>270072</v>
      </c>
    </row>
    <row r="1332" spans="1:19">
      <c r="A1332" s="16" t="s">
        <v>349</v>
      </c>
      <c r="B1332" s="14">
        <v>793</v>
      </c>
      <c r="C1332" s="15" t="s">
        <v>69</v>
      </c>
      <c r="D1332" s="15" t="s">
        <v>54</v>
      </c>
      <c r="E1332" s="15" t="s">
        <v>372</v>
      </c>
      <c r="F1332" s="15" t="s">
        <v>350</v>
      </c>
      <c r="G1332" s="86">
        <f>'прил 5,'!G1758</f>
        <v>14441810.85</v>
      </c>
      <c r="H1332" s="86">
        <f>'прил 5,'!H1758</f>
        <v>14441810.77</v>
      </c>
      <c r="I1332" s="2">
        <v>4607800</v>
      </c>
    </row>
    <row r="1333" spans="1:19" ht="75.75" customHeight="1">
      <c r="A1333" s="138" t="s">
        <v>1030</v>
      </c>
      <c r="B1333" s="14">
        <v>793</v>
      </c>
      <c r="C1333" s="15" t="s">
        <v>69</v>
      </c>
      <c r="D1333" s="15" t="s">
        <v>54</v>
      </c>
      <c r="E1333" s="15" t="s">
        <v>1022</v>
      </c>
      <c r="F1333" s="15"/>
      <c r="G1333" s="69">
        <f t="shared" ref="G1333:H1334" si="365">G1334</f>
        <v>6948870</v>
      </c>
      <c r="H1333" s="69">
        <f t="shared" si="365"/>
        <v>2316290</v>
      </c>
      <c r="I1333" s="171"/>
      <c r="J1333" s="177"/>
      <c r="K1333" s="177"/>
      <c r="L1333" s="177"/>
      <c r="M1333" s="177"/>
      <c r="N1333" s="177"/>
      <c r="O1333" s="177"/>
      <c r="P1333" s="177"/>
      <c r="Q1333" s="177"/>
      <c r="R1333" s="1"/>
      <c r="S1333" s="1"/>
    </row>
    <row r="1334" spans="1:19" ht="25.5">
      <c r="A1334" s="16" t="s">
        <v>347</v>
      </c>
      <c r="B1334" s="14">
        <v>793</v>
      </c>
      <c r="C1334" s="15" t="s">
        <v>69</v>
      </c>
      <c r="D1334" s="15" t="s">
        <v>54</v>
      </c>
      <c r="E1334" s="15" t="s">
        <v>1022</v>
      </c>
      <c r="F1334" s="15" t="s">
        <v>348</v>
      </c>
      <c r="G1334" s="69">
        <f t="shared" si="365"/>
        <v>6948870</v>
      </c>
      <c r="H1334" s="69">
        <f t="shared" si="365"/>
        <v>2316290</v>
      </c>
      <c r="I1334" s="171"/>
      <c r="J1334" s="177"/>
      <c r="K1334" s="177"/>
      <c r="L1334" s="177"/>
      <c r="M1334" s="177"/>
      <c r="N1334" s="177"/>
      <c r="O1334" s="177"/>
      <c r="P1334" s="177"/>
      <c r="Q1334" s="177"/>
      <c r="R1334" s="1"/>
      <c r="S1334" s="1"/>
    </row>
    <row r="1335" spans="1:19">
      <c r="A1335" s="16" t="s">
        <v>349</v>
      </c>
      <c r="B1335" s="14">
        <v>793</v>
      </c>
      <c r="C1335" s="15" t="s">
        <v>69</v>
      </c>
      <c r="D1335" s="15" t="s">
        <v>54</v>
      </c>
      <c r="E1335" s="15" t="s">
        <v>1022</v>
      </c>
      <c r="F1335" s="15" t="s">
        <v>350</v>
      </c>
      <c r="G1335" s="69">
        <f>'прил 5,'!G1761</f>
        <v>6948870</v>
      </c>
      <c r="H1335" s="69">
        <f>'прил 5,'!H1761</f>
        <v>2316290</v>
      </c>
      <c r="I1335" s="171"/>
      <c r="J1335" s="177"/>
      <c r="K1335" s="177"/>
      <c r="L1335" s="177"/>
      <c r="M1335" s="177"/>
      <c r="N1335" s="177"/>
      <c r="O1335" s="177"/>
      <c r="P1335" s="177"/>
      <c r="Q1335" s="177"/>
      <c r="R1335" s="1"/>
      <c r="S1335" s="1"/>
    </row>
    <row r="1336" spans="1:19" s="18" customFormat="1" ht="25.5">
      <c r="A1336" s="16" t="s">
        <v>359</v>
      </c>
      <c r="B1336" s="14">
        <v>793</v>
      </c>
      <c r="C1336" s="15" t="s">
        <v>69</v>
      </c>
      <c r="D1336" s="15" t="s">
        <v>54</v>
      </c>
      <c r="E1336" s="15" t="s">
        <v>291</v>
      </c>
      <c r="F1336" s="15"/>
      <c r="G1336" s="86">
        <f t="shared" ref="G1336:H1337" si="366">G1337</f>
        <v>188000</v>
      </c>
      <c r="H1336" s="86">
        <f t="shared" si="366"/>
        <v>184000</v>
      </c>
      <c r="I1336" s="17">
        <v>10872600</v>
      </c>
      <c r="O1336" s="17"/>
      <c r="P1336" s="17"/>
      <c r="Q1336" s="17"/>
      <c r="R1336" s="17"/>
      <c r="S1336" s="17"/>
    </row>
    <row r="1337" spans="1:19" s="18" customFormat="1" ht="25.5">
      <c r="A1337" s="16" t="s">
        <v>357</v>
      </c>
      <c r="B1337" s="14">
        <v>793</v>
      </c>
      <c r="C1337" s="15" t="s">
        <v>69</v>
      </c>
      <c r="D1337" s="15" t="s">
        <v>54</v>
      </c>
      <c r="E1337" s="15" t="s">
        <v>291</v>
      </c>
      <c r="F1337" s="15" t="s">
        <v>149</v>
      </c>
      <c r="G1337" s="86">
        <f t="shared" si="366"/>
        <v>188000</v>
      </c>
      <c r="H1337" s="86">
        <f t="shared" si="366"/>
        <v>184000</v>
      </c>
      <c r="I1337" s="17">
        <v>200000</v>
      </c>
      <c r="O1337" s="17"/>
      <c r="P1337" s="17"/>
      <c r="Q1337" s="17"/>
      <c r="R1337" s="17"/>
      <c r="S1337" s="17"/>
    </row>
    <row r="1338" spans="1:19" s="18" customFormat="1">
      <c r="A1338" s="16" t="s">
        <v>354</v>
      </c>
      <c r="B1338" s="14">
        <v>793</v>
      </c>
      <c r="C1338" s="15" t="s">
        <v>69</v>
      </c>
      <c r="D1338" s="15" t="s">
        <v>54</v>
      </c>
      <c r="E1338" s="15" t="s">
        <v>291</v>
      </c>
      <c r="F1338" s="15" t="s">
        <v>355</v>
      </c>
      <c r="G1338" s="86">
        <f>'прил 5,'!G1764</f>
        <v>188000</v>
      </c>
      <c r="H1338" s="86">
        <f>'прил 5,'!H1764</f>
        <v>184000</v>
      </c>
      <c r="I1338" s="17">
        <f>SUM(I1328:I1337)</f>
        <v>16607672</v>
      </c>
      <c r="O1338" s="17"/>
      <c r="P1338" s="17"/>
      <c r="Q1338" s="17"/>
      <c r="R1338" s="17"/>
      <c r="S1338" s="17"/>
    </row>
    <row r="1339" spans="1:19" s="22" customFormat="1" ht="47.25" customHeight="1">
      <c r="A1339" s="34" t="s">
        <v>455</v>
      </c>
      <c r="B1339" s="35">
        <v>793</v>
      </c>
      <c r="C1339" s="36" t="s">
        <v>54</v>
      </c>
      <c r="D1339" s="36" t="s">
        <v>123</v>
      </c>
      <c r="E1339" s="36" t="s">
        <v>454</v>
      </c>
      <c r="F1339" s="36"/>
      <c r="G1339" s="70">
        <f>G1346+G1349</f>
        <v>386370</v>
      </c>
      <c r="H1339" s="70">
        <f>H1346+H1349</f>
        <v>386370</v>
      </c>
      <c r="I1339" s="21">
        <v>343551</v>
      </c>
      <c r="O1339" s="21"/>
      <c r="P1339" s="21"/>
      <c r="Q1339" s="21"/>
      <c r="R1339" s="21"/>
      <c r="S1339" s="21"/>
    </row>
    <row r="1340" spans="1:19" ht="91.5" hidden="1" customHeight="1">
      <c r="A1340" s="16" t="s">
        <v>607</v>
      </c>
      <c r="B1340" s="15" t="s">
        <v>94</v>
      </c>
      <c r="C1340" s="15" t="s">
        <v>26</v>
      </c>
      <c r="D1340" s="15" t="s">
        <v>70</v>
      </c>
      <c r="E1340" s="15" t="s">
        <v>606</v>
      </c>
      <c r="F1340" s="15"/>
      <c r="G1340" s="69">
        <f>G1341</f>
        <v>0</v>
      </c>
      <c r="H1340" s="69">
        <f t="shared" ref="H1340:H1341" si="367">H1341</f>
        <v>0</v>
      </c>
      <c r="I1340" s="1"/>
    </row>
    <row r="1341" spans="1:19" ht="31.5" hidden="1" customHeight="1">
      <c r="A1341" s="16" t="s">
        <v>30</v>
      </c>
      <c r="B1341" s="15" t="s">
        <v>94</v>
      </c>
      <c r="C1341" s="15" t="s">
        <v>26</v>
      </c>
      <c r="D1341" s="15" t="s">
        <v>70</v>
      </c>
      <c r="E1341" s="15" t="s">
        <v>606</v>
      </c>
      <c r="F1341" s="15" t="s">
        <v>31</v>
      </c>
      <c r="G1341" s="69">
        <f>G1342</f>
        <v>0</v>
      </c>
      <c r="H1341" s="69">
        <f t="shared" si="367"/>
        <v>0</v>
      </c>
      <c r="I1341" s="1"/>
    </row>
    <row r="1342" spans="1:19" ht="17.25" hidden="1" customHeight="1">
      <c r="A1342" s="16" t="s">
        <v>32</v>
      </c>
      <c r="B1342" s="15" t="s">
        <v>94</v>
      </c>
      <c r="C1342" s="15" t="s">
        <v>26</v>
      </c>
      <c r="D1342" s="15" t="s">
        <v>70</v>
      </c>
      <c r="E1342" s="15" t="s">
        <v>606</v>
      </c>
      <c r="F1342" s="15" t="s">
        <v>33</v>
      </c>
      <c r="G1342" s="69">
        <f>'прил 5,'!G860</f>
        <v>0</v>
      </c>
      <c r="H1342" s="100"/>
      <c r="I1342" s="1"/>
    </row>
    <row r="1343" spans="1:19" s="18" customFormat="1" ht="52.5" hidden="1" customHeight="1">
      <c r="A1343" s="16" t="s">
        <v>737</v>
      </c>
      <c r="B1343" s="15" t="s">
        <v>94</v>
      </c>
      <c r="C1343" s="15" t="s">
        <v>26</v>
      </c>
      <c r="D1343" s="15" t="s">
        <v>28</v>
      </c>
      <c r="E1343" s="15" t="s">
        <v>738</v>
      </c>
      <c r="F1343" s="15"/>
      <c r="G1343" s="69">
        <f>G1344</f>
        <v>0</v>
      </c>
      <c r="H1343" s="69">
        <f t="shared" ref="H1343:H1344" si="368">H1344</f>
        <v>0</v>
      </c>
      <c r="O1343" s="17"/>
      <c r="P1343" s="17"/>
      <c r="Q1343" s="17"/>
      <c r="R1343" s="17"/>
      <c r="S1343" s="17"/>
    </row>
    <row r="1344" spans="1:19" s="18" customFormat="1" ht="25.5" hidden="1">
      <c r="A1344" s="16" t="s">
        <v>96</v>
      </c>
      <c r="B1344" s="15" t="s">
        <v>94</v>
      </c>
      <c r="C1344" s="15" t="s">
        <v>26</v>
      </c>
      <c r="D1344" s="15" t="s">
        <v>28</v>
      </c>
      <c r="E1344" s="15" t="s">
        <v>738</v>
      </c>
      <c r="F1344" s="15" t="s">
        <v>348</v>
      </c>
      <c r="G1344" s="69">
        <f>G1345</f>
        <v>0</v>
      </c>
      <c r="H1344" s="69">
        <f t="shared" si="368"/>
        <v>0</v>
      </c>
      <c r="O1344" s="17"/>
      <c r="P1344" s="17"/>
      <c r="Q1344" s="17"/>
      <c r="R1344" s="17"/>
      <c r="S1344" s="17"/>
    </row>
    <row r="1345" spans="1:19" s="18" customFormat="1" ht="105" hidden="1" customHeight="1">
      <c r="A1345" s="50" t="s">
        <v>419</v>
      </c>
      <c r="B1345" s="15" t="s">
        <v>94</v>
      </c>
      <c r="C1345" s="15" t="s">
        <v>26</v>
      </c>
      <c r="D1345" s="15" t="s">
        <v>28</v>
      </c>
      <c r="E1345" s="15" t="s">
        <v>738</v>
      </c>
      <c r="F1345" s="15" t="s">
        <v>418</v>
      </c>
      <c r="G1345" s="69">
        <f>'прил 5,'!G736</f>
        <v>0</v>
      </c>
      <c r="H1345" s="69">
        <v>0</v>
      </c>
      <c r="O1345" s="17"/>
      <c r="P1345" s="17"/>
      <c r="Q1345" s="17"/>
      <c r="R1345" s="17"/>
      <c r="S1345" s="17"/>
    </row>
    <row r="1346" spans="1:19" ht="33.75" customHeight="1">
      <c r="A1346" s="16" t="s">
        <v>453</v>
      </c>
      <c r="B1346" s="14">
        <v>793</v>
      </c>
      <c r="C1346" s="15" t="s">
        <v>54</v>
      </c>
      <c r="D1346" s="15" t="s">
        <v>123</v>
      </c>
      <c r="E1346" s="15" t="s">
        <v>451</v>
      </c>
      <c r="F1346" s="15"/>
      <c r="G1346" s="69">
        <f>G1347</f>
        <v>22000</v>
      </c>
      <c r="H1346" s="69">
        <f t="shared" ref="H1346" si="369">H1347</f>
        <v>22000</v>
      </c>
      <c r="I1346" s="2">
        <v>63000</v>
      </c>
    </row>
    <row r="1347" spans="1:19" ht="41.25" customHeight="1">
      <c r="A1347" s="16" t="s">
        <v>452</v>
      </c>
      <c r="B1347" s="14">
        <v>793</v>
      </c>
      <c r="C1347" s="15" t="s">
        <v>54</v>
      </c>
      <c r="D1347" s="15" t="s">
        <v>123</v>
      </c>
      <c r="E1347" s="15" t="s">
        <v>451</v>
      </c>
      <c r="F1347" s="15" t="s">
        <v>37</v>
      </c>
      <c r="G1347" s="69">
        <f>G1348</f>
        <v>22000</v>
      </c>
      <c r="H1347" s="69">
        <f t="shared" ref="H1347" si="370">H1348</f>
        <v>22000</v>
      </c>
      <c r="I1347" s="2">
        <f>SUM(I1339:I1346)</f>
        <v>406551</v>
      </c>
    </row>
    <row r="1348" spans="1:19" ht="30.75" customHeight="1">
      <c r="A1348" s="16" t="s">
        <v>38</v>
      </c>
      <c r="B1348" s="14">
        <v>793</v>
      </c>
      <c r="C1348" s="15" t="s">
        <v>54</v>
      </c>
      <c r="D1348" s="15" t="s">
        <v>123</v>
      </c>
      <c r="E1348" s="15" t="s">
        <v>451</v>
      </c>
      <c r="F1348" s="15" t="s">
        <v>39</v>
      </c>
      <c r="G1348" s="69">
        <f>'прил 5,'!G1418</f>
        <v>22000</v>
      </c>
      <c r="H1348" s="69">
        <f>'прил 5,'!H1418+'прил 5,'!H991</f>
        <v>22000</v>
      </c>
    </row>
    <row r="1349" spans="1:19" ht="30.75" customHeight="1">
      <c r="A1349" s="16" t="s">
        <v>30</v>
      </c>
      <c r="B1349" s="14">
        <v>774</v>
      </c>
      <c r="C1349" s="15" t="s">
        <v>26</v>
      </c>
      <c r="D1349" s="15" t="s">
        <v>70</v>
      </c>
      <c r="E1349" s="15" t="s">
        <v>1016</v>
      </c>
      <c r="F1349" s="15" t="s">
        <v>31</v>
      </c>
      <c r="G1349" s="69">
        <f>G1350</f>
        <v>364370</v>
      </c>
      <c r="H1349" s="69">
        <f>H1350</f>
        <v>364370</v>
      </c>
      <c r="I1349" s="1"/>
    </row>
    <row r="1350" spans="1:19" ht="30.75" customHeight="1">
      <c r="A1350" s="16" t="s">
        <v>32</v>
      </c>
      <c r="B1350" s="14">
        <v>774</v>
      </c>
      <c r="C1350" s="15" t="s">
        <v>26</v>
      </c>
      <c r="D1350" s="15" t="s">
        <v>70</v>
      </c>
      <c r="E1350" s="15" t="s">
        <v>1016</v>
      </c>
      <c r="F1350" s="15" t="s">
        <v>33</v>
      </c>
      <c r="G1350" s="69">
        <f>'прил 5,'!G905</f>
        <v>364370</v>
      </c>
      <c r="H1350" s="69">
        <f>'прил 5,'!H905</f>
        <v>364370</v>
      </c>
      <c r="I1350" s="1"/>
    </row>
    <row r="1351" spans="1:19" s="22" customFormat="1" ht="36" customHeight="1">
      <c r="A1351" s="34" t="s">
        <v>833</v>
      </c>
      <c r="B1351" s="35">
        <v>793</v>
      </c>
      <c r="C1351" s="36" t="s">
        <v>54</v>
      </c>
      <c r="D1351" s="36" t="s">
        <v>88</v>
      </c>
      <c r="E1351" s="35" t="s">
        <v>834</v>
      </c>
      <c r="F1351" s="35"/>
      <c r="G1351" s="70">
        <f>G1352</f>
        <v>363450</v>
      </c>
      <c r="H1351" s="70">
        <f>H1352</f>
        <v>363400</v>
      </c>
      <c r="O1351" s="21"/>
      <c r="P1351" s="21"/>
      <c r="Q1351" s="21"/>
      <c r="R1351" s="21"/>
      <c r="S1351" s="21"/>
    </row>
    <row r="1352" spans="1:19" ht="39" customHeight="1">
      <c r="A1352" s="16" t="s">
        <v>836</v>
      </c>
      <c r="B1352" s="14">
        <v>793</v>
      </c>
      <c r="C1352" s="15" t="s">
        <v>54</v>
      </c>
      <c r="D1352" s="15" t="s">
        <v>88</v>
      </c>
      <c r="E1352" s="14" t="s">
        <v>835</v>
      </c>
      <c r="F1352" s="14"/>
      <c r="G1352" s="69">
        <f>G1353</f>
        <v>363450</v>
      </c>
      <c r="H1352" s="69">
        <f t="shared" ref="H1352" si="371">H1353</f>
        <v>363400</v>
      </c>
      <c r="I1352" s="1"/>
    </row>
    <row r="1353" spans="1:19" ht="17.25" customHeight="1">
      <c r="A1353" s="16" t="s">
        <v>323</v>
      </c>
      <c r="B1353" s="14">
        <v>793</v>
      </c>
      <c r="C1353" s="15" t="s">
        <v>54</v>
      </c>
      <c r="D1353" s="15" t="s">
        <v>88</v>
      </c>
      <c r="E1353" s="14" t="s">
        <v>835</v>
      </c>
      <c r="F1353" s="14">
        <v>200</v>
      </c>
      <c r="G1353" s="69">
        <f>G1354</f>
        <v>363450</v>
      </c>
      <c r="H1353" s="69">
        <f>H1354</f>
        <v>363400</v>
      </c>
      <c r="I1353" s="1"/>
    </row>
    <row r="1354" spans="1:19" ht="27.75" customHeight="1">
      <c r="A1354" s="16" t="s">
        <v>38</v>
      </c>
      <c r="B1354" s="14">
        <v>793</v>
      </c>
      <c r="C1354" s="15" t="s">
        <v>54</v>
      </c>
      <c r="D1354" s="15" t="s">
        <v>88</v>
      </c>
      <c r="E1354" s="14" t="s">
        <v>835</v>
      </c>
      <c r="F1354" s="14">
        <v>240</v>
      </c>
      <c r="G1354" s="69">
        <f>'прил 5,'!G1462</f>
        <v>363450</v>
      </c>
      <c r="H1354" s="69">
        <f>'прил 5,'!H1462</f>
        <v>363400</v>
      </c>
      <c r="I1354" s="1"/>
    </row>
    <row r="1355" spans="1:19" s="73" customFormat="1" ht="42" customHeight="1">
      <c r="A1355" s="77" t="s">
        <v>117</v>
      </c>
      <c r="B1355" s="72"/>
      <c r="C1355" s="72"/>
      <c r="D1355" s="72"/>
      <c r="E1355" s="72"/>
      <c r="F1355" s="72"/>
      <c r="G1355" s="234">
        <f>G1383+G1422+G1447+G1456+G1475+G1513+G1369+G1356+G1437+G1469</f>
        <v>91706016.710000008</v>
      </c>
      <c r="H1355" s="234">
        <f>H1383+H1422+H1447+H1456+H1475+H1513+H1369+H1356+H1437+H1469</f>
        <v>88730692.829999998</v>
      </c>
      <c r="I1355" s="109"/>
      <c r="O1355" s="109"/>
      <c r="P1355" s="109"/>
      <c r="Q1355" s="109"/>
      <c r="R1355" s="109"/>
      <c r="S1355" s="109"/>
    </row>
    <row r="1356" spans="1:19" hidden="1">
      <c r="A1356" s="34"/>
      <c r="B1356" s="35"/>
      <c r="C1356" s="36"/>
      <c r="D1356" s="36"/>
      <c r="E1356" s="36"/>
      <c r="F1356" s="36"/>
      <c r="G1356" s="12"/>
      <c r="H1356" s="12"/>
      <c r="I1356" s="1"/>
      <c r="K1356" s="2"/>
    </row>
    <row r="1357" spans="1:19" ht="40.5" hidden="1" customHeight="1">
      <c r="A1357" s="16"/>
      <c r="B1357" s="15"/>
      <c r="C1357" s="15"/>
      <c r="D1357" s="15"/>
      <c r="E1357" s="15"/>
      <c r="F1357" s="15"/>
      <c r="G1357" s="8"/>
      <c r="H1357" s="69"/>
      <c r="I1357" s="1"/>
    </row>
    <row r="1358" spans="1:19" ht="30" hidden="1" customHeight="1">
      <c r="A1358" s="16"/>
      <c r="B1358" s="15"/>
      <c r="C1358" s="15"/>
      <c r="D1358" s="15"/>
      <c r="E1358" s="15"/>
      <c r="F1358" s="15"/>
      <c r="G1358" s="8"/>
      <c r="H1358" s="69"/>
      <c r="I1358" s="1"/>
    </row>
    <row r="1359" spans="1:19" ht="91.5" hidden="1" customHeight="1">
      <c r="A1359" s="50"/>
      <c r="B1359" s="15"/>
      <c r="C1359" s="15"/>
      <c r="D1359" s="15"/>
      <c r="E1359" s="15"/>
      <c r="F1359" s="15"/>
      <c r="G1359" s="8"/>
      <c r="H1359" s="69"/>
      <c r="I1359" s="1"/>
    </row>
    <row r="1360" spans="1:19" ht="43.5" hidden="1" customHeight="1">
      <c r="A1360" s="50"/>
      <c r="B1360" s="15"/>
      <c r="C1360" s="15"/>
      <c r="D1360" s="15"/>
      <c r="E1360" s="15"/>
      <c r="F1360" s="15"/>
      <c r="G1360" s="8"/>
      <c r="H1360" s="69"/>
      <c r="I1360" s="1"/>
    </row>
    <row r="1361" spans="1:19" ht="39.75" hidden="1" customHeight="1">
      <c r="A1361" s="16"/>
      <c r="B1361" s="15"/>
      <c r="C1361" s="15"/>
      <c r="D1361" s="15"/>
      <c r="E1361" s="15"/>
      <c r="F1361" s="15"/>
      <c r="G1361" s="8"/>
      <c r="H1361" s="69"/>
      <c r="I1361" s="1"/>
    </row>
    <row r="1362" spans="1:19" ht="86.25" hidden="1" customHeight="1">
      <c r="A1362" s="50"/>
      <c r="B1362" s="15"/>
      <c r="C1362" s="15"/>
      <c r="D1362" s="15"/>
      <c r="E1362" s="15"/>
      <c r="F1362" s="15"/>
      <c r="G1362" s="8"/>
      <c r="H1362" s="69"/>
      <c r="I1362" s="1"/>
    </row>
    <row r="1363" spans="1:19" ht="48" hidden="1" customHeight="1">
      <c r="A1363" s="79"/>
      <c r="B1363" s="14"/>
      <c r="C1363" s="15"/>
      <c r="D1363" s="15"/>
      <c r="E1363" s="15"/>
      <c r="F1363" s="14"/>
      <c r="G1363" s="69"/>
      <c r="H1363" s="69"/>
      <c r="I1363" s="1"/>
    </row>
    <row r="1364" spans="1:19" hidden="1">
      <c r="A1364" s="16"/>
      <c r="B1364" s="14"/>
      <c r="C1364" s="15"/>
      <c r="D1364" s="15"/>
      <c r="E1364" s="15"/>
      <c r="F1364" s="15"/>
      <c r="G1364" s="25"/>
      <c r="H1364" s="25"/>
      <c r="I1364" s="1"/>
    </row>
    <row r="1365" spans="1:19" hidden="1">
      <c r="A1365" s="16"/>
      <c r="B1365" s="14"/>
      <c r="C1365" s="15"/>
      <c r="D1365" s="15"/>
      <c r="E1365" s="15"/>
      <c r="F1365" s="15"/>
      <c r="G1365" s="25"/>
      <c r="H1365" s="25"/>
      <c r="I1365" s="1"/>
    </row>
    <row r="1366" spans="1:19" ht="42.75" hidden="1" customHeight="1">
      <c r="A1366" s="79"/>
      <c r="B1366" s="14"/>
      <c r="C1366" s="15"/>
      <c r="D1366" s="15"/>
      <c r="E1366" s="15"/>
      <c r="F1366" s="14"/>
      <c r="G1366" s="69"/>
      <c r="H1366" s="69"/>
      <c r="I1366" s="1"/>
    </row>
    <row r="1367" spans="1:19" hidden="1">
      <c r="A1367" s="16"/>
      <c r="B1367" s="14"/>
      <c r="C1367" s="15"/>
      <c r="D1367" s="15"/>
      <c r="E1367" s="15"/>
      <c r="F1367" s="15"/>
      <c r="G1367" s="25"/>
      <c r="H1367" s="25"/>
      <c r="I1367" s="1"/>
    </row>
    <row r="1368" spans="1:19" hidden="1">
      <c r="A1368" s="16"/>
      <c r="B1368" s="14"/>
      <c r="C1368" s="15"/>
      <c r="D1368" s="15"/>
      <c r="E1368" s="15"/>
      <c r="F1368" s="15"/>
      <c r="G1368" s="25"/>
      <c r="H1368" s="25"/>
      <c r="I1368" s="1"/>
    </row>
    <row r="1369" spans="1:19" s="237" customFormat="1" ht="30.75" customHeight="1">
      <c r="A1369" s="224" t="s">
        <v>272</v>
      </c>
      <c r="B1369" s="235">
        <v>793</v>
      </c>
      <c r="C1369" s="236" t="s">
        <v>173</v>
      </c>
      <c r="D1369" s="236" t="s">
        <v>70</v>
      </c>
      <c r="E1369" s="36" t="s">
        <v>565</v>
      </c>
      <c r="F1369" s="36"/>
      <c r="G1369" s="70">
        <f>G1370</f>
        <v>9208674.8000000007</v>
      </c>
      <c r="H1369" s="70">
        <f>H1370</f>
        <v>9169474.8000000007</v>
      </c>
      <c r="O1369" s="238"/>
      <c r="P1369" s="238"/>
      <c r="Q1369" s="238"/>
      <c r="R1369" s="238"/>
      <c r="S1369" s="238"/>
    </row>
    <row r="1370" spans="1:19" ht="30.75" customHeight="1">
      <c r="A1370" s="16" t="s">
        <v>272</v>
      </c>
      <c r="B1370" s="14">
        <v>793</v>
      </c>
      <c r="C1370" s="15" t="s">
        <v>173</v>
      </c>
      <c r="D1370" s="15" t="s">
        <v>70</v>
      </c>
      <c r="E1370" s="15" t="s">
        <v>566</v>
      </c>
      <c r="F1370" s="15"/>
      <c r="G1370" s="69">
        <f>G1373+G1375+G1371+G1381+G1378+G1380</f>
        <v>9208674.8000000007</v>
      </c>
      <c r="H1370" s="69">
        <f>H1373+H1375+H1371+H1381+H1378+H1380</f>
        <v>9169474.8000000007</v>
      </c>
      <c r="I1370" s="1"/>
    </row>
    <row r="1371" spans="1:19" ht="30.75" customHeight="1">
      <c r="A1371" s="16" t="s">
        <v>36</v>
      </c>
      <c r="B1371" s="49">
        <v>795</v>
      </c>
      <c r="C1371" s="15" t="s">
        <v>173</v>
      </c>
      <c r="D1371" s="15" t="s">
        <v>28</v>
      </c>
      <c r="E1371" s="15" t="s">
        <v>566</v>
      </c>
      <c r="F1371" s="15" t="s">
        <v>37</v>
      </c>
      <c r="G1371" s="69">
        <f>G1372</f>
        <v>2092400</v>
      </c>
      <c r="H1371" s="69">
        <f>H1372</f>
        <v>2053200</v>
      </c>
      <c r="I1371" s="1"/>
    </row>
    <row r="1372" spans="1:19" ht="30.75" customHeight="1">
      <c r="A1372" s="16" t="s">
        <v>38</v>
      </c>
      <c r="B1372" s="49">
        <v>795</v>
      </c>
      <c r="C1372" s="15" t="s">
        <v>173</v>
      </c>
      <c r="D1372" s="15" t="s">
        <v>28</v>
      </c>
      <c r="E1372" s="15" t="s">
        <v>566</v>
      </c>
      <c r="F1372" s="15" t="s">
        <v>39</v>
      </c>
      <c r="G1372" s="69">
        <f>'прил 5,'!G1570</f>
        <v>2092400</v>
      </c>
      <c r="H1372" s="69">
        <f>'прил 5,'!H1570</f>
        <v>2053200</v>
      </c>
      <c r="I1372" s="1"/>
    </row>
    <row r="1373" spans="1:19" ht="23.25" hidden="1" customHeight="1">
      <c r="A1373" s="16" t="s">
        <v>148</v>
      </c>
      <c r="B1373" s="14">
        <v>793</v>
      </c>
      <c r="C1373" s="15" t="s">
        <v>70</v>
      </c>
      <c r="D1373" s="15" t="s">
        <v>123</v>
      </c>
      <c r="E1373" s="15" t="s">
        <v>566</v>
      </c>
      <c r="F1373" s="15" t="s">
        <v>149</v>
      </c>
      <c r="G1373" s="69">
        <f>G1374</f>
        <v>0</v>
      </c>
      <c r="H1373" s="69">
        <v>0</v>
      </c>
      <c r="I1373" s="1"/>
    </row>
    <row r="1374" spans="1:19" ht="30.75" hidden="1" customHeight="1">
      <c r="A1374" s="16" t="s">
        <v>150</v>
      </c>
      <c r="B1374" s="14">
        <v>793</v>
      </c>
      <c r="C1374" s="15" t="s">
        <v>70</v>
      </c>
      <c r="D1374" s="15" t="s">
        <v>123</v>
      </c>
      <c r="E1374" s="15" t="s">
        <v>566</v>
      </c>
      <c r="F1374" s="15" t="s">
        <v>151</v>
      </c>
      <c r="G1374" s="69">
        <f>'прил 5,'!G1301</f>
        <v>0</v>
      </c>
      <c r="H1374" s="69">
        <v>0</v>
      </c>
      <c r="I1374" s="1"/>
    </row>
    <row r="1375" spans="1:19" ht="21.75" hidden="1" customHeight="1">
      <c r="A1375" s="16" t="s">
        <v>156</v>
      </c>
      <c r="B1375" s="14">
        <v>793</v>
      </c>
      <c r="C1375" s="15" t="s">
        <v>173</v>
      </c>
      <c r="D1375" s="15" t="s">
        <v>70</v>
      </c>
      <c r="E1375" s="15" t="s">
        <v>566</v>
      </c>
      <c r="F1375" s="15" t="s">
        <v>157</v>
      </c>
      <c r="G1375" s="69">
        <f>G1376</f>
        <v>0</v>
      </c>
      <c r="H1375" s="69">
        <v>0</v>
      </c>
      <c r="I1375" s="1"/>
    </row>
    <row r="1376" spans="1:19" ht="22.5" hidden="1" customHeight="1">
      <c r="A1376" s="16" t="s">
        <v>178</v>
      </c>
      <c r="B1376" s="14">
        <v>793</v>
      </c>
      <c r="C1376" s="15" t="s">
        <v>173</v>
      </c>
      <c r="D1376" s="15" t="s">
        <v>70</v>
      </c>
      <c r="E1376" s="15" t="s">
        <v>566</v>
      </c>
      <c r="F1376" s="15" t="s">
        <v>179</v>
      </c>
      <c r="G1376" s="69"/>
      <c r="H1376" s="69">
        <v>0</v>
      </c>
      <c r="I1376" s="1"/>
    </row>
    <row r="1377" spans="1:19" ht="25.5" hidden="1">
      <c r="A1377" s="16" t="s">
        <v>36</v>
      </c>
      <c r="B1377" s="49">
        <v>795</v>
      </c>
      <c r="C1377" s="15" t="s">
        <v>173</v>
      </c>
      <c r="D1377" s="15" t="s">
        <v>28</v>
      </c>
      <c r="E1377" s="15" t="s">
        <v>566</v>
      </c>
      <c r="F1377" s="15" t="s">
        <v>37</v>
      </c>
      <c r="G1377" s="8">
        <f t="shared" ref="G1377:H1377" si="372">G1378</f>
        <v>0</v>
      </c>
      <c r="H1377" s="8">
        <f t="shared" si="372"/>
        <v>0</v>
      </c>
      <c r="I1377" s="1"/>
    </row>
    <row r="1378" spans="1:19" ht="25.5" hidden="1">
      <c r="A1378" s="16" t="s">
        <v>38</v>
      </c>
      <c r="B1378" s="49">
        <v>795</v>
      </c>
      <c r="C1378" s="15" t="s">
        <v>173</v>
      </c>
      <c r="D1378" s="15" t="s">
        <v>28</v>
      </c>
      <c r="E1378" s="15" t="s">
        <v>566</v>
      </c>
      <c r="F1378" s="15" t="s">
        <v>39</v>
      </c>
      <c r="G1378" s="8">
        <f>'прил 5,'!G2028</f>
        <v>0</v>
      </c>
      <c r="H1378" s="8">
        <v>0</v>
      </c>
      <c r="I1378" s="1"/>
    </row>
    <row r="1379" spans="1:19" ht="25.5">
      <c r="A1379" s="16" t="s">
        <v>96</v>
      </c>
      <c r="B1379" s="49">
        <v>795</v>
      </c>
      <c r="C1379" s="15" t="s">
        <v>173</v>
      </c>
      <c r="D1379" s="15" t="s">
        <v>28</v>
      </c>
      <c r="E1379" s="15" t="s">
        <v>566</v>
      </c>
      <c r="F1379" s="15" t="s">
        <v>348</v>
      </c>
      <c r="G1379" s="8">
        <f t="shared" ref="G1379:H1379" si="373">G1380</f>
        <v>5412980</v>
      </c>
      <c r="H1379" s="8">
        <f t="shared" si="373"/>
        <v>5412980</v>
      </c>
      <c r="I1379" s="1"/>
    </row>
    <row r="1380" spans="1:19">
      <c r="A1380" s="16" t="s">
        <v>349</v>
      </c>
      <c r="B1380" s="49">
        <v>795</v>
      </c>
      <c r="C1380" s="15" t="s">
        <v>173</v>
      </c>
      <c r="D1380" s="15" t="s">
        <v>28</v>
      </c>
      <c r="E1380" s="15" t="s">
        <v>566</v>
      </c>
      <c r="F1380" s="15" t="s">
        <v>350</v>
      </c>
      <c r="G1380" s="8">
        <f>'прил 5,'!G1572</f>
        <v>5412980</v>
      </c>
      <c r="H1380" s="8">
        <f>'прил 5,'!H1572</f>
        <v>5412980</v>
      </c>
      <c r="I1380" s="1"/>
    </row>
    <row r="1381" spans="1:19" ht="25.5">
      <c r="A1381" s="16" t="s">
        <v>30</v>
      </c>
      <c r="B1381" s="14">
        <v>757</v>
      </c>
      <c r="C1381" s="15" t="s">
        <v>44</v>
      </c>
      <c r="D1381" s="15" t="s">
        <v>19</v>
      </c>
      <c r="E1381" s="15" t="s">
        <v>566</v>
      </c>
      <c r="F1381" s="15" t="s">
        <v>31</v>
      </c>
      <c r="G1381" s="8">
        <f t="shared" ref="G1381:H1381" si="374">G1382</f>
        <v>1703294.8</v>
      </c>
      <c r="H1381" s="8">
        <f t="shared" si="374"/>
        <v>1703294.8</v>
      </c>
      <c r="I1381" s="1"/>
    </row>
    <row r="1382" spans="1:19">
      <c r="A1382" s="16" t="s">
        <v>32</v>
      </c>
      <c r="B1382" s="14">
        <v>757</v>
      </c>
      <c r="C1382" s="15" t="s">
        <v>44</v>
      </c>
      <c r="D1382" s="15" t="s">
        <v>19</v>
      </c>
      <c r="E1382" s="15" t="s">
        <v>566</v>
      </c>
      <c r="F1382" s="15" t="s">
        <v>33</v>
      </c>
      <c r="G1382" s="8">
        <f>'прил 5,'!G226+'прил 5,'!G332+'прил 5,'!G764+'прил 5,'!G100+'прил 5,'!G874+'прил 5,'!G792</f>
        <v>1703294.8</v>
      </c>
      <c r="H1382" s="8">
        <f>'прил 5,'!H226+'прил 5,'!H332+'прил 5,'!H764+'прил 5,'!H100+'прил 5,'!H874+'прил 5,'!H792</f>
        <v>1703294.8</v>
      </c>
      <c r="I1382" s="1"/>
    </row>
    <row r="1383" spans="1:19" s="226" customFormat="1" ht="25.5" customHeight="1">
      <c r="A1383" s="34" t="s">
        <v>317</v>
      </c>
      <c r="B1383" s="35">
        <v>793</v>
      </c>
      <c r="C1383" s="36" t="s">
        <v>19</v>
      </c>
      <c r="D1383" s="36" t="s">
        <v>28</v>
      </c>
      <c r="E1383" s="36" t="s">
        <v>239</v>
      </c>
      <c r="F1383" s="36"/>
      <c r="G1383" s="70">
        <f>G1384+G1391</f>
        <v>50558338.810000002</v>
      </c>
      <c r="H1383" s="70">
        <f>H1384+H1391</f>
        <v>49861011.720000006</v>
      </c>
      <c r="I1383" s="225">
        <v>1816051</v>
      </c>
      <c r="O1383" s="225"/>
      <c r="P1383" s="225"/>
      <c r="Q1383" s="225"/>
      <c r="R1383" s="225"/>
      <c r="S1383" s="225"/>
    </row>
    <row r="1384" spans="1:19">
      <c r="A1384" s="16" t="s">
        <v>318</v>
      </c>
      <c r="B1384" s="14">
        <v>793</v>
      </c>
      <c r="C1384" s="15" t="s">
        <v>19</v>
      </c>
      <c r="D1384" s="15" t="s">
        <v>28</v>
      </c>
      <c r="E1384" s="15" t="s">
        <v>240</v>
      </c>
      <c r="F1384" s="15"/>
      <c r="G1384" s="69">
        <f>G1388+G1385</f>
        <v>2484412.7399999998</v>
      </c>
      <c r="H1384" s="69">
        <f>H1388+H1385</f>
        <v>2484412.7399999998</v>
      </c>
      <c r="I1384" s="2">
        <v>22376720</v>
      </c>
    </row>
    <row r="1385" spans="1:19" ht="79.5" customHeight="1">
      <c r="A1385" s="81" t="s">
        <v>1056</v>
      </c>
      <c r="B1385" s="145">
        <v>793</v>
      </c>
      <c r="C1385" s="83" t="s">
        <v>19</v>
      </c>
      <c r="D1385" s="83" t="s">
        <v>28</v>
      </c>
      <c r="E1385" s="83" t="s">
        <v>1055</v>
      </c>
      <c r="F1385" s="83"/>
      <c r="G1385" s="86">
        <f t="shared" ref="G1385:H1386" si="375">G1386</f>
        <v>297422.42</v>
      </c>
      <c r="H1385" s="86">
        <f t="shared" si="375"/>
        <v>297422.42</v>
      </c>
      <c r="I1385" s="171"/>
      <c r="J1385" s="177"/>
      <c r="K1385" s="177"/>
      <c r="L1385" s="177"/>
      <c r="M1385" s="177"/>
      <c r="N1385" s="177"/>
      <c r="O1385" s="177"/>
      <c r="P1385" s="177"/>
      <c r="Q1385" s="177"/>
      <c r="R1385" s="1"/>
      <c r="S1385" s="1"/>
    </row>
    <row r="1386" spans="1:19" ht="51">
      <c r="A1386" s="81" t="s">
        <v>319</v>
      </c>
      <c r="B1386" s="145">
        <v>793</v>
      </c>
      <c r="C1386" s="83" t="s">
        <v>19</v>
      </c>
      <c r="D1386" s="83" t="s">
        <v>28</v>
      </c>
      <c r="E1386" s="83" t="s">
        <v>1055</v>
      </c>
      <c r="F1386" s="83" t="s">
        <v>58</v>
      </c>
      <c r="G1386" s="86">
        <f t="shared" si="375"/>
        <v>297422.42</v>
      </c>
      <c r="H1386" s="86">
        <f t="shared" si="375"/>
        <v>297422.42</v>
      </c>
      <c r="I1386" s="171"/>
      <c r="J1386" s="177"/>
      <c r="K1386" s="177"/>
      <c r="L1386" s="177"/>
      <c r="M1386" s="177"/>
      <c r="N1386" s="177"/>
      <c r="O1386" s="177"/>
      <c r="P1386" s="177"/>
      <c r="Q1386" s="177"/>
      <c r="R1386" s="1"/>
      <c r="S1386" s="1"/>
    </row>
    <row r="1387" spans="1:19" ht="25.5">
      <c r="A1387" s="81" t="s">
        <v>56</v>
      </c>
      <c r="B1387" s="145">
        <v>793</v>
      </c>
      <c r="C1387" s="83" t="s">
        <v>19</v>
      </c>
      <c r="D1387" s="83" t="s">
        <v>28</v>
      </c>
      <c r="E1387" s="83" t="s">
        <v>1055</v>
      </c>
      <c r="F1387" s="83" t="s">
        <v>59</v>
      </c>
      <c r="G1387" s="86">
        <f>'прил 5,'!G1127</f>
        <v>297422.42</v>
      </c>
      <c r="H1387" s="86">
        <f>'прил 5,'!H1127</f>
        <v>297422.42</v>
      </c>
      <c r="I1387" s="171"/>
      <c r="J1387" s="177"/>
      <c r="K1387" s="177"/>
      <c r="L1387" s="177"/>
      <c r="M1387" s="177"/>
      <c r="N1387" s="177"/>
      <c r="O1387" s="177"/>
      <c r="P1387" s="177"/>
      <c r="Q1387" s="177"/>
      <c r="R1387" s="1"/>
      <c r="S1387" s="1"/>
    </row>
    <row r="1388" spans="1:19" ht="25.5">
      <c r="A1388" s="16" t="s">
        <v>76</v>
      </c>
      <c r="B1388" s="14">
        <v>793</v>
      </c>
      <c r="C1388" s="15" t="s">
        <v>19</v>
      </c>
      <c r="D1388" s="15" t="s">
        <v>28</v>
      </c>
      <c r="E1388" s="15" t="s">
        <v>241</v>
      </c>
      <c r="F1388" s="15"/>
      <c r="G1388" s="69">
        <f>G1389</f>
        <v>2186990.3199999998</v>
      </c>
      <c r="H1388" s="69">
        <f t="shared" ref="H1388:H1389" si="376">H1389</f>
        <v>2186990.3199999998</v>
      </c>
      <c r="I1388" s="2">
        <v>1931480</v>
      </c>
    </row>
    <row r="1389" spans="1:19" ht="51">
      <c r="A1389" s="16" t="s">
        <v>319</v>
      </c>
      <c r="B1389" s="14">
        <v>793</v>
      </c>
      <c r="C1389" s="15" t="s">
        <v>19</v>
      </c>
      <c r="D1389" s="15" t="s">
        <v>28</v>
      </c>
      <c r="E1389" s="15" t="s">
        <v>241</v>
      </c>
      <c r="F1389" s="15" t="s">
        <v>58</v>
      </c>
      <c r="G1389" s="69">
        <f>G1390</f>
        <v>2186990.3199999998</v>
      </c>
      <c r="H1389" s="69">
        <f t="shared" si="376"/>
        <v>2186990.3199999998</v>
      </c>
      <c r="I1389" s="2">
        <v>3861060</v>
      </c>
    </row>
    <row r="1390" spans="1:19" ht="25.5">
      <c r="A1390" s="16" t="s">
        <v>56</v>
      </c>
      <c r="B1390" s="14">
        <v>793</v>
      </c>
      <c r="C1390" s="15" t="s">
        <v>19</v>
      </c>
      <c r="D1390" s="15" t="s">
        <v>28</v>
      </c>
      <c r="E1390" s="15" t="s">
        <v>241</v>
      </c>
      <c r="F1390" s="15" t="s">
        <v>59</v>
      </c>
      <c r="G1390" s="69">
        <f>'прил 5,'!G1132</f>
        <v>2186990.3199999998</v>
      </c>
      <c r="H1390" s="69">
        <f>'прил 5,'!H1132</f>
        <v>2186990.3199999998</v>
      </c>
      <c r="I1390" s="2">
        <v>36840</v>
      </c>
    </row>
    <row r="1391" spans="1:19" s="46" customFormat="1">
      <c r="A1391" s="56" t="s">
        <v>324</v>
      </c>
      <c r="B1391" s="14">
        <v>793</v>
      </c>
      <c r="C1391" s="15" t="s">
        <v>19</v>
      </c>
      <c r="D1391" s="15" t="s">
        <v>54</v>
      </c>
      <c r="E1391" s="15" t="s">
        <v>244</v>
      </c>
      <c r="F1391" s="15"/>
      <c r="G1391" s="69">
        <f>G1392+G1416+G1401+G1411+G1406+G1419</f>
        <v>48073926.07</v>
      </c>
      <c r="H1391" s="69">
        <f>H1392+H1416+H1401+H1411+H1406</f>
        <v>47376598.980000004</v>
      </c>
      <c r="I1391" s="107">
        <v>1772668</v>
      </c>
      <c r="O1391" s="107"/>
      <c r="P1391" s="107"/>
      <c r="Q1391" s="107"/>
      <c r="R1391" s="107"/>
      <c r="S1391" s="107"/>
    </row>
    <row r="1392" spans="1:19" s="46" customFormat="1" ht="25.5">
      <c r="A1392" s="16" t="s">
        <v>76</v>
      </c>
      <c r="B1392" s="14">
        <v>793</v>
      </c>
      <c r="C1392" s="15" t="s">
        <v>19</v>
      </c>
      <c r="D1392" s="15" t="s">
        <v>54</v>
      </c>
      <c r="E1392" s="15" t="s">
        <v>245</v>
      </c>
      <c r="F1392" s="15"/>
      <c r="G1392" s="69">
        <f>G1393+G1395+G1399+G1397</f>
        <v>41343772</v>
      </c>
      <c r="H1392" s="69">
        <f t="shared" ref="H1392" si="377">H1393+H1395+H1399+H1397</f>
        <v>40790331.740000002</v>
      </c>
      <c r="I1392" s="107">
        <v>26732</v>
      </c>
      <c r="O1392" s="107"/>
      <c r="P1392" s="107"/>
      <c r="Q1392" s="107"/>
      <c r="R1392" s="107"/>
      <c r="S1392" s="107"/>
    </row>
    <row r="1393" spans="1:19" s="46" customFormat="1" ht="51">
      <c r="A1393" s="16" t="s">
        <v>319</v>
      </c>
      <c r="B1393" s="14">
        <v>793</v>
      </c>
      <c r="C1393" s="15" t="s">
        <v>19</v>
      </c>
      <c r="D1393" s="15" t="s">
        <v>54</v>
      </c>
      <c r="E1393" s="15" t="s">
        <v>245</v>
      </c>
      <c r="F1393" s="15" t="s">
        <v>58</v>
      </c>
      <c r="G1393" s="69">
        <f>G1394</f>
        <v>38593613</v>
      </c>
      <c r="H1393" s="69">
        <f>H1394</f>
        <v>38407762.450000003</v>
      </c>
      <c r="I1393" s="107">
        <v>292420</v>
      </c>
      <c r="O1393" s="107"/>
      <c r="P1393" s="107"/>
      <c r="Q1393" s="107"/>
      <c r="R1393" s="107"/>
      <c r="S1393" s="107"/>
    </row>
    <row r="1394" spans="1:19" s="46" customFormat="1" ht="34.5" customHeight="1">
      <c r="A1394" s="16" t="s">
        <v>56</v>
      </c>
      <c r="B1394" s="14">
        <v>793</v>
      </c>
      <c r="C1394" s="15" t="s">
        <v>19</v>
      </c>
      <c r="D1394" s="15" t="s">
        <v>54</v>
      </c>
      <c r="E1394" s="15" t="s">
        <v>245</v>
      </c>
      <c r="F1394" s="15" t="s">
        <v>59</v>
      </c>
      <c r="G1394" s="69">
        <f>'прил 5,'!G1142</f>
        <v>38593613</v>
      </c>
      <c r="H1394" s="69">
        <f>'прил 5,'!H1142</f>
        <v>38407762.450000003</v>
      </c>
      <c r="I1394" s="107">
        <v>7380</v>
      </c>
      <c r="O1394" s="107"/>
      <c r="P1394" s="107"/>
      <c r="Q1394" s="107"/>
      <c r="R1394" s="107"/>
      <c r="S1394" s="107"/>
    </row>
    <row r="1395" spans="1:19" s="46" customFormat="1">
      <c r="A1395" s="16" t="s">
        <v>323</v>
      </c>
      <c r="B1395" s="14">
        <v>793</v>
      </c>
      <c r="C1395" s="15" t="s">
        <v>19</v>
      </c>
      <c r="D1395" s="15" t="s">
        <v>54</v>
      </c>
      <c r="E1395" s="15" t="s">
        <v>245</v>
      </c>
      <c r="F1395" s="15" t="s">
        <v>37</v>
      </c>
      <c r="G1395" s="69">
        <f>G1396</f>
        <v>2525565.7200000002</v>
      </c>
      <c r="H1395" s="69">
        <f t="shared" ref="H1395" si="378">H1396</f>
        <v>2161600.0099999998</v>
      </c>
      <c r="I1395" s="107">
        <v>10000</v>
      </c>
      <c r="O1395" s="107"/>
      <c r="P1395" s="107"/>
      <c r="Q1395" s="107"/>
      <c r="R1395" s="107"/>
      <c r="S1395" s="107"/>
    </row>
    <row r="1396" spans="1:19" s="46" customFormat="1" ht="25.5">
      <c r="A1396" s="16" t="s">
        <v>38</v>
      </c>
      <c r="B1396" s="14">
        <v>793</v>
      </c>
      <c r="C1396" s="15" t="s">
        <v>19</v>
      </c>
      <c r="D1396" s="15" t="s">
        <v>54</v>
      </c>
      <c r="E1396" s="15" t="s">
        <v>245</v>
      </c>
      <c r="F1396" s="15" t="s">
        <v>39</v>
      </c>
      <c r="G1396" s="69">
        <f>'прил 5,'!G1144</f>
        <v>2525565.7200000002</v>
      </c>
      <c r="H1396" s="69">
        <f>'прил 5,'!H1144</f>
        <v>2161600.0099999998</v>
      </c>
      <c r="I1396" s="107">
        <f>SUM(I1383:I1395)</f>
        <v>32131351</v>
      </c>
      <c r="O1396" s="107"/>
      <c r="P1396" s="107"/>
      <c r="Q1396" s="107"/>
      <c r="R1396" s="107"/>
      <c r="S1396" s="107"/>
    </row>
    <row r="1397" spans="1:19" s="46" customFormat="1" ht="21.75" customHeight="1">
      <c r="A1397" s="16" t="s">
        <v>148</v>
      </c>
      <c r="B1397" s="14">
        <v>793</v>
      </c>
      <c r="C1397" s="15" t="s">
        <v>19</v>
      </c>
      <c r="D1397" s="15" t="s">
        <v>54</v>
      </c>
      <c r="E1397" s="15" t="s">
        <v>245</v>
      </c>
      <c r="F1397" s="15" t="s">
        <v>149</v>
      </c>
      <c r="G1397" s="69">
        <f>G1398</f>
        <v>200196.82</v>
      </c>
      <c r="H1397" s="69">
        <f>H1398</f>
        <v>200196.82</v>
      </c>
      <c r="I1397" s="171"/>
      <c r="J1397" s="213"/>
      <c r="K1397" s="213"/>
      <c r="L1397" s="213"/>
      <c r="M1397" s="213"/>
      <c r="N1397" s="213"/>
      <c r="O1397" s="213"/>
      <c r="P1397" s="213"/>
      <c r="Q1397" s="213"/>
    </row>
    <row r="1398" spans="1:19" s="46" customFormat="1" ht="29.25" customHeight="1">
      <c r="A1398" s="16" t="s">
        <v>150</v>
      </c>
      <c r="B1398" s="14">
        <v>793</v>
      </c>
      <c r="C1398" s="15" t="s">
        <v>19</v>
      </c>
      <c r="D1398" s="15" t="s">
        <v>54</v>
      </c>
      <c r="E1398" s="15" t="s">
        <v>245</v>
      </c>
      <c r="F1398" s="15" t="s">
        <v>151</v>
      </c>
      <c r="G1398" s="69">
        <v>200196.82</v>
      </c>
      <c r="H1398" s="69">
        <v>200196.82</v>
      </c>
      <c r="I1398" s="171"/>
      <c r="J1398" s="213"/>
      <c r="K1398" s="213"/>
      <c r="L1398" s="213"/>
      <c r="M1398" s="213"/>
      <c r="N1398" s="213"/>
      <c r="O1398" s="213"/>
      <c r="P1398" s="213"/>
      <c r="Q1398" s="213"/>
    </row>
    <row r="1399" spans="1:19" s="46" customFormat="1" ht="13.5" customHeight="1">
      <c r="A1399" s="16" t="s">
        <v>63</v>
      </c>
      <c r="B1399" s="14">
        <v>793</v>
      </c>
      <c r="C1399" s="15" t="s">
        <v>19</v>
      </c>
      <c r="D1399" s="15" t="s">
        <v>54</v>
      </c>
      <c r="E1399" s="15" t="s">
        <v>245</v>
      </c>
      <c r="F1399" s="15" t="s">
        <v>64</v>
      </c>
      <c r="G1399" s="69">
        <f>G1400</f>
        <v>24396.46</v>
      </c>
      <c r="H1399" s="69">
        <f>H1400</f>
        <v>20772.46</v>
      </c>
      <c r="I1399" s="107"/>
      <c r="O1399" s="107"/>
      <c r="P1399" s="107"/>
      <c r="Q1399" s="107"/>
      <c r="R1399" s="107"/>
      <c r="S1399" s="107"/>
    </row>
    <row r="1400" spans="1:19" s="46" customFormat="1">
      <c r="A1400" s="16" t="s">
        <v>144</v>
      </c>
      <c r="B1400" s="14">
        <v>793</v>
      </c>
      <c r="C1400" s="15" t="s">
        <v>19</v>
      </c>
      <c r="D1400" s="15" t="s">
        <v>54</v>
      </c>
      <c r="E1400" s="15" t="s">
        <v>245</v>
      </c>
      <c r="F1400" s="15" t="s">
        <v>67</v>
      </c>
      <c r="G1400" s="69">
        <f>'прил 5,'!G1148</f>
        <v>24396.46</v>
      </c>
      <c r="H1400" s="69">
        <f>'прил 5,'!H1148</f>
        <v>20772.46</v>
      </c>
      <c r="I1400" s="107"/>
      <c r="O1400" s="107"/>
      <c r="P1400" s="107"/>
      <c r="Q1400" s="107"/>
      <c r="R1400" s="107"/>
      <c r="S1400" s="107"/>
    </row>
    <row r="1401" spans="1:19" s="3" customFormat="1" ht="63.75">
      <c r="A1401" s="16" t="s">
        <v>677</v>
      </c>
      <c r="B1401" s="14">
        <v>793</v>
      </c>
      <c r="C1401" s="15" t="s">
        <v>19</v>
      </c>
      <c r="D1401" s="15" t="s">
        <v>54</v>
      </c>
      <c r="E1401" s="15" t="s">
        <v>675</v>
      </c>
      <c r="F1401" s="15"/>
      <c r="G1401" s="69">
        <f>G1402+G1404</f>
        <v>4776569.55</v>
      </c>
      <c r="H1401" s="69">
        <f>H1402+H1404</f>
        <v>4765441.8099999996</v>
      </c>
      <c r="I1401" s="108"/>
      <c r="O1401" s="108"/>
      <c r="P1401" s="108"/>
      <c r="Q1401" s="108"/>
      <c r="R1401" s="108"/>
      <c r="S1401" s="108"/>
    </row>
    <row r="1402" spans="1:19" s="3" customFormat="1" ht="51">
      <c r="A1402" s="16" t="s">
        <v>319</v>
      </c>
      <c r="B1402" s="14">
        <v>793</v>
      </c>
      <c r="C1402" s="15" t="s">
        <v>19</v>
      </c>
      <c r="D1402" s="15" t="s">
        <v>54</v>
      </c>
      <c r="E1402" s="15" t="s">
        <v>675</v>
      </c>
      <c r="F1402" s="15" t="s">
        <v>58</v>
      </c>
      <c r="G1402" s="69">
        <f>G1403</f>
        <v>4461641.42</v>
      </c>
      <c r="H1402" s="69">
        <f t="shared" ref="H1402" si="379">H1403</f>
        <v>4456141.92</v>
      </c>
      <c r="I1402" s="108"/>
      <c r="O1402" s="108"/>
      <c r="P1402" s="108"/>
      <c r="Q1402" s="108"/>
      <c r="R1402" s="108"/>
      <c r="S1402" s="108"/>
    </row>
    <row r="1403" spans="1:19" s="3" customFormat="1" ht="25.5">
      <c r="A1403" s="16" t="s">
        <v>56</v>
      </c>
      <c r="B1403" s="14">
        <v>793</v>
      </c>
      <c r="C1403" s="15" t="s">
        <v>19</v>
      </c>
      <c r="D1403" s="15" t="s">
        <v>54</v>
      </c>
      <c r="E1403" s="15" t="s">
        <v>675</v>
      </c>
      <c r="F1403" s="15" t="s">
        <v>59</v>
      </c>
      <c r="G1403" s="69">
        <f>'прил 5,'!G1151</f>
        <v>4461641.42</v>
      </c>
      <c r="H1403" s="69">
        <f>'прил 5,'!H1151</f>
        <v>4456141.92</v>
      </c>
      <c r="I1403" s="108"/>
      <c r="O1403" s="108"/>
      <c r="P1403" s="108"/>
      <c r="Q1403" s="108"/>
      <c r="R1403" s="108"/>
      <c r="S1403" s="108"/>
    </row>
    <row r="1404" spans="1:19" s="3" customFormat="1">
      <c r="A1404" s="16" t="s">
        <v>323</v>
      </c>
      <c r="B1404" s="14">
        <v>793</v>
      </c>
      <c r="C1404" s="15" t="s">
        <v>19</v>
      </c>
      <c r="D1404" s="15" t="s">
        <v>54</v>
      </c>
      <c r="E1404" s="15" t="s">
        <v>675</v>
      </c>
      <c r="F1404" s="15" t="s">
        <v>37</v>
      </c>
      <c r="G1404" s="69">
        <f>G1405</f>
        <v>314928.13</v>
      </c>
      <c r="H1404" s="69">
        <f>H1405</f>
        <v>309299.89</v>
      </c>
      <c r="I1404" s="108"/>
      <c r="O1404" s="108"/>
      <c r="P1404" s="108"/>
      <c r="Q1404" s="108"/>
      <c r="R1404" s="108"/>
      <c r="S1404" s="108"/>
    </row>
    <row r="1405" spans="1:19" s="3" customFormat="1" ht="25.5">
      <c r="A1405" s="16" t="s">
        <v>38</v>
      </c>
      <c r="B1405" s="14">
        <v>793</v>
      </c>
      <c r="C1405" s="15" t="s">
        <v>19</v>
      </c>
      <c r="D1405" s="15" t="s">
        <v>54</v>
      </c>
      <c r="E1405" s="15" t="s">
        <v>675</v>
      </c>
      <c r="F1405" s="15" t="s">
        <v>39</v>
      </c>
      <c r="G1405" s="69">
        <f>'прил 5,'!G1153</f>
        <v>314928.13</v>
      </c>
      <c r="H1405" s="69">
        <f>'прил 5,'!H1153</f>
        <v>309299.89</v>
      </c>
      <c r="I1405" s="108"/>
      <c r="O1405" s="108"/>
      <c r="P1405" s="108"/>
      <c r="Q1405" s="108"/>
      <c r="R1405" s="108"/>
      <c r="S1405" s="108"/>
    </row>
    <row r="1406" spans="1:19" s="3" customFormat="1" ht="76.5">
      <c r="A1406" s="16" t="s">
        <v>678</v>
      </c>
      <c r="B1406" s="14">
        <v>793</v>
      </c>
      <c r="C1406" s="15" t="s">
        <v>19</v>
      </c>
      <c r="D1406" s="15" t="s">
        <v>54</v>
      </c>
      <c r="E1406" s="15" t="s">
        <v>679</v>
      </c>
      <c r="F1406" s="15"/>
      <c r="G1406" s="69">
        <f>G1407+G1409</f>
        <v>1502406.02</v>
      </c>
      <c r="H1406" s="69">
        <f>H1407+H1409</f>
        <v>1502406.02</v>
      </c>
      <c r="I1406" s="108"/>
      <c r="O1406" s="108"/>
      <c r="P1406" s="108"/>
      <c r="Q1406" s="108"/>
      <c r="R1406" s="108"/>
      <c r="S1406" s="108"/>
    </row>
    <row r="1407" spans="1:19" s="3" customFormat="1" ht="51">
      <c r="A1407" s="16" t="s">
        <v>319</v>
      </c>
      <c r="B1407" s="14">
        <v>793</v>
      </c>
      <c r="C1407" s="15" t="s">
        <v>19</v>
      </c>
      <c r="D1407" s="15" t="s">
        <v>54</v>
      </c>
      <c r="E1407" s="15" t="s">
        <v>716</v>
      </c>
      <c r="F1407" s="15" t="s">
        <v>58</v>
      </c>
      <c r="G1407" s="69">
        <f>G1408</f>
        <v>1445792.76</v>
      </c>
      <c r="H1407" s="69">
        <f>H1408</f>
        <v>1445792.76</v>
      </c>
      <c r="I1407" s="108"/>
      <c r="O1407" s="108"/>
      <c r="P1407" s="108"/>
      <c r="Q1407" s="108"/>
      <c r="R1407" s="108"/>
      <c r="S1407" s="108"/>
    </row>
    <row r="1408" spans="1:19" s="3" customFormat="1" ht="25.5">
      <c r="A1408" s="16" t="s">
        <v>56</v>
      </c>
      <c r="B1408" s="14">
        <v>793</v>
      </c>
      <c r="C1408" s="15" t="s">
        <v>19</v>
      </c>
      <c r="D1408" s="15" t="s">
        <v>54</v>
      </c>
      <c r="E1408" s="15" t="s">
        <v>716</v>
      </c>
      <c r="F1408" s="15" t="s">
        <v>59</v>
      </c>
      <c r="G1408" s="69">
        <f>'прил 5,'!G1156</f>
        <v>1445792.76</v>
      </c>
      <c r="H1408" s="69">
        <f>'прил 5,'!H1156</f>
        <v>1445792.76</v>
      </c>
      <c r="I1408" s="108"/>
      <c r="O1408" s="108"/>
      <c r="P1408" s="108"/>
      <c r="Q1408" s="108"/>
      <c r="R1408" s="108"/>
      <c r="S1408" s="108"/>
    </row>
    <row r="1409" spans="1:19" s="3" customFormat="1">
      <c r="A1409" s="16" t="s">
        <v>323</v>
      </c>
      <c r="B1409" s="14">
        <v>793</v>
      </c>
      <c r="C1409" s="15" t="s">
        <v>19</v>
      </c>
      <c r="D1409" s="15" t="s">
        <v>54</v>
      </c>
      <c r="E1409" s="15" t="s">
        <v>716</v>
      </c>
      <c r="F1409" s="15" t="s">
        <v>37</v>
      </c>
      <c r="G1409" s="69">
        <f>G1410</f>
        <v>56613.26</v>
      </c>
      <c r="H1409" s="69">
        <f>H1410</f>
        <v>56613.26</v>
      </c>
      <c r="I1409" s="108"/>
      <c r="O1409" s="108"/>
      <c r="P1409" s="108"/>
      <c r="Q1409" s="108"/>
      <c r="R1409" s="108"/>
      <c r="S1409" s="108"/>
    </row>
    <row r="1410" spans="1:19" s="3" customFormat="1" ht="25.5">
      <c r="A1410" s="16" t="s">
        <v>38</v>
      </c>
      <c r="B1410" s="14">
        <v>793</v>
      </c>
      <c r="C1410" s="15" t="s">
        <v>19</v>
      </c>
      <c r="D1410" s="15" t="s">
        <v>54</v>
      </c>
      <c r="E1410" s="15" t="s">
        <v>716</v>
      </c>
      <c r="F1410" s="15" t="s">
        <v>39</v>
      </c>
      <c r="G1410" s="69">
        <f>'прил 5,'!G1160</f>
        <v>56613.26</v>
      </c>
      <c r="H1410" s="69">
        <f>'прил 5,'!H1160</f>
        <v>56613.26</v>
      </c>
      <c r="I1410" s="108"/>
      <c r="O1410" s="108"/>
      <c r="P1410" s="108"/>
      <c r="Q1410" s="108"/>
      <c r="R1410" s="108"/>
      <c r="S1410" s="108"/>
    </row>
    <row r="1411" spans="1:19" ht="25.5" customHeight="1">
      <c r="A1411" s="80" t="s">
        <v>329</v>
      </c>
      <c r="B1411" s="14">
        <v>793</v>
      </c>
      <c r="C1411" s="15" t="s">
        <v>19</v>
      </c>
      <c r="D1411" s="15" t="s">
        <v>54</v>
      </c>
      <c r="E1411" s="15" t="s">
        <v>246</v>
      </c>
      <c r="F1411" s="15"/>
      <c r="G1411" s="69">
        <f>G1412+G1414</f>
        <v>369351.5</v>
      </c>
      <c r="H1411" s="69">
        <f>H1412+H1414</f>
        <v>315478.41000000003</v>
      </c>
    </row>
    <row r="1412" spans="1:19" s="3" customFormat="1" ht="51">
      <c r="A1412" s="16" t="s">
        <v>319</v>
      </c>
      <c r="B1412" s="14">
        <v>793</v>
      </c>
      <c r="C1412" s="15" t="s">
        <v>19</v>
      </c>
      <c r="D1412" s="15" t="s">
        <v>54</v>
      </c>
      <c r="E1412" s="15" t="s">
        <v>246</v>
      </c>
      <c r="F1412" s="15" t="s">
        <v>58</v>
      </c>
      <c r="G1412" s="69">
        <f>G1413</f>
        <v>305782</v>
      </c>
      <c r="H1412" s="69">
        <f>H1413</f>
        <v>251908.91</v>
      </c>
      <c r="I1412" s="108"/>
      <c r="O1412" s="108"/>
      <c r="P1412" s="108"/>
      <c r="Q1412" s="108"/>
      <c r="R1412" s="108"/>
      <c r="S1412" s="108"/>
    </row>
    <row r="1413" spans="1:19" s="3" customFormat="1" ht="25.5">
      <c r="A1413" s="16" t="s">
        <v>56</v>
      </c>
      <c r="B1413" s="14">
        <v>793</v>
      </c>
      <c r="C1413" s="15" t="s">
        <v>19</v>
      </c>
      <c r="D1413" s="15" t="s">
        <v>54</v>
      </c>
      <c r="E1413" s="15" t="s">
        <v>246</v>
      </c>
      <c r="F1413" s="15" t="s">
        <v>59</v>
      </c>
      <c r="G1413" s="69">
        <f>'прил 5,'!G1163</f>
        <v>305782</v>
      </c>
      <c r="H1413" s="69">
        <f>'прил 5,'!H1163</f>
        <v>251908.91</v>
      </c>
      <c r="I1413" s="108"/>
      <c r="O1413" s="108"/>
      <c r="P1413" s="108"/>
      <c r="Q1413" s="108"/>
      <c r="R1413" s="108"/>
      <c r="S1413" s="108"/>
    </row>
    <row r="1414" spans="1:19" ht="25.5" customHeight="1">
      <c r="A1414" s="16" t="s">
        <v>323</v>
      </c>
      <c r="B1414" s="14">
        <v>793</v>
      </c>
      <c r="C1414" s="15" t="s">
        <v>19</v>
      </c>
      <c r="D1414" s="15" t="s">
        <v>54</v>
      </c>
      <c r="E1414" s="15" t="s">
        <v>246</v>
      </c>
      <c r="F1414" s="15" t="s">
        <v>37</v>
      </c>
      <c r="G1414" s="69">
        <f>G1415</f>
        <v>63569.5</v>
      </c>
      <c r="H1414" s="69">
        <f>H1415</f>
        <v>63569.5</v>
      </c>
    </row>
    <row r="1415" spans="1:19" ht="25.5" customHeight="1">
      <c r="A1415" s="16" t="s">
        <v>38</v>
      </c>
      <c r="B1415" s="14">
        <v>793</v>
      </c>
      <c r="C1415" s="15" t="s">
        <v>19</v>
      </c>
      <c r="D1415" s="15" t="s">
        <v>54</v>
      </c>
      <c r="E1415" s="15" t="s">
        <v>246</v>
      </c>
      <c r="F1415" s="15" t="s">
        <v>39</v>
      </c>
      <c r="G1415" s="69">
        <f>'прил 5,'!G1165</f>
        <v>63569.5</v>
      </c>
      <c r="H1415" s="69">
        <f>'прил 5,'!H1165</f>
        <v>63569.5</v>
      </c>
    </row>
    <row r="1416" spans="1:19" s="46" customFormat="1" ht="63.75">
      <c r="A1416" s="16" t="s">
        <v>330</v>
      </c>
      <c r="B1416" s="14">
        <v>793</v>
      </c>
      <c r="C1416" s="15" t="s">
        <v>19</v>
      </c>
      <c r="D1416" s="15" t="s">
        <v>54</v>
      </c>
      <c r="E1416" s="15" t="s">
        <v>385</v>
      </c>
      <c r="F1416" s="15"/>
      <c r="G1416" s="69">
        <f t="shared" ref="G1416:H1417" si="380">G1417</f>
        <v>14000</v>
      </c>
      <c r="H1416" s="69">
        <f t="shared" si="380"/>
        <v>2941</v>
      </c>
      <c r="I1416" s="107"/>
      <c r="O1416" s="107"/>
      <c r="P1416" s="107"/>
      <c r="Q1416" s="107"/>
      <c r="R1416" s="107"/>
      <c r="S1416" s="107"/>
    </row>
    <row r="1417" spans="1:19" s="46" customFormat="1">
      <c r="A1417" s="16" t="s">
        <v>323</v>
      </c>
      <c r="B1417" s="14">
        <v>793</v>
      </c>
      <c r="C1417" s="15" t="s">
        <v>19</v>
      </c>
      <c r="D1417" s="15" t="s">
        <v>54</v>
      </c>
      <c r="E1417" s="15" t="s">
        <v>385</v>
      </c>
      <c r="F1417" s="15" t="s">
        <v>37</v>
      </c>
      <c r="G1417" s="86">
        <f t="shared" si="380"/>
        <v>14000</v>
      </c>
      <c r="H1417" s="86">
        <f t="shared" si="380"/>
        <v>2941</v>
      </c>
      <c r="I1417" s="107"/>
      <c r="O1417" s="107"/>
      <c r="P1417" s="107"/>
      <c r="Q1417" s="107"/>
      <c r="R1417" s="107"/>
      <c r="S1417" s="107"/>
    </row>
    <row r="1418" spans="1:19" s="46" customFormat="1" ht="25.5">
      <c r="A1418" s="16" t="s">
        <v>38</v>
      </c>
      <c r="B1418" s="14">
        <v>793</v>
      </c>
      <c r="C1418" s="15" t="s">
        <v>19</v>
      </c>
      <c r="D1418" s="15" t="s">
        <v>54</v>
      </c>
      <c r="E1418" s="15" t="s">
        <v>385</v>
      </c>
      <c r="F1418" s="15" t="s">
        <v>39</v>
      </c>
      <c r="G1418" s="86">
        <f>'прил 5,'!G1168</f>
        <v>14000</v>
      </c>
      <c r="H1418" s="86">
        <f>'прил 5,'!H1168</f>
        <v>2941</v>
      </c>
      <c r="I1418" s="107"/>
      <c r="O1418" s="107"/>
      <c r="P1418" s="107"/>
      <c r="Q1418" s="107"/>
      <c r="R1418" s="107"/>
      <c r="S1418" s="107"/>
    </row>
    <row r="1419" spans="1:19" s="46" customFormat="1" ht="102" customHeight="1">
      <c r="A1419" s="16" t="s">
        <v>934</v>
      </c>
      <c r="B1419" s="14">
        <v>793</v>
      </c>
      <c r="C1419" s="15" t="s">
        <v>19</v>
      </c>
      <c r="D1419" s="15" t="s">
        <v>54</v>
      </c>
      <c r="E1419" s="15" t="s">
        <v>933</v>
      </c>
      <c r="F1419" s="15"/>
      <c r="G1419" s="69">
        <f t="shared" ref="G1419:H1420" si="381">G1420</f>
        <v>67827</v>
      </c>
      <c r="H1419" s="69">
        <f t="shared" si="381"/>
        <v>0</v>
      </c>
      <c r="I1419" s="171"/>
      <c r="J1419" s="213"/>
      <c r="K1419" s="213"/>
      <c r="L1419" s="213"/>
      <c r="M1419" s="213"/>
      <c r="N1419" s="213"/>
      <c r="O1419" s="213"/>
      <c r="P1419" s="213"/>
      <c r="Q1419" s="213"/>
    </row>
    <row r="1420" spans="1:19" s="46" customFormat="1" ht="27" customHeight="1">
      <c r="A1420" s="16" t="s">
        <v>323</v>
      </c>
      <c r="B1420" s="14">
        <v>793</v>
      </c>
      <c r="C1420" s="15" t="s">
        <v>19</v>
      </c>
      <c r="D1420" s="15" t="s">
        <v>54</v>
      </c>
      <c r="E1420" s="15" t="s">
        <v>933</v>
      </c>
      <c r="F1420" s="15" t="s">
        <v>37</v>
      </c>
      <c r="G1420" s="69">
        <f t="shared" si="381"/>
        <v>67827</v>
      </c>
      <c r="H1420" s="69">
        <f t="shared" si="381"/>
        <v>0</v>
      </c>
      <c r="I1420" s="171"/>
      <c r="J1420" s="213"/>
      <c r="K1420" s="213"/>
      <c r="L1420" s="213"/>
      <c r="M1420" s="213"/>
      <c r="N1420" s="213"/>
      <c r="O1420" s="213"/>
      <c r="P1420" s="213"/>
      <c r="Q1420" s="213"/>
    </row>
    <row r="1421" spans="1:19" s="46" customFormat="1" ht="25.5">
      <c r="A1421" s="16" t="s">
        <v>38</v>
      </c>
      <c r="B1421" s="14">
        <v>793</v>
      </c>
      <c r="C1421" s="15" t="s">
        <v>19</v>
      </c>
      <c r="D1421" s="15" t="s">
        <v>54</v>
      </c>
      <c r="E1421" s="15" t="s">
        <v>933</v>
      </c>
      <c r="F1421" s="15" t="s">
        <v>39</v>
      </c>
      <c r="G1421" s="69">
        <f>'прил 5,'!G1171</f>
        <v>67827</v>
      </c>
      <c r="H1421" s="69">
        <v>0</v>
      </c>
      <c r="I1421" s="171"/>
      <c r="J1421" s="213"/>
      <c r="K1421" s="213"/>
      <c r="L1421" s="213"/>
      <c r="M1421" s="213"/>
      <c r="N1421" s="213"/>
      <c r="O1421" s="213"/>
      <c r="P1421" s="213"/>
      <c r="Q1421" s="213"/>
    </row>
    <row r="1422" spans="1:19" s="22" customFormat="1" ht="25.5">
      <c r="A1422" s="34" t="s">
        <v>362</v>
      </c>
      <c r="B1422" s="35">
        <v>794</v>
      </c>
      <c r="C1422" s="36" t="s">
        <v>19</v>
      </c>
      <c r="D1422" s="36" t="s">
        <v>70</v>
      </c>
      <c r="E1422" s="36" t="s">
        <v>263</v>
      </c>
      <c r="F1422" s="36"/>
      <c r="G1422" s="70">
        <f>G1423+G1427+G1431</f>
        <v>3254488.71</v>
      </c>
      <c r="H1422" s="70">
        <f>H1423+H1427+H1431+H1438</f>
        <v>3110766.7800000003</v>
      </c>
      <c r="I1422" s="21">
        <v>1141737</v>
      </c>
      <c r="O1422" s="21"/>
      <c r="P1422" s="21"/>
      <c r="Q1422" s="21"/>
      <c r="R1422" s="21"/>
      <c r="S1422" s="21"/>
    </row>
    <row r="1423" spans="1:19" s="33" customFormat="1" ht="25.5">
      <c r="A1423" s="16" t="s">
        <v>363</v>
      </c>
      <c r="B1423" s="14">
        <v>794</v>
      </c>
      <c r="C1423" s="15" t="s">
        <v>19</v>
      </c>
      <c r="D1423" s="15" t="s">
        <v>70</v>
      </c>
      <c r="E1423" s="15" t="s">
        <v>264</v>
      </c>
      <c r="F1423" s="39"/>
      <c r="G1423" s="86">
        <f>G1424</f>
        <v>1575485.85</v>
      </c>
      <c r="H1423" s="86">
        <f t="shared" ref="H1423:H1425" si="382">H1424</f>
        <v>1537773.79</v>
      </c>
      <c r="I1423" s="110">
        <v>541620</v>
      </c>
      <c r="O1423" s="110"/>
      <c r="P1423" s="110"/>
      <c r="Q1423" s="110"/>
      <c r="R1423" s="110"/>
      <c r="S1423" s="110"/>
    </row>
    <row r="1424" spans="1:19" s="33" customFormat="1" ht="25.5">
      <c r="A1424" s="16" t="s">
        <v>76</v>
      </c>
      <c r="B1424" s="14">
        <v>794</v>
      </c>
      <c r="C1424" s="15" t="s">
        <v>19</v>
      </c>
      <c r="D1424" s="15" t="s">
        <v>70</v>
      </c>
      <c r="E1424" s="15" t="s">
        <v>265</v>
      </c>
      <c r="F1424" s="15"/>
      <c r="G1424" s="86">
        <f>G1425</f>
        <v>1575485.85</v>
      </c>
      <c r="H1424" s="86">
        <f t="shared" si="382"/>
        <v>1537773.79</v>
      </c>
      <c r="I1424" s="110">
        <v>797785</v>
      </c>
      <c r="O1424" s="110"/>
      <c r="P1424" s="110"/>
      <c r="Q1424" s="110"/>
      <c r="R1424" s="110"/>
      <c r="S1424" s="110"/>
    </row>
    <row r="1425" spans="1:19" s="33" customFormat="1" ht="51">
      <c r="A1425" s="56" t="s">
        <v>55</v>
      </c>
      <c r="B1425" s="14">
        <v>794</v>
      </c>
      <c r="C1425" s="15" t="s">
        <v>19</v>
      </c>
      <c r="D1425" s="15" t="s">
        <v>70</v>
      </c>
      <c r="E1425" s="15" t="s">
        <v>265</v>
      </c>
      <c r="F1425" s="15" t="s">
        <v>58</v>
      </c>
      <c r="G1425" s="86">
        <f>G1426</f>
        <v>1575485.85</v>
      </c>
      <c r="H1425" s="86">
        <f t="shared" si="382"/>
        <v>1537773.79</v>
      </c>
      <c r="I1425" s="110">
        <v>630505</v>
      </c>
      <c r="O1425" s="110"/>
      <c r="P1425" s="110"/>
      <c r="Q1425" s="110"/>
      <c r="R1425" s="110"/>
      <c r="S1425" s="110"/>
    </row>
    <row r="1426" spans="1:19" ht="25.5">
      <c r="A1426" s="56" t="s">
        <v>56</v>
      </c>
      <c r="B1426" s="14">
        <v>794</v>
      </c>
      <c r="C1426" s="15" t="s">
        <v>19</v>
      </c>
      <c r="D1426" s="15" t="s">
        <v>70</v>
      </c>
      <c r="E1426" s="15" t="s">
        <v>265</v>
      </c>
      <c r="F1426" s="15" t="s">
        <v>59</v>
      </c>
      <c r="G1426" s="86">
        <f>'прил 5,'!G1816</f>
        <v>1575485.85</v>
      </c>
      <c r="H1426" s="86">
        <f>'прил 5,'!H1816</f>
        <v>1537773.79</v>
      </c>
      <c r="I1426" s="110">
        <v>1885891</v>
      </c>
    </row>
    <row r="1427" spans="1:19" s="33" customFormat="1" ht="25.5">
      <c r="A1427" s="16" t="s">
        <v>364</v>
      </c>
      <c r="B1427" s="14">
        <v>794</v>
      </c>
      <c r="C1427" s="15" t="s">
        <v>19</v>
      </c>
      <c r="D1427" s="15" t="s">
        <v>70</v>
      </c>
      <c r="E1427" s="15" t="s">
        <v>266</v>
      </c>
      <c r="F1427" s="39"/>
      <c r="G1427" s="86">
        <f>G1428</f>
        <v>165512</v>
      </c>
      <c r="H1427" s="86">
        <f t="shared" ref="H1427:H1429" si="383">H1428</f>
        <v>163419.98000000001</v>
      </c>
      <c r="I1427" s="110">
        <v>61300</v>
      </c>
      <c r="O1427" s="110"/>
      <c r="P1427" s="110"/>
      <c r="Q1427" s="110"/>
      <c r="R1427" s="110"/>
      <c r="S1427" s="110"/>
    </row>
    <row r="1428" spans="1:19" s="33" customFormat="1" ht="25.5">
      <c r="A1428" s="16" t="s">
        <v>76</v>
      </c>
      <c r="B1428" s="14">
        <v>794</v>
      </c>
      <c r="C1428" s="15" t="s">
        <v>19</v>
      </c>
      <c r="D1428" s="15" t="s">
        <v>70</v>
      </c>
      <c r="E1428" s="15" t="s">
        <v>267</v>
      </c>
      <c r="F1428" s="15"/>
      <c r="G1428" s="86">
        <f>G1429</f>
        <v>165512</v>
      </c>
      <c r="H1428" s="86">
        <f t="shared" si="383"/>
        <v>163419.98000000001</v>
      </c>
      <c r="I1428" s="110">
        <f>SUM(I1422:I1427)</f>
        <v>5058838</v>
      </c>
      <c r="O1428" s="110"/>
      <c r="P1428" s="110"/>
      <c r="Q1428" s="110"/>
      <c r="R1428" s="110"/>
      <c r="S1428" s="110"/>
    </row>
    <row r="1429" spans="1:19" s="33" customFormat="1" ht="51">
      <c r="A1429" s="56" t="s">
        <v>55</v>
      </c>
      <c r="B1429" s="14">
        <v>794</v>
      </c>
      <c r="C1429" s="15" t="s">
        <v>19</v>
      </c>
      <c r="D1429" s="15" t="s">
        <v>70</v>
      </c>
      <c r="E1429" s="15" t="s">
        <v>267</v>
      </c>
      <c r="F1429" s="15" t="s">
        <v>58</v>
      </c>
      <c r="G1429" s="86">
        <f>G1430</f>
        <v>165512</v>
      </c>
      <c r="H1429" s="86">
        <f t="shared" si="383"/>
        <v>163419.98000000001</v>
      </c>
      <c r="I1429" s="110"/>
      <c r="O1429" s="110"/>
      <c r="P1429" s="110"/>
      <c r="Q1429" s="110"/>
      <c r="R1429" s="110"/>
      <c r="S1429" s="110"/>
    </row>
    <row r="1430" spans="1:19" s="33" customFormat="1" ht="25.5">
      <c r="A1430" s="56" t="s">
        <v>56</v>
      </c>
      <c r="B1430" s="14">
        <v>794</v>
      </c>
      <c r="C1430" s="15" t="s">
        <v>19</v>
      </c>
      <c r="D1430" s="15" t="s">
        <v>70</v>
      </c>
      <c r="E1430" s="15" t="s">
        <v>267</v>
      </c>
      <c r="F1430" s="15" t="s">
        <v>59</v>
      </c>
      <c r="G1430" s="86">
        <f>'прил 5,'!G1820</f>
        <v>165512</v>
      </c>
      <c r="H1430" s="86">
        <f>'прил 5,'!H1818</f>
        <v>163419.98000000001</v>
      </c>
      <c r="I1430" s="110"/>
      <c r="O1430" s="110"/>
      <c r="P1430" s="110"/>
      <c r="Q1430" s="110"/>
      <c r="R1430" s="110"/>
      <c r="S1430" s="110"/>
    </row>
    <row r="1431" spans="1:19">
      <c r="A1431" s="56" t="s">
        <v>365</v>
      </c>
      <c r="B1431" s="14">
        <v>794</v>
      </c>
      <c r="C1431" s="15" t="s">
        <v>19</v>
      </c>
      <c r="D1431" s="15" t="s">
        <v>70</v>
      </c>
      <c r="E1431" s="15" t="s">
        <v>268</v>
      </c>
      <c r="F1431" s="15"/>
      <c r="G1431" s="86">
        <f>G1432</f>
        <v>1513490.8599999999</v>
      </c>
      <c r="H1431" s="86">
        <f>H1432</f>
        <v>1409573.01</v>
      </c>
    </row>
    <row r="1432" spans="1:19" s="33" customFormat="1" ht="25.5">
      <c r="A1432" s="16" t="s">
        <v>76</v>
      </c>
      <c r="B1432" s="14">
        <v>794</v>
      </c>
      <c r="C1432" s="15" t="s">
        <v>19</v>
      </c>
      <c r="D1432" s="15" t="s">
        <v>70</v>
      </c>
      <c r="E1432" s="15" t="s">
        <v>269</v>
      </c>
      <c r="F1432" s="39"/>
      <c r="G1432" s="86">
        <f>G1433+G1435</f>
        <v>1513490.8599999999</v>
      </c>
      <c r="H1432" s="86">
        <f>H1433+H1435</f>
        <v>1409573.01</v>
      </c>
      <c r="I1432" s="110"/>
      <c r="O1432" s="110"/>
      <c r="P1432" s="110"/>
      <c r="Q1432" s="110"/>
      <c r="R1432" s="110"/>
      <c r="S1432" s="110"/>
    </row>
    <row r="1433" spans="1:19" ht="51">
      <c r="A1433" s="56" t="s">
        <v>55</v>
      </c>
      <c r="B1433" s="14">
        <v>794</v>
      </c>
      <c r="C1433" s="15" t="s">
        <v>19</v>
      </c>
      <c r="D1433" s="15" t="s">
        <v>70</v>
      </c>
      <c r="E1433" s="15" t="s">
        <v>269</v>
      </c>
      <c r="F1433" s="15" t="s">
        <v>58</v>
      </c>
      <c r="G1433" s="86">
        <f>G1434</f>
        <v>1168379.71</v>
      </c>
      <c r="H1433" s="86">
        <f>H1434</f>
        <v>1127447.22</v>
      </c>
    </row>
    <row r="1434" spans="1:19" ht="25.5">
      <c r="A1434" s="56" t="s">
        <v>56</v>
      </c>
      <c r="B1434" s="14">
        <v>794</v>
      </c>
      <c r="C1434" s="15" t="s">
        <v>19</v>
      </c>
      <c r="D1434" s="15" t="s">
        <v>70</v>
      </c>
      <c r="E1434" s="15" t="s">
        <v>269</v>
      </c>
      <c r="F1434" s="15" t="s">
        <v>59</v>
      </c>
      <c r="G1434" s="86">
        <f>'прил 5,'!G1824</f>
        <v>1168379.71</v>
      </c>
      <c r="H1434" s="86">
        <f>'прил 5,'!H1824</f>
        <v>1127447.22</v>
      </c>
    </row>
    <row r="1435" spans="1:19" ht="25.5">
      <c r="A1435" s="16" t="s">
        <v>36</v>
      </c>
      <c r="B1435" s="14">
        <v>794</v>
      </c>
      <c r="C1435" s="15" t="s">
        <v>19</v>
      </c>
      <c r="D1435" s="15" t="s">
        <v>70</v>
      </c>
      <c r="E1435" s="15" t="s">
        <v>269</v>
      </c>
      <c r="F1435" s="15" t="s">
        <v>37</v>
      </c>
      <c r="G1435" s="86">
        <f>G1436</f>
        <v>345111.15</v>
      </c>
      <c r="H1435" s="86">
        <f>H1436</f>
        <v>282125.78999999998</v>
      </c>
    </row>
    <row r="1436" spans="1:19" ht="25.5">
      <c r="A1436" s="16" t="s">
        <v>38</v>
      </c>
      <c r="B1436" s="14">
        <v>794</v>
      </c>
      <c r="C1436" s="15" t="s">
        <v>19</v>
      </c>
      <c r="D1436" s="15" t="s">
        <v>70</v>
      </c>
      <c r="E1436" s="15" t="s">
        <v>269</v>
      </c>
      <c r="F1436" s="15" t="s">
        <v>39</v>
      </c>
      <c r="G1436" s="86">
        <f>'прил 5,'!G1826</f>
        <v>345111.15</v>
      </c>
      <c r="H1436" s="86">
        <f>'прил 5,'!H1826</f>
        <v>282125.78999999998</v>
      </c>
    </row>
    <row r="1437" spans="1:19" s="22" customFormat="1" ht="25.5">
      <c r="A1437" s="34" t="s">
        <v>838</v>
      </c>
      <c r="B1437" s="35">
        <v>799</v>
      </c>
      <c r="C1437" s="36" t="s">
        <v>19</v>
      </c>
      <c r="D1437" s="36" t="s">
        <v>161</v>
      </c>
      <c r="E1437" s="36" t="s">
        <v>839</v>
      </c>
      <c r="F1437" s="36"/>
      <c r="G1437" s="70">
        <f>G1439+G1444</f>
        <v>2477384.79</v>
      </c>
      <c r="H1437" s="70">
        <f>H1439+H1444</f>
        <v>2466230.67</v>
      </c>
      <c r="O1437" s="21"/>
      <c r="P1437" s="21"/>
      <c r="Q1437" s="21"/>
      <c r="R1437" s="21"/>
      <c r="S1437" s="21"/>
    </row>
    <row r="1438" spans="1:19" s="46" customFormat="1" ht="25.5" hidden="1">
      <c r="A1438" s="56" t="s">
        <v>367</v>
      </c>
      <c r="B1438" s="14">
        <v>794</v>
      </c>
      <c r="C1438" s="15" t="s">
        <v>19</v>
      </c>
      <c r="D1438" s="15" t="s">
        <v>161</v>
      </c>
      <c r="E1438" s="15" t="s">
        <v>270</v>
      </c>
      <c r="F1438" s="15"/>
      <c r="G1438" s="86"/>
      <c r="H1438" s="86"/>
      <c r="I1438" s="107"/>
      <c r="O1438" s="107"/>
      <c r="P1438" s="107"/>
      <c r="Q1438" s="107"/>
      <c r="R1438" s="107"/>
      <c r="S1438" s="107"/>
    </row>
    <row r="1439" spans="1:19" s="46" customFormat="1" ht="25.5">
      <c r="A1439" s="16" t="s">
        <v>76</v>
      </c>
      <c r="B1439" s="14">
        <v>794</v>
      </c>
      <c r="C1439" s="15" t="s">
        <v>19</v>
      </c>
      <c r="D1439" s="15" t="s">
        <v>161</v>
      </c>
      <c r="E1439" s="15" t="s">
        <v>840</v>
      </c>
      <c r="F1439" s="15"/>
      <c r="G1439" s="86">
        <f>G1440+G1442</f>
        <v>2429370.29</v>
      </c>
      <c r="H1439" s="86">
        <f t="shared" ref="H1439" si="384">H1440+H1442</f>
        <v>2418905.17</v>
      </c>
      <c r="I1439" s="107"/>
      <c r="O1439" s="107"/>
      <c r="P1439" s="107"/>
      <c r="Q1439" s="107"/>
      <c r="R1439" s="107"/>
      <c r="S1439" s="107"/>
    </row>
    <row r="1440" spans="1:19" s="3" customFormat="1" ht="51">
      <c r="A1440" s="56" t="s">
        <v>55</v>
      </c>
      <c r="B1440" s="14">
        <v>794</v>
      </c>
      <c r="C1440" s="15" t="s">
        <v>19</v>
      </c>
      <c r="D1440" s="15" t="s">
        <v>161</v>
      </c>
      <c r="E1440" s="15" t="s">
        <v>840</v>
      </c>
      <c r="F1440" s="15" t="s">
        <v>58</v>
      </c>
      <c r="G1440" s="86">
        <f>G1441</f>
        <v>2295770.29</v>
      </c>
      <c r="H1440" s="86">
        <f>H1441</f>
        <v>2291673.59</v>
      </c>
      <c r="I1440" s="108"/>
      <c r="O1440" s="108"/>
      <c r="P1440" s="108"/>
      <c r="Q1440" s="108"/>
      <c r="R1440" s="108"/>
      <c r="S1440" s="108"/>
    </row>
    <row r="1441" spans="1:19" s="3" customFormat="1" ht="25.5">
      <c r="A1441" s="56" t="s">
        <v>56</v>
      </c>
      <c r="B1441" s="14">
        <v>794</v>
      </c>
      <c r="C1441" s="15" t="s">
        <v>19</v>
      </c>
      <c r="D1441" s="15" t="s">
        <v>161</v>
      </c>
      <c r="E1441" s="15" t="s">
        <v>840</v>
      </c>
      <c r="F1441" s="15" t="s">
        <v>59</v>
      </c>
      <c r="G1441" s="86">
        <f>'прил 5,'!G2256</f>
        <v>2295770.29</v>
      </c>
      <c r="H1441" s="86">
        <f>'прил 5,'!H2256</f>
        <v>2291673.59</v>
      </c>
      <c r="I1441" s="108"/>
      <c r="O1441" s="108"/>
      <c r="P1441" s="108"/>
      <c r="Q1441" s="108"/>
      <c r="R1441" s="108"/>
      <c r="S1441" s="108"/>
    </row>
    <row r="1442" spans="1:19" s="3" customFormat="1" ht="25.5">
      <c r="A1442" s="16" t="s">
        <v>36</v>
      </c>
      <c r="B1442" s="14">
        <v>794</v>
      </c>
      <c r="C1442" s="15" t="s">
        <v>19</v>
      </c>
      <c r="D1442" s="15" t="s">
        <v>161</v>
      </c>
      <c r="E1442" s="15" t="s">
        <v>840</v>
      </c>
      <c r="F1442" s="15" t="s">
        <v>37</v>
      </c>
      <c r="G1442" s="86">
        <f>G1443</f>
        <v>133600</v>
      </c>
      <c r="H1442" s="86">
        <f>H1443</f>
        <v>127231.58</v>
      </c>
      <c r="I1442" s="108"/>
      <c r="O1442" s="108"/>
      <c r="P1442" s="108"/>
      <c r="Q1442" s="108"/>
      <c r="R1442" s="108"/>
      <c r="S1442" s="108"/>
    </row>
    <row r="1443" spans="1:19" s="3" customFormat="1" ht="25.5">
      <c r="A1443" s="16" t="s">
        <v>38</v>
      </c>
      <c r="B1443" s="14">
        <v>794</v>
      </c>
      <c r="C1443" s="15" t="s">
        <v>19</v>
      </c>
      <c r="D1443" s="15" t="s">
        <v>161</v>
      </c>
      <c r="E1443" s="15" t="s">
        <v>840</v>
      </c>
      <c r="F1443" s="15" t="s">
        <v>39</v>
      </c>
      <c r="G1443" s="86">
        <f>'прил 5,'!G2258</f>
        <v>133600</v>
      </c>
      <c r="H1443" s="86">
        <f>'прил 5,'!H2258</f>
        <v>127231.58</v>
      </c>
      <c r="I1443" s="108"/>
      <c r="O1443" s="108"/>
      <c r="P1443" s="108"/>
      <c r="Q1443" s="108"/>
      <c r="R1443" s="108"/>
      <c r="S1443" s="108"/>
    </row>
    <row r="1444" spans="1:19" s="3" customFormat="1" ht="74.25" customHeight="1">
      <c r="A1444" s="30" t="s">
        <v>140</v>
      </c>
      <c r="B1444" s="14">
        <v>794</v>
      </c>
      <c r="C1444" s="15" t="s">
        <v>19</v>
      </c>
      <c r="D1444" s="15" t="s">
        <v>161</v>
      </c>
      <c r="E1444" s="15" t="s">
        <v>943</v>
      </c>
      <c r="F1444" s="15"/>
      <c r="G1444" s="86">
        <f t="shared" ref="G1444:H1445" si="385">G1445</f>
        <v>48014.5</v>
      </c>
      <c r="H1444" s="86">
        <f t="shared" si="385"/>
        <v>47325.5</v>
      </c>
      <c r="I1444" s="108"/>
      <c r="O1444" s="108"/>
      <c r="P1444" s="108"/>
      <c r="Q1444" s="108"/>
      <c r="R1444" s="108"/>
      <c r="S1444" s="108"/>
    </row>
    <row r="1445" spans="1:19" s="3" customFormat="1" ht="37.5" customHeight="1">
      <c r="A1445" s="16" t="s">
        <v>36</v>
      </c>
      <c r="B1445" s="14">
        <v>794</v>
      </c>
      <c r="C1445" s="15" t="s">
        <v>19</v>
      </c>
      <c r="D1445" s="15" t="s">
        <v>161</v>
      </c>
      <c r="E1445" s="15" t="s">
        <v>943</v>
      </c>
      <c r="F1445" s="15" t="s">
        <v>37</v>
      </c>
      <c r="G1445" s="86">
        <f t="shared" si="385"/>
        <v>48014.5</v>
      </c>
      <c r="H1445" s="86">
        <f t="shared" si="385"/>
        <v>47325.5</v>
      </c>
      <c r="I1445" s="108"/>
      <c r="O1445" s="108"/>
      <c r="P1445" s="108"/>
      <c r="Q1445" s="108"/>
      <c r="R1445" s="108"/>
      <c r="S1445" s="108"/>
    </row>
    <row r="1446" spans="1:19" s="3" customFormat="1" ht="38.25" customHeight="1">
      <c r="A1446" s="16" t="s">
        <v>38</v>
      </c>
      <c r="B1446" s="14">
        <v>794</v>
      </c>
      <c r="C1446" s="15" t="s">
        <v>19</v>
      </c>
      <c r="D1446" s="15" t="s">
        <v>161</v>
      </c>
      <c r="E1446" s="15" t="s">
        <v>943</v>
      </c>
      <c r="F1446" s="15" t="s">
        <v>39</v>
      </c>
      <c r="G1446" s="86">
        <f>'прил 5,'!G2261</f>
        <v>48014.5</v>
      </c>
      <c r="H1446" s="86">
        <f>'прил 5,'!H2261</f>
        <v>47325.5</v>
      </c>
      <c r="I1446" s="108"/>
      <c r="O1446" s="108"/>
      <c r="P1446" s="108"/>
      <c r="Q1446" s="108"/>
      <c r="R1446" s="108"/>
      <c r="S1446" s="108"/>
    </row>
    <row r="1447" spans="1:19" s="22" customFormat="1" ht="25.5">
      <c r="A1447" s="231" t="s">
        <v>332</v>
      </c>
      <c r="B1447" s="35">
        <v>793</v>
      </c>
      <c r="C1447" s="36" t="s">
        <v>19</v>
      </c>
      <c r="D1447" s="36" t="s">
        <v>23</v>
      </c>
      <c r="E1447" s="36" t="s">
        <v>250</v>
      </c>
      <c r="F1447" s="36"/>
      <c r="G1447" s="70">
        <f>G1448</f>
        <v>16347013</v>
      </c>
      <c r="H1447" s="70">
        <f>H1448</f>
        <v>15947768.790000001</v>
      </c>
      <c r="I1447" s="21">
        <v>8109357</v>
      </c>
      <c r="O1447" s="21"/>
      <c r="P1447" s="21"/>
      <c r="Q1447" s="21"/>
      <c r="R1447" s="21"/>
      <c r="S1447" s="21"/>
    </row>
    <row r="1448" spans="1:19" s="89" customFormat="1" ht="25.5" customHeight="1">
      <c r="A1448" s="81" t="s">
        <v>50</v>
      </c>
      <c r="B1448" s="145">
        <v>793</v>
      </c>
      <c r="C1448" s="83" t="s">
        <v>19</v>
      </c>
      <c r="D1448" s="83" t="s">
        <v>23</v>
      </c>
      <c r="E1448" s="83" t="s">
        <v>292</v>
      </c>
      <c r="F1448" s="83"/>
      <c r="G1448" s="86">
        <f>G1449+G1451+G1453</f>
        <v>16347013</v>
      </c>
      <c r="H1448" s="86">
        <f>H1449+H1451+H1453</f>
        <v>15947768.790000001</v>
      </c>
      <c r="I1448" s="122">
        <v>6041147</v>
      </c>
      <c r="O1448" s="122"/>
      <c r="P1448" s="122"/>
      <c r="Q1448" s="122"/>
      <c r="R1448" s="122"/>
      <c r="S1448" s="122"/>
    </row>
    <row r="1449" spans="1:19" s="89" customFormat="1" ht="51">
      <c r="A1449" s="81" t="s">
        <v>319</v>
      </c>
      <c r="B1449" s="145">
        <v>793</v>
      </c>
      <c r="C1449" s="83" t="s">
        <v>19</v>
      </c>
      <c r="D1449" s="83" t="s">
        <v>23</v>
      </c>
      <c r="E1449" s="83" t="s">
        <v>292</v>
      </c>
      <c r="F1449" s="83" t="s">
        <v>58</v>
      </c>
      <c r="G1449" s="86">
        <f>G1450</f>
        <v>9516493</v>
      </c>
      <c r="H1449" s="86">
        <f>H1450</f>
        <v>9498987.7200000007</v>
      </c>
      <c r="I1449" s="122">
        <v>496800</v>
      </c>
      <c r="O1449" s="122"/>
      <c r="P1449" s="122"/>
      <c r="Q1449" s="122"/>
      <c r="R1449" s="122"/>
      <c r="S1449" s="122"/>
    </row>
    <row r="1450" spans="1:19" s="89" customFormat="1">
      <c r="A1450" s="81" t="s">
        <v>326</v>
      </c>
      <c r="B1450" s="145"/>
      <c r="C1450" s="83"/>
      <c r="D1450" s="83"/>
      <c r="E1450" s="83" t="s">
        <v>292</v>
      </c>
      <c r="F1450" s="83" t="s">
        <v>325</v>
      </c>
      <c r="G1450" s="86">
        <f>'прил 5,'!G1238</f>
        <v>9516493</v>
      </c>
      <c r="H1450" s="86">
        <f>'прил 5,'!H1238</f>
        <v>9498987.7200000007</v>
      </c>
      <c r="I1450" s="122">
        <f>SUM(I1447:I1449)</f>
        <v>14647304</v>
      </c>
      <c r="O1450" s="122"/>
      <c r="P1450" s="122"/>
      <c r="Q1450" s="122"/>
      <c r="R1450" s="122"/>
      <c r="S1450" s="122"/>
    </row>
    <row r="1451" spans="1:19" s="89" customFormat="1" ht="24" customHeight="1">
      <c r="A1451" s="81" t="s">
        <v>323</v>
      </c>
      <c r="B1451" s="145">
        <v>793</v>
      </c>
      <c r="C1451" s="83" t="s">
        <v>19</v>
      </c>
      <c r="D1451" s="83" t="s">
        <v>23</v>
      </c>
      <c r="E1451" s="83" t="s">
        <v>292</v>
      </c>
      <c r="F1451" s="83" t="s">
        <v>37</v>
      </c>
      <c r="G1451" s="86">
        <f>G1452</f>
        <v>6781238</v>
      </c>
      <c r="H1451" s="86">
        <f>H1452</f>
        <v>6399499.0700000003</v>
      </c>
      <c r="I1451" s="122"/>
      <c r="O1451" s="122"/>
      <c r="P1451" s="122"/>
      <c r="Q1451" s="122"/>
      <c r="R1451" s="122"/>
      <c r="S1451" s="122"/>
    </row>
    <row r="1452" spans="1:19" s="89" customFormat="1" ht="24" customHeight="1">
      <c r="A1452" s="81" t="s">
        <v>38</v>
      </c>
      <c r="B1452" s="145">
        <v>793</v>
      </c>
      <c r="C1452" s="83" t="s">
        <v>19</v>
      </c>
      <c r="D1452" s="83" t="s">
        <v>23</v>
      </c>
      <c r="E1452" s="83" t="s">
        <v>292</v>
      </c>
      <c r="F1452" s="83" t="s">
        <v>39</v>
      </c>
      <c r="G1452" s="86">
        <f>'прил 5,'!G1240</f>
        <v>6781238</v>
      </c>
      <c r="H1452" s="86">
        <f>'прил 5,'!H1240</f>
        <v>6399499.0700000003</v>
      </c>
      <c r="I1452" s="122"/>
      <c r="O1452" s="122"/>
      <c r="P1452" s="122"/>
      <c r="Q1452" s="122"/>
      <c r="R1452" s="122"/>
      <c r="S1452" s="122"/>
    </row>
    <row r="1453" spans="1:19" s="89" customFormat="1" ht="24" customHeight="1">
      <c r="A1453" s="81" t="s">
        <v>63</v>
      </c>
      <c r="B1453" s="145">
        <v>793</v>
      </c>
      <c r="C1453" s="83" t="s">
        <v>19</v>
      </c>
      <c r="D1453" s="83" t="s">
        <v>23</v>
      </c>
      <c r="E1453" s="83" t="s">
        <v>292</v>
      </c>
      <c r="F1453" s="83" t="s">
        <v>64</v>
      </c>
      <c r="G1453" s="86">
        <f>G1455+G1454</f>
        <v>49282</v>
      </c>
      <c r="H1453" s="86">
        <f>H1455+H1454</f>
        <v>49282</v>
      </c>
      <c r="I1453" s="122"/>
      <c r="O1453" s="122"/>
      <c r="P1453" s="122"/>
      <c r="Q1453" s="122"/>
      <c r="R1453" s="122"/>
      <c r="S1453" s="122"/>
    </row>
    <row r="1454" spans="1:19" s="89" customFormat="1" ht="24" hidden="1" customHeight="1">
      <c r="A1454" s="81" t="s">
        <v>328</v>
      </c>
      <c r="B1454" s="145">
        <v>793</v>
      </c>
      <c r="C1454" s="83" t="s">
        <v>19</v>
      </c>
      <c r="D1454" s="83" t="s">
        <v>23</v>
      </c>
      <c r="E1454" s="83" t="s">
        <v>292</v>
      </c>
      <c r="F1454" s="83" t="s">
        <v>327</v>
      </c>
      <c r="G1454" s="86">
        <f>'прил 5,'!G1244</f>
        <v>0</v>
      </c>
      <c r="H1454" s="86">
        <f>'прил 5,'!AG1244</f>
        <v>0</v>
      </c>
      <c r="I1454" s="122"/>
      <c r="O1454" s="122"/>
      <c r="P1454" s="122"/>
      <c r="Q1454" s="122"/>
      <c r="R1454" s="122"/>
      <c r="S1454" s="122"/>
    </row>
    <row r="1455" spans="1:19" s="89" customFormat="1" ht="24" customHeight="1">
      <c r="A1455" s="81" t="s">
        <v>144</v>
      </c>
      <c r="B1455" s="145">
        <v>793</v>
      </c>
      <c r="C1455" s="83" t="s">
        <v>19</v>
      </c>
      <c r="D1455" s="83" t="s">
        <v>23</v>
      </c>
      <c r="E1455" s="83" t="s">
        <v>292</v>
      </c>
      <c r="F1455" s="83" t="s">
        <v>67</v>
      </c>
      <c r="G1455" s="86">
        <f>'прил 5,'!G1245</f>
        <v>49282</v>
      </c>
      <c r="H1455" s="86">
        <f>'прил 5,'!H1245</f>
        <v>49282</v>
      </c>
      <c r="I1455" s="122"/>
      <c r="O1455" s="122"/>
      <c r="P1455" s="122"/>
      <c r="Q1455" s="122"/>
      <c r="R1455" s="122"/>
      <c r="S1455" s="122"/>
    </row>
    <row r="1456" spans="1:19" s="157" customFormat="1" ht="34.5" customHeight="1">
      <c r="A1456" s="154" t="s">
        <v>169</v>
      </c>
      <c r="B1456" s="151">
        <v>793</v>
      </c>
      <c r="C1456" s="152" t="s">
        <v>19</v>
      </c>
      <c r="D1456" s="152" t="s">
        <v>72</v>
      </c>
      <c r="E1456" s="152" t="s">
        <v>233</v>
      </c>
      <c r="F1456" s="155"/>
      <c r="G1456" s="153">
        <f>G1457</f>
        <v>2190000</v>
      </c>
      <c r="H1456" s="153">
        <f>H1457</f>
        <v>2139355.66</v>
      </c>
      <c r="I1456" s="156">
        <v>1000000</v>
      </c>
      <c r="O1456" s="156"/>
      <c r="P1456" s="156"/>
      <c r="Q1456" s="156"/>
      <c r="R1456" s="156"/>
      <c r="S1456" s="156"/>
    </row>
    <row r="1457" spans="1:19" s="89" customFormat="1" ht="25.5">
      <c r="A1457" s="135" t="s">
        <v>169</v>
      </c>
      <c r="B1457" s="145">
        <v>793</v>
      </c>
      <c r="C1457" s="83" t="s">
        <v>19</v>
      </c>
      <c r="D1457" s="83" t="s">
        <v>72</v>
      </c>
      <c r="E1457" s="83" t="s">
        <v>275</v>
      </c>
      <c r="F1457" s="145"/>
      <c r="G1457" s="86">
        <f>G1458+G1460+G1462+G1464+G1466</f>
        <v>2190000</v>
      </c>
      <c r="H1457" s="86">
        <f t="shared" ref="H1457" si="386">H1458+H1460+H1462+H1464+H1466</f>
        <v>2139355.66</v>
      </c>
      <c r="I1457" s="122"/>
      <c r="O1457" s="122"/>
      <c r="P1457" s="122"/>
      <c r="Q1457" s="122"/>
      <c r="R1457" s="122"/>
      <c r="S1457" s="122"/>
    </row>
    <row r="1458" spans="1:19" s="89" customFormat="1" ht="27.75" customHeight="1">
      <c r="A1458" s="16" t="s">
        <v>323</v>
      </c>
      <c r="B1458" s="14">
        <v>793</v>
      </c>
      <c r="C1458" s="15" t="s">
        <v>19</v>
      </c>
      <c r="D1458" s="15" t="s">
        <v>23</v>
      </c>
      <c r="E1458" s="15" t="s">
        <v>275</v>
      </c>
      <c r="F1458" s="15" t="s">
        <v>37</v>
      </c>
      <c r="G1458" s="86">
        <f>G1459</f>
        <v>642670.80000000005</v>
      </c>
      <c r="H1458" s="86">
        <f>H1459</f>
        <v>596980.92000000004</v>
      </c>
      <c r="I1458" s="122"/>
      <c r="O1458" s="122"/>
      <c r="P1458" s="122"/>
      <c r="Q1458" s="122"/>
      <c r="R1458" s="122"/>
      <c r="S1458" s="122"/>
    </row>
    <row r="1459" spans="1:19" s="89" customFormat="1" ht="27.75" customHeight="1">
      <c r="A1459" s="16" t="s">
        <v>38</v>
      </c>
      <c r="B1459" s="14">
        <v>793</v>
      </c>
      <c r="C1459" s="15" t="s">
        <v>19</v>
      </c>
      <c r="D1459" s="15" t="s">
        <v>23</v>
      </c>
      <c r="E1459" s="15" t="s">
        <v>275</v>
      </c>
      <c r="F1459" s="15" t="s">
        <v>39</v>
      </c>
      <c r="G1459" s="86">
        <f>'прил 5,'!G1246+'прил 5,'!G397+'прил 5,'!G1339+'прил 5,'!G1466+'прил 5,'!G1687+'прил 5,'!G1305+'прил 5,'!G1360+'прил 5,'!G1575</f>
        <v>642670.80000000005</v>
      </c>
      <c r="H1459" s="86">
        <f>'прил 5,'!H1246+'прил 5,'!H397+'прил 5,'!H1339+'прил 5,'!H1466+'прил 5,'!H1687+'прил 5,'!H1305+'прил 5,'!H1360+'прил 5,'!H1575</f>
        <v>596980.92000000004</v>
      </c>
      <c r="I1459" s="122"/>
      <c r="O1459" s="122"/>
      <c r="P1459" s="122"/>
      <c r="Q1459" s="122"/>
      <c r="R1459" s="122"/>
      <c r="S1459" s="122"/>
    </row>
    <row r="1460" spans="1:19" s="89" customFormat="1" ht="30.75" customHeight="1">
      <c r="A1460" s="81" t="s">
        <v>358</v>
      </c>
      <c r="B1460" s="145">
        <v>793</v>
      </c>
      <c r="C1460" s="83" t="s">
        <v>69</v>
      </c>
      <c r="D1460" s="83" t="s">
        <v>70</v>
      </c>
      <c r="E1460" s="83" t="s">
        <v>275</v>
      </c>
      <c r="F1460" s="83" t="s">
        <v>149</v>
      </c>
      <c r="G1460" s="86">
        <f>G1461</f>
        <v>85000</v>
      </c>
      <c r="H1460" s="86">
        <f>H1461</f>
        <v>85000</v>
      </c>
      <c r="I1460" s="122"/>
      <c r="O1460" s="122"/>
      <c r="P1460" s="122"/>
      <c r="Q1460" s="122"/>
      <c r="R1460" s="122"/>
      <c r="S1460" s="122"/>
    </row>
    <row r="1461" spans="1:19" s="89" customFormat="1" ht="30.75" customHeight="1">
      <c r="A1461" s="81" t="s">
        <v>354</v>
      </c>
      <c r="B1461" s="145">
        <v>793</v>
      </c>
      <c r="C1461" s="83" t="s">
        <v>69</v>
      </c>
      <c r="D1461" s="83" t="s">
        <v>70</v>
      </c>
      <c r="E1461" s="83" t="s">
        <v>275</v>
      </c>
      <c r="F1461" s="83" t="s">
        <v>151</v>
      </c>
      <c r="G1461" s="86">
        <f>'прил 5,'!G1739</f>
        <v>85000</v>
      </c>
      <c r="H1461" s="86">
        <f>'прил 5,'!H1739</f>
        <v>85000</v>
      </c>
      <c r="I1461" s="122"/>
      <c r="O1461" s="122"/>
      <c r="P1461" s="122"/>
      <c r="Q1461" s="122"/>
      <c r="R1461" s="122"/>
      <c r="S1461" s="122"/>
    </row>
    <row r="1462" spans="1:19" s="89" customFormat="1" ht="30.75" customHeight="1">
      <c r="A1462" s="81" t="s">
        <v>156</v>
      </c>
      <c r="B1462" s="145">
        <v>793</v>
      </c>
      <c r="C1462" s="83" t="s">
        <v>173</v>
      </c>
      <c r="D1462" s="83" t="s">
        <v>70</v>
      </c>
      <c r="E1462" s="83" t="s">
        <v>275</v>
      </c>
      <c r="F1462" s="83" t="s">
        <v>157</v>
      </c>
      <c r="G1462" s="86">
        <f>G1463</f>
        <v>1282878.74</v>
      </c>
      <c r="H1462" s="86">
        <f>H1463</f>
        <v>1282878.74</v>
      </c>
      <c r="O1462" s="122"/>
      <c r="P1462" s="122"/>
      <c r="Q1462" s="122"/>
      <c r="R1462" s="122"/>
      <c r="S1462" s="122"/>
    </row>
    <row r="1463" spans="1:19" s="89" customFormat="1" ht="30.75" customHeight="1">
      <c r="A1463" s="81" t="s">
        <v>178</v>
      </c>
      <c r="B1463" s="145">
        <v>793</v>
      </c>
      <c r="C1463" s="83" t="s">
        <v>173</v>
      </c>
      <c r="D1463" s="83" t="s">
        <v>70</v>
      </c>
      <c r="E1463" s="83" t="s">
        <v>275</v>
      </c>
      <c r="F1463" s="83" t="s">
        <v>179</v>
      </c>
      <c r="G1463" s="86">
        <f>'прил 5,'!G1468+'прил 5,'!G1275+'прил 5,'!G1341+'прил 5,'!G1589+'прил 5,'!G1693+'прил 5,'!G1608</f>
        <v>1282878.74</v>
      </c>
      <c r="H1463" s="86">
        <f>'прил 5,'!H1468+'прил 5,'!H1275+'прил 5,'!H1341+'прил 5,'!H1589+'прил 5,'!H1693+'прил 5,'!H1608</f>
        <v>1282878.74</v>
      </c>
      <c r="O1463" s="122"/>
      <c r="P1463" s="122"/>
      <c r="Q1463" s="122"/>
      <c r="R1463" s="122"/>
      <c r="S1463" s="122"/>
    </row>
    <row r="1464" spans="1:19" ht="18" customHeight="1">
      <c r="A1464" s="81" t="s">
        <v>30</v>
      </c>
      <c r="B1464" s="49"/>
      <c r="C1464" s="15"/>
      <c r="D1464" s="15"/>
      <c r="E1464" s="83" t="s">
        <v>275</v>
      </c>
      <c r="F1464" s="15" t="s">
        <v>31</v>
      </c>
      <c r="G1464" s="69">
        <f>G1465</f>
        <v>174496</v>
      </c>
      <c r="H1464" s="69">
        <f>H1465</f>
        <v>174496</v>
      </c>
      <c r="I1464" s="1"/>
    </row>
    <row r="1465" spans="1:19" ht="18" customHeight="1">
      <c r="A1465" s="16" t="s">
        <v>32</v>
      </c>
      <c r="B1465" s="49"/>
      <c r="C1465" s="15"/>
      <c r="D1465" s="15"/>
      <c r="E1465" s="83" t="s">
        <v>275</v>
      </c>
      <c r="F1465" s="15" t="s">
        <v>33</v>
      </c>
      <c r="G1465" s="69">
        <f>'прил 5,'!G335+'прил 5,'!G908</f>
        <v>174496</v>
      </c>
      <c r="H1465" s="69">
        <f>'прил 5,'!H335+'прил 5,'!H908</f>
        <v>174496</v>
      </c>
      <c r="I1465" s="1"/>
    </row>
    <row r="1466" spans="1:19" s="89" customFormat="1">
      <c r="A1466" s="81" t="s">
        <v>63</v>
      </c>
      <c r="B1466" s="145">
        <v>793</v>
      </c>
      <c r="C1466" s="83" t="s">
        <v>19</v>
      </c>
      <c r="D1466" s="83" t="s">
        <v>72</v>
      </c>
      <c r="E1466" s="83" t="s">
        <v>275</v>
      </c>
      <c r="F1466" s="83" t="s">
        <v>64</v>
      </c>
      <c r="G1466" s="86">
        <f>G1467</f>
        <v>4954.46</v>
      </c>
      <c r="H1466" s="86">
        <f>H1467</f>
        <v>0</v>
      </c>
      <c r="I1466" s="122"/>
      <c r="O1466" s="122"/>
      <c r="P1466" s="122"/>
      <c r="Q1466" s="122"/>
      <c r="R1466" s="122"/>
      <c r="S1466" s="122"/>
    </row>
    <row r="1467" spans="1:19" s="89" customFormat="1" ht="19.5" customHeight="1">
      <c r="A1467" s="81" t="s">
        <v>180</v>
      </c>
      <c r="B1467" s="145">
        <v>793</v>
      </c>
      <c r="C1467" s="83" t="s">
        <v>19</v>
      </c>
      <c r="D1467" s="83" t="s">
        <v>72</v>
      </c>
      <c r="E1467" s="83" t="s">
        <v>275</v>
      </c>
      <c r="F1467" s="83" t="s">
        <v>181</v>
      </c>
      <c r="G1467" s="86">
        <f>'прил 5,'!G1186</f>
        <v>4954.46</v>
      </c>
      <c r="H1467" s="86">
        <f>'прил 5,'!H1186</f>
        <v>0</v>
      </c>
      <c r="I1467" s="122"/>
      <c r="O1467" s="122"/>
      <c r="P1467" s="122"/>
      <c r="Q1467" s="122"/>
      <c r="R1467" s="122"/>
      <c r="S1467" s="122"/>
    </row>
    <row r="1468" spans="1:19" s="89" customFormat="1" hidden="1">
      <c r="A1468" s="81" t="s">
        <v>32</v>
      </c>
      <c r="B1468" s="145">
        <v>757</v>
      </c>
      <c r="C1468" s="83" t="s">
        <v>44</v>
      </c>
      <c r="D1468" s="83" t="s">
        <v>19</v>
      </c>
      <c r="E1468" s="83" t="s">
        <v>275</v>
      </c>
      <c r="F1468" s="83" t="s">
        <v>33</v>
      </c>
      <c r="G1468" s="84"/>
      <c r="H1468" s="84"/>
      <c r="I1468" s="122"/>
      <c r="O1468" s="122"/>
      <c r="P1468" s="122"/>
      <c r="Q1468" s="122"/>
      <c r="R1468" s="122"/>
      <c r="S1468" s="122"/>
    </row>
    <row r="1469" spans="1:19" s="120" customFormat="1" ht="30.75" customHeight="1">
      <c r="A1469" s="150" t="s">
        <v>1090</v>
      </c>
      <c r="B1469" s="151">
        <v>795</v>
      </c>
      <c r="C1469" s="152" t="s">
        <v>173</v>
      </c>
      <c r="D1469" s="152" t="s">
        <v>28</v>
      </c>
      <c r="E1469" s="152" t="s">
        <v>1089</v>
      </c>
      <c r="F1469" s="152"/>
      <c r="G1469" s="153">
        <f t="shared" ref="G1469:H1471" si="387">G1470</f>
        <v>186170.71</v>
      </c>
      <c r="H1469" s="153">
        <f t="shared" si="387"/>
        <v>186170.71</v>
      </c>
      <c r="I1469" s="119"/>
      <c r="O1469" s="119"/>
      <c r="P1469" s="119"/>
      <c r="Q1469" s="119"/>
      <c r="R1469" s="119"/>
      <c r="S1469" s="119"/>
    </row>
    <row r="1470" spans="1:19" s="120" customFormat="1" ht="24.75" customHeight="1">
      <c r="A1470" s="81" t="s">
        <v>333</v>
      </c>
      <c r="B1470" s="145">
        <v>795</v>
      </c>
      <c r="C1470" s="83" t="s">
        <v>173</v>
      </c>
      <c r="D1470" s="83" t="s">
        <v>28</v>
      </c>
      <c r="E1470" s="83" t="s">
        <v>1088</v>
      </c>
      <c r="F1470" s="83"/>
      <c r="G1470" s="86">
        <f>G1471+G1473</f>
        <v>186170.71</v>
      </c>
      <c r="H1470" s="86">
        <f>H1471+H1473</f>
        <v>186170.71</v>
      </c>
      <c r="I1470" s="119"/>
      <c r="O1470" s="119"/>
      <c r="P1470" s="119"/>
      <c r="Q1470" s="119"/>
      <c r="R1470" s="119"/>
      <c r="S1470" s="119"/>
    </row>
    <row r="1471" spans="1:19" s="120" customFormat="1" ht="26.25" customHeight="1">
      <c r="A1471" s="81" t="s">
        <v>323</v>
      </c>
      <c r="B1471" s="145">
        <v>795</v>
      </c>
      <c r="C1471" s="83" t="s">
        <v>173</v>
      </c>
      <c r="D1471" s="83" t="s">
        <v>28</v>
      </c>
      <c r="E1471" s="83" t="s">
        <v>1088</v>
      </c>
      <c r="F1471" s="83" t="s">
        <v>37</v>
      </c>
      <c r="G1471" s="86">
        <f t="shared" si="387"/>
        <v>184099.91</v>
      </c>
      <c r="H1471" s="86">
        <f t="shared" si="387"/>
        <v>184099.91</v>
      </c>
      <c r="I1471" s="119"/>
      <c r="O1471" s="119"/>
      <c r="P1471" s="119"/>
      <c r="Q1471" s="119"/>
      <c r="R1471" s="119"/>
      <c r="S1471" s="119"/>
    </row>
    <row r="1472" spans="1:19" s="120" customFormat="1" ht="26.25" customHeight="1">
      <c r="A1472" s="81" t="s">
        <v>38</v>
      </c>
      <c r="B1472" s="145">
        <v>795</v>
      </c>
      <c r="C1472" s="83" t="s">
        <v>173</v>
      </c>
      <c r="D1472" s="83" t="s">
        <v>28</v>
      </c>
      <c r="E1472" s="83" t="s">
        <v>1088</v>
      </c>
      <c r="F1472" s="83" t="s">
        <v>39</v>
      </c>
      <c r="G1472" s="86">
        <f>'прил 5,'!G2223+'прил 5,'!G2241</f>
        <v>184099.91</v>
      </c>
      <c r="H1472" s="86">
        <f>'прил 5,'!H2223+'прил 5,'!H2241</f>
        <v>184099.91</v>
      </c>
      <c r="I1472" s="119"/>
      <c r="O1472" s="119"/>
      <c r="P1472" s="119"/>
      <c r="Q1472" s="119"/>
      <c r="R1472" s="119"/>
      <c r="S1472" s="119"/>
    </row>
    <row r="1473" spans="1:19" ht="25.5" customHeight="1">
      <c r="A1473" s="81" t="s">
        <v>63</v>
      </c>
      <c r="B1473" s="145">
        <v>763</v>
      </c>
      <c r="C1473" s="83" t="s">
        <v>173</v>
      </c>
      <c r="D1473" s="83" t="s">
        <v>19</v>
      </c>
      <c r="E1473" s="83" t="s">
        <v>1088</v>
      </c>
      <c r="F1473" s="83" t="s">
        <v>64</v>
      </c>
      <c r="G1473" s="86">
        <f t="shared" ref="G1473:H1473" si="388">G1474</f>
        <v>2070.8000000000002</v>
      </c>
      <c r="H1473" s="86">
        <f t="shared" si="388"/>
        <v>2070.8000000000002</v>
      </c>
      <c r="I1473" s="171"/>
      <c r="J1473" s="177"/>
      <c r="K1473" s="177"/>
      <c r="L1473" s="177"/>
      <c r="M1473" s="177"/>
      <c r="N1473" s="177"/>
      <c r="O1473" s="177"/>
      <c r="P1473" s="177"/>
      <c r="Q1473" s="177"/>
      <c r="R1473" s="1"/>
      <c r="S1473" s="1"/>
    </row>
    <row r="1474" spans="1:19" s="18" customFormat="1" ht="26.25" customHeight="1">
      <c r="A1474" s="81" t="s">
        <v>328</v>
      </c>
      <c r="B1474" s="145">
        <v>763</v>
      </c>
      <c r="C1474" s="83" t="s">
        <v>173</v>
      </c>
      <c r="D1474" s="83" t="s">
        <v>19</v>
      </c>
      <c r="E1474" s="83" t="s">
        <v>1088</v>
      </c>
      <c r="F1474" s="83" t="s">
        <v>327</v>
      </c>
      <c r="G1474" s="86">
        <v>2070.8000000000002</v>
      </c>
      <c r="H1474" s="86">
        <v>2070.8000000000002</v>
      </c>
      <c r="I1474" s="171"/>
      <c r="J1474" s="191"/>
      <c r="K1474" s="191"/>
      <c r="L1474" s="191"/>
      <c r="M1474" s="191"/>
      <c r="N1474" s="191"/>
      <c r="O1474" s="191"/>
      <c r="P1474" s="191"/>
      <c r="Q1474" s="191"/>
    </row>
    <row r="1475" spans="1:19" s="120" customFormat="1" ht="26.25" customHeight="1">
      <c r="A1475" s="150" t="s">
        <v>164</v>
      </c>
      <c r="B1475" s="151">
        <v>793</v>
      </c>
      <c r="C1475" s="152" t="s">
        <v>19</v>
      </c>
      <c r="D1475" s="152" t="s">
        <v>23</v>
      </c>
      <c r="E1475" s="158" t="s">
        <v>210</v>
      </c>
      <c r="F1475" s="152"/>
      <c r="G1475" s="153">
        <f>G1479+G1503+G1507+G1496+G1499+G1510+G1490+G1476+G1485</f>
        <v>7359658.2599999998</v>
      </c>
      <c r="H1475" s="153">
        <f>H1479+H1503+H1507+H1496+H1499+H1510+H1490+H1476+H1485</f>
        <v>5725626.0700000003</v>
      </c>
      <c r="I1475" s="119">
        <v>1487719</v>
      </c>
      <c r="O1475" s="119"/>
      <c r="P1475" s="119"/>
      <c r="Q1475" s="119"/>
      <c r="R1475" s="119"/>
      <c r="S1475" s="119"/>
    </row>
    <row r="1476" spans="1:19" s="18" customFormat="1" ht="25.5">
      <c r="A1476" s="81" t="s">
        <v>1087</v>
      </c>
      <c r="B1476" s="145">
        <v>792</v>
      </c>
      <c r="C1476" s="83" t="s">
        <v>309</v>
      </c>
      <c r="D1476" s="83" t="s">
        <v>28</v>
      </c>
      <c r="E1476" s="83" t="s">
        <v>1086</v>
      </c>
      <c r="F1476" s="83"/>
      <c r="G1476" s="86">
        <f t="shared" ref="G1476:H1477" si="389">G1477</f>
        <v>449460</v>
      </c>
      <c r="H1476" s="86">
        <f t="shared" si="389"/>
        <v>449460</v>
      </c>
      <c r="I1476" s="171"/>
      <c r="J1476" s="191"/>
      <c r="K1476" s="191"/>
      <c r="L1476" s="191"/>
      <c r="M1476" s="191"/>
      <c r="N1476" s="191"/>
      <c r="O1476" s="191"/>
      <c r="P1476" s="191"/>
      <c r="Q1476" s="191"/>
    </row>
    <row r="1477" spans="1:19" s="18" customFormat="1">
      <c r="A1477" s="81" t="s">
        <v>156</v>
      </c>
      <c r="B1477" s="145">
        <v>792</v>
      </c>
      <c r="C1477" s="83" t="s">
        <v>309</v>
      </c>
      <c r="D1477" s="83" t="s">
        <v>28</v>
      </c>
      <c r="E1477" s="83" t="s">
        <v>1086</v>
      </c>
      <c r="F1477" s="83" t="s">
        <v>157</v>
      </c>
      <c r="G1477" s="86">
        <f t="shared" si="389"/>
        <v>449460</v>
      </c>
      <c r="H1477" s="86">
        <f t="shared" si="389"/>
        <v>449460</v>
      </c>
      <c r="I1477" s="171"/>
      <c r="J1477" s="191"/>
      <c r="K1477" s="191"/>
      <c r="L1477" s="191"/>
      <c r="M1477" s="191"/>
      <c r="N1477" s="191"/>
      <c r="O1477" s="191"/>
      <c r="P1477" s="191"/>
      <c r="Q1477" s="191"/>
    </row>
    <row r="1478" spans="1:19" s="18" customFormat="1">
      <c r="A1478" s="81" t="s">
        <v>312</v>
      </c>
      <c r="B1478" s="145">
        <v>792</v>
      </c>
      <c r="C1478" s="83" t="s">
        <v>309</v>
      </c>
      <c r="D1478" s="83" t="s">
        <v>28</v>
      </c>
      <c r="E1478" s="83" t="s">
        <v>1086</v>
      </c>
      <c r="F1478" s="83" t="s">
        <v>313</v>
      </c>
      <c r="G1478" s="86">
        <f>'прил 5,'!G1112</f>
        <v>449460</v>
      </c>
      <c r="H1478" s="86">
        <f>'прил 5,'!H1112</f>
        <v>449460</v>
      </c>
      <c r="I1478" s="171"/>
      <c r="J1478" s="191"/>
      <c r="K1478" s="191"/>
      <c r="L1478" s="191"/>
      <c r="M1478" s="191"/>
      <c r="N1478" s="191"/>
      <c r="O1478" s="191"/>
      <c r="P1478" s="191"/>
      <c r="Q1478" s="191"/>
    </row>
    <row r="1479" spans="1:19" s="89" customFormat="1" ht="20.25" customHeight="1">
      <c r="A1479" s="81" t="s">
        <v>333</v>
      </c>
      <c r="B1479" s="145">
        <v>793</v>
      </c>
      <c r="C1479" s="83" t="s">
        <v>19</v>
      </c>
      <c r="D1479" s="83" t="s">
        <v>23</v>
      </c>
      <c r="E1479" s="83" t="s">
        <v>211</v>
      </c>
      <c r="F1479" s="83"/>
      <c r="G1479" s="86">
        <f>G1480+G1482</f>
        <v>1597274.4</v>
      </c>
      <c r="H1479" s="86">
        <f t="shared" ref="H1479" si="390">H1480+H1482</f>
        <v>132860.60999999999</v>
      </c>
      <c r="I1479" s="122"/>
      <c r="O1479" s="122"/>
      <c r="P1479" s="122"/>
      <c r="Q1479" s="122"/>
      <c r="R1479" s="122"/>
      <c r="S1479" s="122"/>
    </row>
    <row r="1480" spans="1:19" s="89" customFormat="1" ht="29.25" customHeight="1">
      <c r="A1480" s="16" t="s">
        <v>323</v>
      </c>
      <c r="B1480" s="83" t="s">
        <v>94</v>
      </c>
      <c r="C1480" s="83" t="s">
        <v>26</v>
      </c>
      <c r="D1480" s="83" t="s">
        <v>28</v>
      </c>
      <c r="E1480" s="83" t="s">
        <v>211</v>
      </c>
      <c r="F1480" s="83" t="s">
        <v>37</v>
      </c>
      <c r="G1480" s="86">
        <f>G1481</f>
        <v>132860.60999999999</v>
      </c>
      <c r="H1480" s="86">
        <f>H1481</f>
        <v>132860.60999999999</v>
      </c>
      <c r="I1480" s="122"/>
      <c r="O1480" s="122"/>
      <c r="P1480" s="122"/>
      <c r="Q1480" s="122"/>
      <c r="R1480" s="122"/>
      <c r="S1480" s="122"/>
    </row>
    <row r="1481" spans="1:19" s="89" customFormat="1" ht="36.75" customHeight="1">
      <c r="A1481" s="16" t="s">
        <v>38</v>
      </c>
      <c r="B1481" s="83" t="s">
        <v>94</v>
      </c>
      <c r="C1481" s="83" t="s">
        <v>26</v>
      </c>
      <c r="D1481" s="83" t="s">
        <v>28</v>
      </c>
      <c r="E1481" s="83" t="s">
        <v>211</v>
      </c>
      <c r="F1481" s="83" t="s">
        <v>39</v>
      </c>
      <c r="G1481" s="86">
        <f>'прил 5,'!G2229</f>
        <v>132860.60999999999</v>
      </c>
      <c r="H1481" s="86">
        <f>'прил 5,'!H2229</f>
        <v>132860.60999999999</v>
      </c>
      <c r="I1481" s="122"/>
      <c r="O1481" s="122"/>
      <c r="P1481" s="122"/>
      <c r="Q1481" s="122"/>
      <c r="R1481" s="122"/>
      <c r="S1481" s="122"/>
    </row>
    <row r="1482" spans="1:19" s="89" customFormat="1">
      <c r="A1482" s="81" t="s">
        <v>63</v>
      </c>
      <c r="B1482" s="145">
        <v>792</v>
      </c>
      <c r="C1482" s="83" t="s">
        <v>19</v>
      </c>
      <c r="D1482" s="83" t="s">
        <v>23</v>
      </c>
      <c r="E1482" s="83" t="s">
        <v>211</v>
      </c>
      <c r="F1482" s="83" t="s">
        <v>64</v>
      </c>
      <c r="G1482" s="86">
        <f>G1483+G1484</f>
        <v>1464413.79</v>
      </c>
      <c r="H1482" s="86">
        <f t="shared" ref="H1482" si="391">H1483</f>
        <v>0</v>
      </c>
      <c r="I1482" s="122"/>
      <c r="O1482" s="122"/>
      <c r="P1482" s="122"/>
      <c r="Q1482" s="122"/>
      <c r="R1482" s="122"/>
      <c r="S1482" s="122"/>
    </row>
    <row r="1483" spans="1:19" s="89" customFormat="1" ht="18.75" customHeight="1">
      <c r="A1483" s="81" t="s">
        <v>328</v>
      </c>
      <c r="B1483" s="145"/>
      <c r="C1483" s="83"/>
      <c r="D1483" s="83"/>
      <c r="E1483" s="83" t="s">
        <v>211</v>
      </c>
      <c r="F1483" s="83" t="s">
        <v>327</v>
      </c>
      <c r="G1483" s="86">
        <f>'прил 5,'!G1072</f>
        <v>1313105.77</v>
      </c>
      <c r="H1483" s="86">
        <f>'прил 5,'!H1072</f>
        <v>0</v>
      </c>
      <c r="I1483" s="122"/>
      <c r="O1483" s="122"/>
      <c r="P1483" s="122"/>
      <c r="Q1483" s="122"/>
      <c r="R1483" s="122"/>
      <c r="S1483" s="122"/>
    </row>
    <row r="1484" spans="1:19" ht="18.75" customHeight="1">
      <c r="A1484" s="81" t="s">
        <v>144</v>
      </c>
      <c r="B1484" s="14">
        <v>793</v>
      </c>
      <c r="C1484" s="15" t="s">
        <v>19</v>
      </c>
      <c r="D1484" s="15" t="s">
        <v>23</v>
      </c>
      <c r="E1484" s="15" t="s">
        <v>211</v>
      </c>
      <c r="F1484" s="15" t="s">
        <v>67</v>
      </c>
      <c r="G1484" s="69">
        <f>'прил 5,'!G1256</f>
        <v>151308.01999999999</v>
      </c>
      <c r="H1484" s="69">
        <f>'прил 5,'!H1256</f>
        <v>0</v>
      </c>
      <c r="I1484" s="1"/>
    </row>
    <row r="1485" spans="1:19" ht="30.75" customHeight="1">
      <c r="A1485" s="81" t="s">
        <v>333</v>
      </c>
      <c r="B1485" s="145">
        <v>793</v>
      </c>
      <c r="C1485" s="83" t="s">
        <v>19</v>
      </c>
      <c r="D1485" s="83" t="s">
        <v>23</v>
      </c>
      <c r="E1485" s="83" t="s">
        <v>826</v>
      </c>
      <c r="F1485" s="83"/>
      <c r="G1485" s="86">
        <f>G1488+G1486</f>
        <v>140000</v>
      </c>
      <c r="H1485" s="86">
        <f>H1488+H1486</f>
        <v>140000</v>
      </c>
      <c r="I1485" s="171"/>
      <c r="J1485" s="177"/>
      <c r="K1485" s="177"/>
      <c r="L1485" s="177"/>
      <c r="M1485" s="177"/>
      <c r="N1485" s="177"/>
      <c r="O1485" s="177"/>
      <c r="P1485" s="177"/>
      <c r="Q1485" s="177"/>
      <c r="R1485" s="1"/>
      <c r="S1485" s="1"/>
    </row>
    <row r="1486" spans="1:19" ht="30" customHeight="1">
      <c r="A1486" s="16" t="s">
        <v>30</v>
      </c>
      <c r="B1486" s="14">
        <v>792</v>
      </c>
      <c r="C1486" s="15" t="s">
        <v>26</v>
      </c>
      <c r="D1486" s="15" t="s">
        <v>28</v>
      </c>
      <c r="E1486" s="15" t="s">
        <v>826</v>
      </c>
      <c r="F1486" s="15" t="s">
        <v>31</v>
      </c>
      <c r="G1486" s="69">
        <f>G1487</f>
        <v>90000</v>
      </c>
      <c r="H1486" s="69">
        <f>H1487</f>
        <v>90000</v>
      </c>
      <c r="I1486" s="1"/>
    </row>
    <row r="1487" spans="1:19" ht="18.75" customHeight="1">
      <c r="A1487" s="16" t="s">
        <v>32</v>
      </c>
      <c r="B1487" s="14">
        <v>792</v>
      </c>
      <c r="C1487" s="15" t="s">
        <v>26</v>
      </c>
      <c r="D1487" s="15" t="s">
        <v>28</v>
      </c>
      <c r="E1487" s="15" t="s">
        <v>826</v>
      </c>
      <c r="F1487" s="15" t="s">
        <v>33</v>
      </c>
      <c r="G1487" s="69">
        <f>'прил 5,'!G785</f>
        <v>90000</v>
      </c>
      <c r="H1487" s="69">
        <f>'прил 5,'!H785</f>
        <v>90000</v>
      </c>
      <c r="I1487" s="69">
        <f>'прил 5,'!I785</f>
        <v>0</v>
      </c>
      <c r="J1487" s="69">
        <f>'прил 5,'!J785</f>
        <v>0</v>
      </c>
      <c r="K1487" s="69">
        <f>'прил 5,'!K785</f>
        <v>0</v>
      </c>
      <c r="L1487" s="69">
        <f>'прил 5,'!L785</f>
        <v>0</v>
      </c>
      <c r="M1487" s="69">
        <f>'прил 5,'!M785</f>
        <v>0</v>
      </c>
      <c r="N1487" s="69">
        <f>'прил 5,'!N785</f>
        <v>0</v>
      </c>
    </row>
    <row r="1488" spans="1:19" ht="19.5" customHeight="1">
      <c r="A1488" s="81" t="s">
        <v>63</v>
      </c>
      <c r="B1488" s="145">
        <v>793</v>
      </c>
      <c r="C1488" s="83" t="s">
        <v>19</v>
      </c>
      <c r="D1488" s="83" t="s">
        <v>23</v>
      </c>
      <c r="E1488" s="83" t="s">
        <v>826</v>
      </c>
      <c r="F1488" s="83" t="s">
        <v>64</v>
      </c>
      <c r="G1488" s="86">
        <f>G1489</f>
        <v>50000</v>
      </c>
      <c r="H1488" s="86">
        <f t="shared" ref="H1488" si="392">H1489</f>
        <v>50000</v>
      </c>
      <c r="I1488" s="171"/>
      <c r="J1488" s="177"/>
      <c r="K1488" s="177"/>
      <c r="L1488" s="177"/>
      <c r="M1488" s="177"/>
      <c r="N1488" s="177"/>
      <c r="O1488" s="177"/>
      <c r="P1488" s="177"/>
      <c r="Q1488" s="177"/>
      <c r="R1488" s="1"/>
      <c r="S1488" s="1"/>
    </row>
    <row r="1489" spans="1:19" ht="18.75" customHeight="1">
      <c r="A1489" s="81" t="s">
        <v>144</v>
      </c>
      <c r="B1489" s="145">
        <v>793</v>
      </c>
      <c r="C1489" s="83" t="s">
        <v>19</v>
      </c>
      <c r="D1489" s="83" t="s">
        <v>23</v>
      </c>
      <c r="E1489" s="83" t="s">
        <v>826</v>
      </c>
      <c r="F1489" s="83" t="s">
        <v>67</v>
      </c>
      <c r="G1489" s="86">
        <f>'прил 5,'!G1259</f>
        <v>50000</v>
      </c>
      <c r="H1489" s="86">
        <f>'прил 5,'!H1259</f>
        <v>50000</v>
      </c>
      <c r="I1489" s="171"/>
      <c r="J1489" s="177"/>
      <c r="K1489" s="177"/>
      <c r="L1489" s="177"/>
      <c r="M1489" s="177"/>
      <c r="N1489" s="177"/>
      <c r="O1489" s="177"/>
      <c r="P1489" s="177"/>
      <c r="Q1489" s="177"/>
      <c r="R1489" s="1"/>
      <c r="S1489" s="1"/>
    </row>
    <row r="1490" spans="1:19" s="89" customFormat="1" ht="30.75" customHeight="1">
      <c r="A1490" s="81" t="s">
        <v>404</v>
      </c>
      <c r="B1490" s="145">
        <v>793</v>
      </c>
      <c r="C1490" s="83" t="s">
        <v>19</v>
      </c>
      <c r="D1490" s="83" t="s">
        <v>23</v>
      </c>
      <c r="E1490" s="83" t="s">
        <v>403</v>
      </c>
      <c r="F1490" s="83"/>
      <c r="G1490" s="86">
        <f t="shared" ref="G1490:H1490" si="393">G1491</f>
        <v>11349</v>
      </c>
      <c r="H1490" s="86">
        <f t="shared" si="393"/>
        <v>11349</v>
      </c>
      <c r="O1490" s="122"/>
      <c r="P1490" s="122"/>
      <c r="Q1490" s="122"/>
      <c r="R1490" s="122"/>
      <c r="S1490" s="122"/>
    </row>
    <row r="1491" spans="1:19" s="89" customFormat="1" ht="19.5" customHeight="1">
      <c r="A1491" s="81" t="s">
        <v>63</v>
      </c>
      <c r="B1491" s="145">
        <v>793</v>
      </c>
      <c r="C1491" s="83" t="s">
        <v>19</v>
      </c>
      <c r="D1491" s="83" t="s">
        <v>23</v>
      </c>
      <c r="E1491" s="83" t="s">
        <v>403</v>
      </c>
      <c r="F1491" s="83" t="s">
        <v>64</v>
      </c>
      <c r="G1491" s="86">
        <f>G1492</f>
        <v>11349</v>
      </c>
      <c r="H1491" s="86">
        <f>H1492+H1493</f>
        <v>11349</v>
      </c>
      <c r="O1491" s="122"/>
      <c r="P1491" s="122"/>
      <c r="Q1491" s="122"/>
      <c r="R1491" s="122"/>
      <c r="S1491" s="122"/>
    </row>
    <row r="1492" spans="1:19" s="89" customFormat="1" ht="18.75" customHeight="1">
      <c r="A1492" s="81" t="s">
        <v>328</v>
      </c>
      <c r="B1492" s="145">
        <v>793</v>
      </c>
      <c r="C1492" s="83" t="s">
        <v>19</v>
      </c>
      <c r="D1492" s="83" t="s">
        <v>23</v>
      </c>
      <c r="E1492" s="83" t="s">
        <v>403</v>
      </c>
      <c r="F1492" s="83" t="s">
        <v>327</v>
      </c>
      <c r="G1492" s="86">
        <f>'прил 5,'!G1834+'прил 5,'!G2143</f>
        <v>11349</v>
      </c>
      <c r="H1492" s="86">
        <f>'прил 5,'!H1834+'прил 5,'!H2143</f>
        <v>11349</v>
      </c>
      <c r="O1492" s="122"/>
      <c r="P1492" s="122"/>
      <c r="Q1492" s="122"/>
      <c r="R1492" s="122"/>
      <c r="S1492" s="122"/>
    </row>
    <row r="1493" spans="1:19" s="89" customFormat="1" ht="40.5" customHeight="1">
      <c r="A1493" s="81" t="s">
        <v>430</v>
      </c>
      <c r="B1493" s="145">
        <v>774</v>
      </c>
      <c r="C1493" s="83" t="s">
        <v>19</v>
      </c>
      <c r="D1493" s="83" t="s">
        <v>23</v>
      </c>
      <c r="E1493" s="83" t="s">
        <v>429</v>
      </c>
      <c r="F1493" s="83"/>
      <c r="G1493" s="86">
        <f>G1494</f>
        <v>0</v>
      </c>
      <c r="H1493" s="86">
        <v>0</v>
      </c>
      <c r="I1493" s="122"/>
      <c r="O1493" s="122"/>
      <c r="P1493" s="122"/>
      <c r="Q1493" s="122"/>
      <c r="R1493" s="122"/>
      <c r="S1493" s="122"/>
    </row>
    <row r="1494" spans="1:19" s="89" customFormat="1">
      <c r="A1494" s="81" t="s">
        <v>63</v>
      </c>
      <c r="B1494" s="145">
        <v>774</v>
      </c>
      <c r="C1494" s="83" t="s">
        <v>19</v>
      </c>
      <c r="D1494" s="83" t="s">
        <v>23</v>
      </c>
      <c r="E1494" s="83" t="s">
        <v>429</v>
      </c>
      <c r="F1494" s="83" t="s">
        <v>64</v>
      </c>
      <c r="G1494" s="86">
        <f>G1495</f>
        <v>0</v>
      </c>
      <c r="H1494" s="86">
        <v>0</v>
      </c>
      <c r="I1494" s="122"/>
      <c r="O1494" s="122"/>
      <c r="P1494" s="122"/>
      <c r="Q1494" s="122"/>
      <c r="R1494" s="122"/>
      <c r="S1494" s="122"/>
    </row>
    <row r="1495" spans="1:19" s="89" customFormat="1" ht="15" customHeight="1">
      <c r="A1495" s="81" t="s">
        <v>328</v>
      </c>
      <c r="B1495" s="145">
        <v>774</v>
      </c>
      <c r="C1495" s="83" t="s">
        <v>19</v>
      </c>
      <c r="D1495" s="83" t="s">
        <v>23</v>
      </c>
      <c r="E1495" s="83" t="s">
        <v>429</v>
      </c>
      <c r="F1495" s="83" t="s">
        <v>327</v>
      </c>
      <c r="G1495" s="86"/>
      <c r="H1495" s="86">
        <v>0</v>
      </c>
      <c r="I1495" s="122"/>
      <c r="O1495" s="122"/>
      <c r="P1495" s="122"/>
      <c r="Q1495" s="122"/>
      <c r="R1495" s="122"/>
      <c r="S1495" s="122"/>
    </row>
    <row r="1496" spans="1:19" ht="33" customHeight="1">
      <c r="A1496" s="81" t="s">
        <v>430</v>
      </c>
      <c r="B1496" s="14">
        <v>793</v>
      </c>
      <c r="C1496" s="15" t="s">
        <v>19</v>
      </c>
      <c r="D1496" s="15" t="s">
        <v>23</v>
      </c>
      <c r="E1496" s="15" t="s">
        <v>429</v>
      </c>
      <c r="F1496" s="15"/>
      <c r="G1496" s="69">
        <f>G1497</f>
        <v>0</v>
      </c>
      <c r="H1496" s="69">
        <f t="shared" ref="H1496" si="394">H1497</f>
        <v>0</v>
      </c>
      <c r="I1496" s="1"/>
    </row>
    <row r="1497" spans="1:19" ht="18.75" customHeight="1">
      <c r="A1497" s="81" t="s">
        <v>63</v>
      </c>
      <c r="B1497" s="14">
        <v>793</v>
      </c>
      <c r="C1497" s="15" t="s">
        <v>19</v>
      </c>
      <c r="D1497" s="15" t="s">
        <v>23</v>
      </c>
      <c r="E1497" s="15" t="s">
        <v>429</v>
      </c>
      <c r="F1497" s="15" t="s">
        <v>64</v>
      </c>
      <c r="G1497" s="69">
        <f>G1498</f>
        <v>0</v>
      </c>
      <c r="H1497" s="69">
        <f>H1498</f>
        <v>0</v>
      </c>
      <c r="I1497" s="1"/>
    </row>
    <row r="1498" spans="1:19" ht="18.75" customHeight="1">
      <c r="A1498" s="81" t="s">
        <v>144</v>
      </c>
      <c r="B1498" s="14">
        <v>793</v>
      </c>
      <c r="C1498" s="15" t="s">
        <v>19</v>
      </c>
      <c r="D1498" s="15" t="s">
        <v>23</v>
      </c>
      <c r="E1498" s="15" t="s">
        <v>429</v>
      </c>
      <c r="F1498" s="15" t="s">
        <v>67</v>
      </c>
      <c r="G1498" s="69">
        <f>'прил 5,'!G1268</f>
        <v>0</v>
      </c>
      <c r="H1498" s="69">
        <v>0</v>
      </c>
      <c r="I1498" s="1"/>
    </row>
    <row r="1499" spans="1:19" ht="31.5" customHeight="1">
      <c r="A1499" s="81" t="s">
        <v>830</v>
      </c>
      <c r="B1499" s="14">
        <v>793</v>
      </c>
      <c r="C1499" s="15" t="s">
        <v>19</v>
      </c>
      <c r="D1499" s="15" t="s">
        <v>23</v>
      </c>
      <c r="E1499" s="15" t="s">
        <v>829</v>
      </c>
      <c r="F1499" s="15"/>
      <c r="G1499" s="69">
        <f>G1500</f>
        <v>127525.66</v>
      </c>
      <c r="H1499" s="69">
        <f t="shared" ref="H1499" si="395">H1500</f>
        <v>127525.66</v>
      </c>
      <c r="I1499" s="1"/>
    </row>
    <row r="1500" spans="1:19" ht="18.75" customHeight="1">
      <c r="A1500" s="81" t="s">
        <v>63</v>
      </c>
      <c r="B1500" s="14">
        <v>793</v>
      </c>
      <c r="C1500" s="15" t="s">
        <v>19</v>
      </c>
      <c r="D1500" s="15" t="s">
        <v>23</v>
      </c>
      <c r="E1500" s="15" t="s">
        <v>829</v>
      </c>
      <c r="F1500" s="15" t="s">
        <v>64</v>
      </c>
      <c r="G1500" s="69">
        <f>G1502+G1501</f>
        <v>127525.66</v>
      </c>
      <c r="H1500" s="69">
        <f>H1502+H1501</f>
        <v>127525.66</v>
      </c>
      <c r="I1500" s="1"/>
    </row>
    <row r="1501" spans="1:19" s="146" customFormat="1">
      <c r="A1501" s="81" t="s">
        <v>328</v>
      </c>
      <c r="B1501" s="281">
        <v>795</v>
      </c>
      <c r="C1501" s="280" t="s">
        <v>19</v>
      </c>
      <c r="D1501" s="280" t="s">
        <v>23</v>
      </c>
      <c r="E1501" s="281" t="s">
        <v>829</v>
      </c>
      <c r="F1501" s="281">
        <v>830</v>
      </c>
      <c r="G1501" s="290">
        <f>'прил 5,'!G2148</f>
        <v>7525.66</v>
      </c>
      <c r="H1501" s="290">
        <f>'прил 5,'!H2148</f>
        <v>7525.66</v>
      </c>
      <c r="I1501" s="290">
        <f>'прил 5,'!I2148</f>
        <v>0</v>
      </c>
      <c r="J1501" s="290">
        <f>'прил 5,'!J2148</f>
        <v>0</v>
      </c>
      <c r="K1501" s="290">
        <f>'прил 5,'!K2148</f>
        <v>0</v>
      </c>
      <c r="L1501" s="290">
        <f>'прил 5,'!L2148</f>
        <v>0</v>
      </c>
      <c r="M1501" s="290">
        <f>'прил 5,'!M2148</f>
        <v>0</v>
      </c>
      <c r="N1501" s="290">
        <f>'прил 5,'!N2148</f>
        <v>0</v>
      </c>
      <c r="O1501" s="213"/>
      <c r="P1501" s="213"/>
      <c r="Q1501" s="213"/>
    </row>
    <row r="1502" spans="1:19" ht="18.75" customHeight="1">
      <c r="A1502" s="81" t="s">
        <v>144</v>
      </c>
      <c r="B1502" s="14">
        <v>793</v>
      </c>
      <c r="C1502" s="15" t="s">
        <v>19</v>
      </c>
      <c r="D1502" s="15" t="s">
        <v>23</v>
      </c>
      <c r="E1502" s="15" t="s">
        <v>829</v>
      </c>
      <c r="F1502" s="15" t="s">
        <v>67</v>
      </c>
      <c r="G1502" s="69">
        <f>'прил 5,'!G1271</f>
        <v>120000</v>
      </c>
      <c r="H1502" s="69">
        <f>'прил 5,'!H1271</f>
        <v>120000</v>
      </c>
      <c r="I1502" s="1"/>
    </row>
    <row r="1503" spans="1:19" s="89" customFormat="1" ht="25.5" hidden="1" customHeight="1">
      <c r="A1503" s="81" t="s">
        <v>164</v>
      </c>
      <c r="B1503" s="145">
        <v>793</v>
      </c>
      <c r="C1503" s="83" t="s">
        <v>19</v>
      </c>
      <c r="D1503" s="83" t="s">
        <v>23</v>
      </c>
      <c r="E1503" s="83" t="s">
        <v>210</v>
      </c>
      <c r="F1503" s="83"/>
      <c r="G1503" s="86">
        <f>G1504</f>
        <v>0</v>
      </c>
      <c r="H1503" s="86">
        <f t="shared" ref="H1503" si="396">H1504</f>
        <v>0</v>
      </c>
      <c r="O1503" s="122"/>
      <c r="P1503" s="122"/>
      <c r="Q1503" s="122"/>
      <c r="R1503" s="122"/>
      <c r="S1503" s="122"/>
    </row>
    <row r="1504" spans="1:19" s="89" customFormat="1" ht="30.75" hidden="1" customHeight="1">
      <c r="A1504" s="81" t="s">
        <v>692</v>
      </c>
      <c r="B1504" s="145">
        <v>793</v>
      </c>
      <c r="C1504" s="83" t="s">
        <v>19</v>
      </c>
      <c r="D1504" s="83" t="s">
        <v>23</v>
      </c>
      <c r="E1504" s="83" t="s">
        <v>691</v>
      </c>
      <c r="F1504" s="83"/>
      <c r="G1504" s="86">
        <f t="shared" ref="G1504:H1505" si="397">G1505</f>
        <v>0</v>
      </c>
      <c r="H1504" s="86">
        <f t="shared" si="397"/>
        <v>0</v>
      </c>
      <c r="O1504" s="122"/>
      <c r="P1504" s="122"/>
      <c r="Q1504" s="122"/>
      <c r="R1504" s="122"/>
      <c r="S1504" s="122"/>
    </row>
    <row r="1505" spans="1:19" s="89" customFormat="1" ht="19.5" hidden="1" customHeight="1">
      <c r="A1505" s="81" t="s">
        <v>63</v>
      </c>
      <c r="B1505" s="145">
        <v>793</v>
      </c>
      <c r="C1505" s="83" t="s">
        <v>19</v>
      </c>
      <c r="D1505" s="83" t="s">
        <v>23</v>
      </c>
      <c r="E1505" s="83" t="s">
        <v>691</v>
      </c>
      <c r="F1505" s="83" t="s">
        <v>64</v>
      </c>
      <c r="G1505" s="86">
        <f>G1506</f>
        <v>0</v>
      </c>
      <c r="H1505" s="86">
        <f t="shared" si="397"/>
        <v>0</v>
      </c>
      <c r="O1505" s="122"/>
      <c r="P1505" s="122"/>
      <c r="Q1505" s="122"/>
      <c r="R1505" s="122"/>
      <c r="S1505" s="122"/>
    </row>
    <row r="1506" spans="1:19" s="89" customFormat="1" ht="18.75" hidden="1" customHeight="1">
      <c r="A1506" s="81" t="s">
        <v>180</v>
      </c>
      <c r="B1506" s="145">
        <v>793</v>
      </c>
      <c r="C1506" s="83" t="s">
        <v>19</v>
      </c>
      <c r="D1506" s="83" t="s">
        <v>23</v>
      </c>
      <c r="E1506" s="83" t="s">
        <v>691</v>
      </c>
      <c r="F1506" s="83" t="s">
        <v>181</v>
      </c>
      <c r="G1506" s="86"/>
      <c r="H1506" s="86"/>
      <c r="O1506" s="122"/>
      <c r="P1506" s="122"/>
      <c r="Q1506" s="122"/>
      <c r="R1506" s="122"/>
      <c r="S1506" s="122"/>
    </row>
    <row r="1507" spans="1:19" s="46" customFormat="1" ht="48" customHeight="1">
      <c r="A1507" s="16" t="s">
        <v>803</v>
      </c>
      <c r="B1507" s="14">
        <v>793</v>
      </c>
      <c r="C1507" s="15" t="s">
        <v>19</v>
      </c>
      <c r="D1507" s="15" t="s">
        <v>26</v>
      </c>
      <c r="E1507" s="15" t="s">
        <v>801</v>
      </c>
      <c r="F1507" s="15"/>
      <c r="G1507" s="69">
        <f t="shared" ref="G1507:H1508" si="398">G1508</f>
        <v>4829049.2</v>
      </c>
      <c r="H1507" s="69">
        <f t="shared" si="398"/>
        <v>4659430.8</v>
      </c>
      <c r="O1507" s="107"/>
      <c r="P1507" s="107"/>
      <c r="Q1507" s="107"/>
      <c r="R1507" s="107"/>
      <c r="S1507" s="107"/>
    </row>
    <row r="1508" spans="1:19" s="46" customFormat="1" ht="29.25" customHeight="1">
      <c r="A1508" s="16" t="s">
        <v>63</v>
      </c>
      <c r="B1508" s="14">
        <v>793</v>
      </c>
      <c r="C1508" s="15" t="s">
        <v>19</v>
      </c>
      <c r="D1508" s="15" t="s">
        <v>26</v>
      </c>
      <c r="E1508" s="15" t="s">
        <v>801</v>
      </c>
      <c r="F1508" s="15" t="s">
        <v>64</v>
      </c>
      <c r="G1508" s="69">
        <f t="shared" si="398"/>
        <v>4829049.2</v>
      </c>
      <c r="H1508" s="69">
        <f t="shared" si="398"/>
        <v>4659430.8</v>
      </c>
      <c r="O1508" s="107"/>
      <c r="P1508" s="107"/>
      <c r="Q1508" s="107"/>
      <c r="R1508" s="107"/>
      <c r="S1508" s="107"/>
    </row>
    <row r="1509" spans="1:19" s="46" customFormat="1">
      <c r="A1509" s="16" t="s">
        <v>802</v>
      </c>
      <c r="B1509" s="14">
        <v>793</v>
      </c>
      <c r="C1509" s="15" t="s">
        <v>19</v>
      </c>
      <c r="D1509" s="15" t="s">
        <v>26</v>
      </c>
      <c r="E1509" s="15" t="s">
        <v>801</v>
      </c>
      <c r="F1509" s="15" t="s">
        <v>800</v>
      </c>
      <c r="G1509" s="69">
        <f>'прил 5,'!G1181</f>
        <v>4829049.2</v>
      </c>
      <c r="H1509" s="69">
        <f>'прил 5,'!H1181</f>
        <v>4659430.8</v>
      </c>
      <c r="O1509" s="107"/>
      <c r="P1509" s="107"/>
      <c r="Q1509" s="107"/>
      <c r="R1509" s="107"/>
      <c r="S1509" s="107"/>
    </row>
    <row r="1510" spans="1:19" ht="19.5" customHeight="1">
      <c r="A1510" s="81" t="s">
        <v>1025</v>
      </c>
      <c r="B1510" s="14">
        <v>774</v>
      </c>
      <c r="C1510" s="15" t="s">
        <v>26</v>
      </c>
      <c r="D1510" s="15" t="s">
        <v>28</v>
      </c>
      <c r="E1510" s="15" t="s">
        <v>1026</v>
      </c>
      <c r="F1510" s="15"/>
      <c r="G1510" s="69">
        <f>G1511</f>
        <v>205000</v>
      </c>
      <c r="H1510" s="69">
        <f t="shared" ref="H1510" si="399">H1511</f>
        <v>205000</v>
      </c>
      <c r="I1510" s="171"/>
      <c r="J1510" s="177"/>
      <c r="K1510" s="177"/>
      <c r="L1510" s="177"/>
      <c r="M1510" s="177"/>
      <c r="N1510" s="177"/>
      <c r="O1510" s="177"/>
      <c r="P1510" s="177"/>
      <c r="Q1510" s="177"/>
      <c r="R1510" s="1"/>
      <c r="S1510" s="1"/>
    </row>
    <row r="1511" spans="1:19" ht="30.75" customHeight="1">
      <c r="A1511" s="16" t="s">
        <v>30</v>
      </c>
      <c r="B1511" s="14">
        <v>774</v>
      </c>
      <c r="C1511" s="15" t="s">
        <v>26</v>
      </c>
      <c r="D1511" s="15" t="s">
        <v>28</v>
      </c>
      <c r="E1511" s="15" t="s">
        <v>1026</v>
      </c>
      <c r="F1511" s="15" t="s">
        <v>31</v>
      </c>
      <c r="G1511" s="69">
        <f>G1512</f>
        <v>205000</v>
      </c>
      <c r="H1511" s="69">
        <f>H1512</f>
        <v>205000</v>
      </c>
      <c r="I1511" s="171"/>
      <c r="J1511" s="177"/>
      <c r="K1511" s="177"/>
      <c r="L1511" s="177"/>
      <c r="M1511" s="177"/>
      <c r="N1511" s="177"/>
      <c r="O1511" s="177"/>
      <c r="P1511" s="177"/>
      <c r="Q1511" s="177"/>
      <c r="R1511" s="1"/>
      <c r="S1511" s="1"/>
    </row>
    <row r="1512" spans="1:19" ht="18.75" customHeight="1">
      <c r="A1512" s="16" t="s">
        <v>32</v>
      </c>
      <c r="B1512" s="14">
        <v>774</v>
      </c>
      <c r="C1512" s="15" t="s">
        <v>26</v>
      </c>
      <c r="D1512" s="15" t="s">
        <v>28</v>
      </c>
      <c r="E1512" s="15" t="s">
        <v>1026</v>
      </c>
      <c r="F1512" s="15" t="s">
        <v>33</v>
      </c>
      <c r="G1512" s="69">
        <f>'прил 5,'!G788+'прил 5,'!G1262</f>
        <v>205000</v>
      </c>
      <c r="H1512" s="69">
        <f>'прил 5,'!H788+'прил 5,'!H1262</f>
        <v>205000</v>
      </c>
      <c r="I1512" s="171"/>
      <c r="J1512" s="177"/>
      <c r="K1512" s="177"/>
      <c r="L1512" s="177"/>
      <c r="M1512" s="177"/>
      <c r="N1512" s="177"/>
      <c r="O1512" s="177"/>
      <c r="P1512" s="177"/>
      <c r="Q1512" s="177"/>
      <c r="R1512" s="1"/>
      <c r="S1512" s="1"/>
    </row>
    <row r="1513" spans="1:19" s="120" customFormat="1">
      <c r="A1513" s="150" t="s">
        <v>277</v>
      </c>
      <c r="B1513" s="151">
        <v>793</v>
      </c>
      <c r="C1513" s="152" t="s">
        <v>19</v>
      </c>
      <c r="D1513" s="152" t="s">
        <v>173</v>
      </c>
      <c r="E1513" s="152" t="s">
        <v>278</v>
      </c>
      <c r="F1513" s="152"/>
      <c r="G1513" s="153">
        <f>G1516+G1517</f>
        <v>124287.62999999999</v>
      </c>
      <c r="H1513" s="153">
        <f>H1516</f>
        <v>124287.63</v>
      </c>
      <c r="I1513" s="119"/>
      <c r="O1513" s="119"/>
      <c r="P1513" s="119"/>
      <c r="Q1513" s="119"/>
      <c r="R1513" s="119"/>
      <c r="S1513" s="119"/>
    </row>
    <row r="1514" spans="1:19" s="146" customFormat="1" ht="39.75" customHeight="1">
      <c r="A1514" s="81" t="s">
        <v>280</v>
      </c>
      <c r="B1514" s="145">
        <v>793</v>
      </c>
      <c r="C1514" s="83" t="s">
        <v>19</v>
      </c>
      <c r="D1514" s="83" t="s">
        <v>173</v>
      </c>
      <c r="E1514" s="83" t="s">
        <v>373</v>
      </c>
      <c r="F1514" s="83"/>
      <c r="G1514" s="86">
        <f t="shared" ref="G1514:H1515" si="400">G1515</f>
        <v>124287.62999999999</v>
      </c>
      <c r="H1514" s="86">
        <f t="shared" si="400"/>
        <v>124287.63</v>
      </c>
      <c r="I1514" s="148">
        <v>11200</v>
      </c>
      <c r="O1514" s="148"/>
      <c r="P1514" s="148"/>
      <c r="Q1514" s="148"/>
      <c r="R1514" s="148"/>
      <c r="S1514" s="148"/>
    </row>
    <row r="1515" spans="1:19" s="146" customFormat="1">
      <c r="A1515" s="81" t="s">
        <v>323</v>
      </c>
      <c r="B1515" s="145">
        <v>793</v>
      </c>
      <c r="C1515" s="83" t="s">
        <v>19</v>
      </c>
      <c r="D1515" s="83" t="s">
        <v>173</v>
      </c>
      <c r="E1515" s="83" t="s">
        <v>373</v>
      </c>
      <c r="F1515" s="83" t="s">
        <v>37</v>
      </c>
      <c r="G1515" s="86">
        <f t="shared" si="400"/>
        <v>124287.62999999999</v>
      </c>
      <c r="H1515" s="86">
        <f t="shared" si="400"/>
        <v>124287.63</v>
      </c>
      <c r="I1515" s="148"/>
      <c r="O1515" s="148"/>
      <c r="P1515" s="148"/>
      <c r="Q1515" s="148"/>
      <c r="R1515" s="148"/>
      <c r="S1515" s="148"/>
    </row>
    <row r="1516" spans="1:19" s="46" customFormat="1" ht="25.5">
      <c r="A1516" s="16" t="s">
        <v>38</v>
      </c>
      <c r="B1516" s="14">
        <v>793</v>
      </c>
      <c r="C1516" s="15" t="s">
        <v>19</v>
      </c>
      <c r="D1516" s="15" t="s">
        <v>173</v>
      </c>
      <c r="E1516" s="15" t="s">
        <v>373</v>
      </c>
      <c r="F1516" s="15" t="s">
        <v>39</v>
      </c>
      <c r="G1516" s="86">
        <f>'прил 5,'!G1176</f>
        <v>124287.62999999999</v>
      </c>
      <c r="H1516" s="86">
        <f>'прил 5,'!H1176</f>
        <v>124287.63</v>
      </c>
      <c r="I1516" s="107"/>
      <c r="O1516" s="107"/>
      <c r="P1516" s="107"/>
      <c r="Q1516" s="107"/>
      <c r="R1516" s="107"/>
      <c r="S1516" s="107"/>
    </row>
    <row r="1517" spans="1:19" s="46" customFormat="1" hidden="1">
      <c r="A1517" s="16" t="s">
        <v>277</v>
      </c>
      <c r="B1517" s="14">
        <v>793</v>
      </c>
      <c r="C1517" s="15" t="s">
        <v>19</v>
      </c>
      <c r="D1517" s="15" t="s">
        <v>26</v>
      </c>
      <c r="E1517" s="15" t="s">
        <v>278</v>
      </c>
      <c r="F1517" s="15"/>
      <c r="G1517" s="69">
        <f t="shared" ref="G1517:H1517" si="401">G1518</f>
        <v>0</v>
      </c>
      <c r="H1517" s="69">
        <f t="shared" si="401"/>
        <v>0</v>
      </c>
      <c r="O1517" s="107"/>
      <c r="P1517" s="2"/>
      <c r="Q1517" s="107"/>
      <c r="R1517" s="107"/>
      <c r="S1517" s="107"/>
    </row>
    <row r="1518" spans="1:19" s="46" customFormat="1" ht="48" hidden="1" customHeight="1">
      <c r="A1518" s="16"/>
      <c r="B1518" s="14"/>
      <c r="C1518" s="15"/>
      <c r="D1518" s="15"/>
      <c r="E1518" s="15"/>
      <c r="F1518" s="15"/>
      <c r="G1518" s="69"/>
      <c r="H1518" s="69"/>
      <c r="O1518" s="107"/>
      <c r="P1518" s="107"/>
      <c r="Q1518" s="107"/>
      <c r="R1518" s="107"/>
      <c r="S1518" s="107"/>
    </row>
    <row r="1519" spans="1:19" s="46" customFormat="1" ht="29.25" hidden="1" customHeight="1">
      <c r="A1519" s="16"/>
      <c r="B1519" s="14"/>
      <c r="C1519" s="15"/>
      <c r="D1519" s="15"/>
      <c r="E1519" s="15"/>
      <c r="F1519" s="15"/>
      <c r="G1519" s="69"/>
      <c r="H1519" s="69"/>
      <c r="O1519" s="107"/>
      <c r="P1519" s="107"/>
      <c r="Q1519" s="107"/>
      <c r="R1519" s="107"/>
      <c r="S1519" s="107"/>
    </row>
    <row r="1520" spans="1:19" s="46" customFormat="1" hidden="1">
      <c r="A1520" s="16"/>
      <c r="B1520" s="14"/>
      <c r="C1520" s="15"/>
      <c r="D1520" s="15"/>
      <c r="E1520" s="15"/>
      <c r="F1520" s="15"/>
      <c r="G1520" s="69"/>
      <c r="H1520" s="69"/>
      <c r="O1520" s="107"/>
      <c r="P1520" s="107"/>
      <c r="Q1520" s="107"/>
      <c r="R1520" s="107"/>
      <c r="S1520" s="107"/>
    </row>
    <row r="1521" spans="1:19" s="22" customFormat="1" ht="26.25" customHeight="1">
      <c r="A1521" s="34" t="s">
        <v>368</v>
      </c>
      <c r="B1521" s="36"/>
      <c r="C1521" s="36"/>
      <c r="D1521" s="36"/>
      <c r="E1521" s="36"/>
      <c r="F1521" s="36"/>
      <c r="G1521" s="70">
        <f>G8+G1355</f>
        <v>1869130351.2999997</v>
      </c>
      <c r="H1521" s="70">
        <f>H8+H1355</f>
        <v>1822922638.4799998</v>
      </c>
      <c r="I1521" s="21"/>
      <c r="K1521" s="21" t="e">
        <f>G1448+H1448+#REF!+G1439+H1439+#REF!+G1432+H1432+#REF!+G1424+H1424+#REF!+G1392+H1392+#REF!+G1388+H1388+#REF!+G1136+H1136+#REF!+G868+H868+#REF!+G645+H645+#REF!+G46+H46+#REF!</f>
        <v>#REF!</v>
      </c>
      <c r="O1521" s="21"/>
      <c r="P1521" s="21"/>
      <c r="Q1521" s="21"/>
      <c r="R1521" s="21"/>
      <c r="S1521" s="21"/>
    </row>
    <row r="1522" spans="1:19" s="18" customFormat="1" hidden="1">
      <c r="A1522" s="16"/>
      <c r="B1522" s="14"/>
      <c r="C1522" s="15"/>
      <c r="D1522" s="15"/>
      <c r="E1522" s="15"/>
      <c r="F1522" s="15"/>
      <c r="G1522" s="86"/>
      <c r="H1522" s="86"/>
      <c r="I1522" s="17"/>
      <c r="O1522" s="17"/>
      <c r="P1522" s="17"/>
      <c r="Q1522" s="17"/>
      <c r="R1522" s="17"/>
      <c r="S1522" s="17"/>
    </row>
    <row r="1523" spans="1:19" s="18" customFormat="1" hidden="1">
      <c r="A1523" s="16"/>
      <c r="B1523" s="14"/>
      <c r="C1523" s="15"/>
      <c r="D1523" s="15"/>
      <c r="E1523" s="15"/>
      <c r="F1523" s="15"/>
      <c r="G1523" s="86"/>
      <c r="H1523" s="86"/>
      <c r="I1523" s="17"/>
      <c r="O1523" s="17"/>
      <c r="P1523" s="17"/>
      <c r="Q1523" s="17"/>
      <c r="R1523" s="17"/>
      <c r="S1523" s="17"/>
    </row>
    <row r="1524" spans="1:19" hidden="1"/>
    <row r="1525" spans="1:19" hidden="1">
      <c r="G1525" s="88">
        <v>1303746913.27</v>
      </c>
      <c r="H1525" s="88">
        <v>1303746913.27</v>
      </c>
    </row>
    <row r="1526" spans="1:19" ht="21.75" hidden="1" customHeight="1">
      <c r="G1526" s="88">
        <f>G1521-G1525</f>
        <v>565383438.02999973</v>
      </c>
      <c r="H1526" s="88">
        <f>H1521-H1525</f>
        <v>519175725.2099998</v>
      </c>
    </row>
    <row r="1527" spans="1:19" hidden="1"/>
    <row r="1528" spans="1:19" hidden="1">
      <c r="G1528" s="88" t="e">
        <f>#REF!+#REF!+#REF!+G342+#REF!+#REF!+#REF!+#REF!+G1097+G1467+#REF!</f>
        <v>#REF!</v>
      </c>
      <c r="H1528" s="88" t="e">
        <f>#REF!+#REF!+#REF!+H342+#REF!+#REF!+#REF!+#REF!+H1097+H1467+#REF!</f>
        <v>#REF!</v>
      </c>
    </row>
    <row r="1529" spans="1:19" hidden="1">
      <c r="B1529" s="1"/>
      <c r="C1529" s="1"/>
      <c r="D1529" s="1"/>
      <c r="E1529" s="1"/>
      <c r="F1529" s="1"/>
    </row>
    <row r="1530" spans="1:19" hidden="1">
      <c r="B1530" s="1"/>
      <c r="C1530" s="1"/>
      <c r="D1530" s="1"/>
      <c r="E1530" s="1"/>
      <c r="F1530" s="1"/>
      <c r="G1530" s="88">
        <f>'прил 5,'!G2263-'прил 6.'!G1521</f>
        <v>0</v>
      </c>
      <c r="H1530" s="88">
        <f>H1521-'прил 5,'!H2263</f>
        <v>0</v>
      </c>
    </row>
    <row r="1531" spans="1:19" hidden="1">
      <c r="B1531" s="1"/>
      <c r="C1531" s="1"/>
      <c r="D1531" s="1"/>
      <c r="E1531" s="1"/>
      <c r="F1531" s="1"/>
      <c r="G1531" s="88" t="e">
        <f>G1528-G1467</f>
        <v>#REF!</v>
      </c>
      <c r="H1531" s="88" t="e">
        <f>H1528-H1467</f>
        <v>#REF!</v>
      </c>
    </row>
    <row r="1532" spans="1:19" hidden="1">
      <c r="B1532" s="1"/>
      <c r="C1532" s="1"/>
      <c r="D1532" s="1"/>
      <c r="E1532" s="1"/>
      <c r="F1532" s="1"/>
    </row>
    <row r="1537" spans="7:14" hidden="1"/>
    <row r="1538" spans="7:14" hidden="1"/>
    <row r="1539" spans="7:14" hidden="1"/>
    <row r="1540" spans="7:14" hidden="1"/>
    <row r="1541" spans="7:14" hidden="1">
      <c r="I1541" s="88">
        <f t="shared" ref="I1541:N1541" si="402">I1521-I1539</f>
        <v>0</v>
      </c>
      <c r="J1541" s="88">
        <f t="shared" si="402"/>
        <v>0</v>
      </c>
      <c r="K1541" s="88" t="e">
        <f t="shared" si="402"/>
        <v>#REF!</v>
      </c>
      <c r="L1541" s="88">
        <f t="shared" si="402"/>
        <v>0</v>
      </c>
      <c r="M1541" s="88">
        <f t="shared" si="402"/>
        <v>0</v>
      </c>
      <c r="N1541" s="88">
        <f t="shared" si="402"/>
        <v>0</v>
      </c>
    </row>
    <row r="1542" spans="7:14" hidden="1"/>
    <row r="1543" spans="7:14" hidden="1"/>
    <row r="1544" spans="7:14" hidden="1"/>
    <row r="1545" spans="7:14" hidden="1"/>
    <row r="1546" spans="7:14" hidden="1"/>
    <row r="1547" spans="7:14" hidden="1"/>
    <row r="1548" spans="7:14" hidden="1"/>
    <row r="1549" spans="7:14">
      <c r="G1549" s="88">
        <f>G1521-'прил 5,'!G2263</f>
        <v>0</v>
      </c>
      <c r="H1549" s="88">
        <f>H1521-'прил 5,'!H2263</f>
        <v>0</v>
      </c>
    </row>
  </sheetData>
  <mergeCells count="12">
    <mergeCell ref="E1:G1"/>
    <mergeCell ref="E2:G2"/>
    <mergeCell ref="A3:H3"/>
    <mergeCell ref="G4:H4"/>
    <mergeCell ref="A4:A6"/>
    <mergeCell ref="G5:G6"/>
    <mergeCell ref="D5:D6"/>
    <mergeCell ref="B5:B6"/>
    <mergeCell ref="C5:C6"/>
    <mergeCell ref="F4:F6"/>
    <mergeCell ref="E4:E6"/>
    <mergeCell ref="H5:H6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35" max="16383" man="1"/>
    <brk id="15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2023-06-26T09:55:04Z</cp:lastPrinted>
  <dcterms:created xsi:type="dcterms:W3CDTF">2014-11-17T05:43:53Z</dcterms:created>
  <dcterms:modified xsi:type="dcterms:W3CDTF">2023-06-26T09:57:36Z</dcterms:modified>
</cp:coreProperties>
</file>