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'!$A$1:$J$72</definedName>
    <definedName name="_xlnm.Print_Area" localSheetId="1">'прил 5,'!$A$1:$I$2271</definedName>
    <definedName name="_xlnm.Print_Area" localSheetId="2">'прил 6.'!$A$1:$O$1552</definedName>
  </definedNames>
  <calcPr calcId="124519"/>
</workbook>
</file>

<file path=xl/calcChain.xml><?xml version="1.0" encoding="utf-8"?>
<calcChain xmlns="http://schemas.openxmlformats.org/spreadsheetml/2006/main">
  <c r="G1176" i="1"/>
  <c r="G1169"/>
  <c r="G1088" l="1"/>
  <c r="G1551"/>
  <c r="G2196"/>
  <c r="G2194"/>
  <c r="G2236"/>
  <c r="G2242"/>
  <c r="G1160" l="1"/>
  <c r="G1158"/>
  <c r="G1172"/>
  <c r="G1832"/>
  <c r="G1842"/>
  <c r="G1840"/>
  <c r="G1836"/>
  <c r="G1543" i="3"/>
  <c r="G1266" i="1"/>
  <c r="G1276"/>
  <c r="G1277"/>
  <c r="G61"/>
  <c r="G40"/>
  <c r="G1343" l="1"/>
  <c r="G1715"/>
  <c r="G1532"/>
  <c r="I1334" i="3" l="1"/>
  <c r="I1333" s="1"/>
  <c r="H1334"/>
  <c r="H1333" s="1"/>
  <c r="G1334"/>
  <c r="G1333" s="1"/>
  <c r="H1625" i="1"/>
  <c r="I1625"/>
  <c r="H1626"/>
  <c r="I1626"/>
  <c r="G1626"/>
  <c r="G1625"/>
  <c r="I1657"/>
  <c r="I1656" s="1"/>
  <c r="H1657"/>
  <c r="G1657"/>
  <c r="G1656" s="1"/>
  <c r="H1656"/>
  <c r="G1426" l="1"/>
  <c r="I1504" i="3"/>
  <c r="H1504"/>
  <c r="G1504"/>
  <c r="G461" i="1"/>
  <c r="G460" s="1"/>
  <c r="G459" s="1"/>
  <c r="I461"/>
  <c r="I460" s="1"/>
  <c r="H461"/>
  <c r="H460" s="1"/>
  <c r="G454"/>
  <c r="G588"/>
  <c r="G497"/>
  <c r="G1579"/>
  <c r="G219"/>
  <c r="G407"/>
  <c r="G409"/>
  <c r="G458"/>
  <c r="G1513"/>
  <c r="G1518" i="3"/>
  <c r="G1517" s="1"/>
  <c r="G1516" s="1"/>
  <c r="I1517"/>
  <c r="I1516" s="1"/>
  <c r="H1517"/>
  <c r="H1516" s="1"/>
  <c r="I1274" i="1"/>
  <c r="I1273" s="1"/>
  <c r="H1274"/>
  <c r="H1273" s="1"/>
  <c r="G1274"/>
  <c r="G1273" s="1"/>
  <c r="G1720"/>
  <c r="G1202" i="3"/>
  <c r="G1543" i="1"/>
  <c r="G1612"/>
  <c r="I136" i="3"/>
  <c r="I135" s="1"/>
  <c r="H136"/>
  <c r="H135" s="1"/>
  <c r="G136"/>
  <c r="G135" s="1"/>
  <c r="H1593" i="1"/>
  <c r="I1593"/>
  <c r="G1593"/>
  <c r="H1594"/>
  <c r="I1594"/>
  <c r="G1594"/>
  <c r="H1595"/>
  <c r="I1595"/>
  <c r="G1595"/>
  <c r="G331"/>
  <c r="G1148"/>
  <c r="G2214"/>
  <c r="G781" i="3"/>
  <c r="G1682" i="1"/>
  <c r="G1814"/>
  <c r="I103" i="3"/>
  <c r="I102" s="1"/>
  <c r="H103"/>
  <c r="H102" s="1"/>
  <c r="G103"/>
  <c r="G102" s="1"/>
  <c r="H421" i="1"/>
  <c r="H427"/>
  <c r="H424"/>
  <c r="G424"/>
  <c r="G872" i="3"/>
  <c r="G871" s="1"/>
  <c r="G870" s="1"/>
  <c r="I321" i="1"/>
  <c r="I320" s="1"/>
  <c r="H321"/>
  <c r="H320" s="1"/>
  <c r="G321"/>
  <c r="G320" s="1"/>
  <c r="I871" i="3"/>
  <c r="I870" s="1"/>
  <c r="H871"/>
  <c r="H870" s="1"/>
  <c r="G283" i="1"/>
  <c r="G704"/>
  <c r="G532" i="3"/>
  <c r="G668" i="1"/>
  <c r="G1188" i="3"/>
  <c r="G1187" s="1"/>
  <c r="G1186" s="1"/>
  <c r="I1187"/>
  <c r="I1186" s="1"/>
  <c r="H1187"/>
  <c r="H1186" s="1"/>
  <c r="I1571" i="1"/>
  <c r="I1570" s="1"/>
  <c r="H1571"/>
  <c r="H1570" s="1"/>
  <c r="G1571"/>
  <c r="G1570" s="1"/>
  <c r="G1244"/>
  <c r="G1238"/>
  <c r="G1081" l="1"/>
  <c r="G1079"/>
  <c r="G541" i="3" l="1"/>
  <c r="G540" s="1"/>
  <c r="G539" s="1"/>
  <c r="I540"/>
  <c r="I539" s="1"/>
  <c r="H540"/>
  <c r="H539" s="1"/>
  <c r="I520" i="1"/>
  <c r="I519" s="1"/>
  <c r="H520"/>
  <c r="H519" s="1"/>
  <c r="G520"/>
  <c r="G519" s="1"/>
  <c r="G680"/>
  <c r="G527"/>
  <c r="G823"/>
  <c r="G868"/>
  <c r="G665"/>
  <c r="G734"/>
  <c r="G607"/>
  <c r="G683"/>
  <c r="G716"/>
  <c r="G590" i="3" s="1"/>
  <c r="G533" i="1" l="1"/>
  <c r="G511"/>
  <c r="G524"/>
  <c r="G500"/>
  <c r="I352" i="3"/>
  <c r="I351" s="1"/>
  <c r="H352"/>
  <c r="H351" s="1"/>
  <c r="G352"/>
  <c r="G351" s="1"/>
  <c r="G567" i="1"/>
  <c r="H568"/>
  <c r="H567" s="1"/>
  <c r="H566" s="1"/>
  <c r="I568"/>
  <c r="I567" s="1"/>
  <c r="I566" s="1"/>
  <c r="G568"/>
  <c r="G725"/>
  <c r="G599" i="3" s="1"/>
  <c r="G566" i="1" l="1"/>
  <c r="G43"/>
  <c r="G280"/>
  <c r="G1515" i="3"/>
  <c r="G1271" i="1"/>
  <c r="G1270" s="1"/>
  <c r="H1271"/>
  <c r="H1270" s="1"/>
  <c r="I1271"/>
  <c r="I1270" s="1"/>
  <c r="G274"/>
  <c r="G295"/>
  <c r="G1624"/>
  <c r="G1202"/>
  <c r="G924"/>
  <c r="I1054" i="3" l="1"/>
  <c r="I1053" s="1"/>
  <c r="H1054"/>
  <c r="H1053" s="1"/>
  <c r="G1054"/>
  <c r="G1053" s="1"/>
  <c r="G975" i="1" l="1"/>
  <c r="G974" s="1"/>
  <c r="G973" s="1"/>
  <c r="H975"/>
  <c r="H974" s="1"/>
  <c r="H973" s="1"/>
  <c r="I975"/>
  <c r="I974" s="1"/>
  <c r="I973" s="1"/>
  <c r="G935"/>
  <c r="G1021"/>
  <c r="G594"/>
  <c r="G625"/>
  <c r="G896" i="3"/>
  <c r="G895" s="1"/>
  <c r="G894" s="1"/>
  <c r="I895"/>
  <c r="H895"/>
  <c r="H894" s="1"/>
  <c r="I894"/>
  <c r="I327" i="1"/>
  <c r="I326" s="1"/>
  <c r="H327"/>
  <c r="H326" s="1"/>
  <c r="G327"/>
  <c r="G326" s="1"/>
  <c r="G319" l="1"/>
  <c r="G46"/>
  <c r="G277"/>
  <c r="G875" i="3"/>
  <c r="G677" i="1"/>
  <c r="G1179" i="3"/>
  <c r="G2197" i="1"/>
  <c r="G1176" i="3"/>
  <c r="G1037"/>
  <c r="G1036" s="1"/>
  <c r="G1035" s="1"/>
  <c r="I1036"/>
  <c r="I1035" s="1"/>
  <c r="H1036"/>
  <c r="H1035" s="1"/>
  <c r="I1033"/>
  <c r="I1032" s="1"/>
  <c r="H1033"/>
  <c r="H1032" s="1"/>
  <c r="G911" i="1"/>
  <c r="G910" s="1"/>
  <c r="G909" s="1"/>
  <c r="I910"/>
  <c r="I909" s="1"/>
  <c r="H910"/>
  <c r="H909" s="1"/>
  <c r="G849"/>
  <c r="G1034" i="3" l="1"/>
  <c r="G1033" s="1"/>
  <c r="G1032" s="1"/>
  <c r="G1167" i="1"/>
  <c r="G306" i="3"/>
  <c r="G1403" i="1"/>
  <c r="G1416"/>
  <c r="G833" i="3" l="1"/>
  <c r="G1003" l="1"/>
  <c r="G1001" s="1"/>
  <c r="G1503"/>
  <c r="G1502" s="1"/>
  <c r="I1502"/>
  <c r="I1501" s="1"/>
  <c r="I1500" s="1"/>
  <c r="H1502"/>
  <c r="H1501" s="1"/>
  <c r="H1500" s="1"/>
  <c r="G1590" i="1"/>
  <c r="G1589" s="1"/>
  <c r="G1403" i="3"/>
  <c r="G1585" i="1"/>
  <c r="G1501" i="3" l="1"/>
  <c r="G1500" s="1"/>
  <c r="G1002"/>
  <c r="I1375" i="1"/>
  <c r="I1373" s="1"/>
  <c r="H1375"/>
  <c r="H1373" s="1"/>
  <c r="G1375"/>
  <c r="G1374" s="1"/>
  <c r="G1373" s="1"/>
  <c r="G1540" i="3"/>
  <c r="G1509"/>
  <c r="G1508" s="1"/>
  <c r="G1507" s="1"/>
  <c r="I1508"/>
  <c r="I1507" s="1"/>
  <c r="H1508"/>
  <c r="H1507" s="1"/>
  <c r="H1127" i="1"/>
  <c r="H1126" s="1"/>
  <c r="H1125" s="1"/>
  <c r="H1124" s="1"/>
  <c r="I1127"/>
  <c r="I1126" s="1"/>
  <c r="I1125" s="1"/>
  <c r="I1124" s="1"/>
  <c r="G1127"/>
  <c r="G1126" s="1"/>
  <c r="G1125" s="1"/>
  <c r="G364" i="3"/>
  <c r="G363" s="1"/>
  <c r="G362" s="1"/>
  <c r="I363"/>
  <c r="I362" s="1"/>
  <c r="H363"/>
  <c r="H362" s="1"/>
  <c r="G829" i="1"/>
  <c r="G1124" l="1"/>
  <c r="F68" i="2" s="1"/>
  <c r="G177" i="3"/>
  <c r="I1411" i="1"/>
  <c r="H1411"/>
  <c r="G1411"/>
  <c r="G1410" s="1"/>
  <c r="H1731" l="1"/>
  <c r="I1731"/>
  <c r="G176" i="3" l="1"/>
  <c r="G175" s="1"/>
  <c r="I176"/>
  <c r="H176"/>
  <c r="G1801" i="1" l="1"/>
  <c r="G1453"/>
  <c r="G824" i="3"/>
  <c r="G848"/>
  <c r="G860"/>
  <c r="G206" i="1"/>
  <c r="G803" i="3" s="1"/>
  <c r="G1241" i="1" l="1"/>
  <c r="I187" i="3" l="1"/>
  <c r="H187"/>
  <c r="G187"/>
  <c r="H1344" l="1"/>
  <c r="G869" l="1"/>
  <c r="G868" s="1"/>
  <c r="G867" s="1"/>
  <c r="I868"/>
  <c r="I867" s="1"/>
  <c r="H868"/>
  <c r="H867" s="1"/>
  <c r="I318" i="1"/>
  <c r="I317" s="1"/>
  <c r="H318"/>
  <c r="H317" s="1"/>
  <c r="G318"/>
  <c r="G317" s="1"/>
  <c r="G439"/>
  <c r="H866" i="3"/>
  <c r="H865" s="1"/>
  <c r="H864" s="1"/>
  <c r="H1532" i="1"/>
  <c r="G602" i="3"/>
  <c r="G601" s="1"/>
  <c r="G600" s="1"/>
  <c r="I601"/>
  <c r="I600" s="1"/>
  <c r="H601"/>
  <c r="H600" s="1"/>
  <c r="I727" i="1"/>
  <c r="I726" s="1"/>
  <c r="H727"/>
  <c r="H726" s="1"/>
  <c r="G727"/>
  <c r="G726" s="1"/>
  <c r="G1497"/>
  <c r="I865" i="3"/>
  <c r="I864" s="1"/>
  <c r="G865"/>
  <c r="G864" s="1"/>
  <c r="I862"/>
  <c r="I861" s="1"/>
  <c r="H862"/>
  <c r="H861" s="1"/>
  <c r="G862"/>
  <c r="G861" s="1"/>
  <c r="I874"/>
  <c r="I873" s="1"/>
  <c r="H874"/>
  <c r="H873" s="1"/>
  <c r="G874"/>
  <c r="G873" s="1"/>
  <c r="I859"/>
  <c r="I858" s="1"/>
  <c r="H859"/>
  <c r="H858" s="1"/>
  <c r="G859"/>
  <c r="G858" s="1"/>
  <c r="I315" i="1"/>
  <c r="I314" s="1"/>
  <c r="H315"/>
  <c r="H314" s="1"/>
  <c r="G315"/>
  <c r="G314" s="1"/>
  <c r="I312"/>
  <c r="I311" s="1"/>
  <c r="H312"/>
  <c r="H311" s="1"/>
  <c r="G312"/>
  <c r="G311" s="1"/>
  <c r="I324"/>
  <c r="I323" s="1"/>
  <c r="H324"/>
  <c r="H323" s="1"/>
  <c r="G324"/>
  <c r="G323" s="1"/>
  <c r="I598" i="3" l="1"/>
  <c r="I597" s="1"/>
  <c r="H598"/>
  <c r="H597" s="1"/>
  <c r="G598"/>
  <c r="G597" s="1"/>
  <c r="I595"/>
  <c r="I594" s="1"/>
  <c r="H595"/>
  <c r="H594" s="1"/>
  <c r="G595"/>
  <c r="G594" s="1"/>
  <c r="I592"/>
  <c r="I591" s="1"/>
  <c r="H592"/>
  <c r="H591" s="1"/>
  <c r="G592"/>
  <c r="G591" s="1"/>
  <c r="I589"/>
  <c r="I588" s="1"/>
  <c r="H589"/>
  <c r="H588" s="1"/>
  <c r="G589"/>
  <c r="G588" s="1"/>
  <c r="I586"/>
  <c r="I585" s="1"/>
  <c r="H586"/>
  <c r="H585" s="1"/>
  <c r="G586"/>
  <c r="G585" s="1"/>
  <c r="I712" i="1" l="1"/>
  <c r="I711" s="1"/>
  <c r="H712"/>
  <c r="H711" s="1"/>
  <c r="G712"/>
  <c r="G711" s="1"/>
  <c r="I715"/>
  <c r="I714" s="1"/>
  <c r="H715"/>
  <c r="H714" s="1"/>
  <c r="G715"/>
  <c r="G714" s="1"/>
  <c r="I718"/>
  <c r="I717" s="1"/>
  <c r="H718"/>
  <c r="H717" s="1"/>
  <c r="G718"/>
  <c r="G717" s="1"/>
  <c r="I721"/>
  <c r="I720" s="1"/>
  <c r="H721"/>
  <c r="H720" s="1"/>
  <c r="G721"/>
  <c r="G720" s="1"/>
  <c r="I724"/>
  <c r="I723" s="1"/>
  <c r="H724"/>
  <c r="H723" s="1"/>
  <c r="G724"/>
  <c r="G723" s="1"/>
  <c r="G972" l="1"/>
  <c r="G670" i="3" s="1"/>
  <c r="G506" i="1"/>
  <c r="G686"/>
  <c r="G1217"/>
  <c r="G145"/>
  <c r="G134" i="3" s="1"/>
  <c r="G1143" l="1"/>
  <c r="G1494" l="1"/>
  <c r="G190"/>
  <c r="G1512"/>
  <c r="G2239" i="1"/>
  <c r="I2235"/>
  <c r="I2234" s="1"/>
  <c r="I2233" s="1"/>
  <c r="H2235"/>
  <c r="H2234" s="1"/>
  <c r="H2233" s="1"/>
  <c r="G2160"/>
  <c r="G2159" s="1"/>
  <c r="I1708"/>
  <c r="H1708"/>
  <c r="G1708"/>
  <c r="G1707" s="1"/>
  <c r="G1706" s="1"/>
  <c r="G1705" s="1"/>
  <c r="G1704" s="1"/>
  <c r="I1702"/>
  <c r="H1702"/>
  <c r="G1702"/>
  <c r="G1701" s="1"/>
  <c r="G1700" s="1"/>
  <c r="G728" i="3"/>
  <c r="G727" s="1"/>
  <c r="G726" s="1"/>
  <c r="I727"/>
  <c r="I726" s="1"/>
  <c r="H727"/>
  <c r="H726" s="1"/>
  <c r="G1411"/>
  <c r="G1623" i="1"/>
  <c r="G1622" s="1"/>
  <c r="G1621" s="1"/>
  <c r="G2158" l="1"/>
  <c r="G2157" s="1"/>
  <c r="G2156" s="1"/>
  <c r="G1521" i="3"/>
  <c r="I1481" i="1"/>
  <c r="H1481"/>
  <c r="G1481"/>
  <c r="G1354"/>
  <c r="I1417" i="3"/>
  <c r="I1416" s="1"/>
  <c r="H1417"/>
  <c r="H1416" s="1"/>
  <c r="I1144" i="1"/>
  <c r="I1143" s="1"/>
  <c r="H1144"/>
  <c r="H1143" s="1"/>
  <c r="G1144"/>
  <c r="G1143" s="1"/>
  <c r="G1418" i="3" s="1"/>
  <c r="G1417" s="1"/>
  <c r="G1416" s="1"/>
  <c r="G527"/>
  <c r="G526" s="1"/>
  <c r="G525" s="1"/>
  <c r="I526"/>
  <c r="I525" s="1"/>
  <c r="H526"/>
  <c r="H525" s="1"/>
  <c r="I661" i="1"/>
  <c r="I660" s="1"/>
  <c r="H661"/>
  <c r="H660" s="1"/>
  <c r="G661"/>
  <c r="G660" s="1"/>
  <c r="H410"/>
  <c r="I410"/>
  <c r="G1140" i="3" l="1"/>
  <c r="G1139" s="1"/>
  <c r="G1138" s="1"/>
  <c r="G1339" i="1"/>
  <c r="G1338" s="1"/>
  <c r="I1339"/>
  <c r="I1338" s="1"/>
  <c r="H1339"/>
  <c r="H1338" s="1"/>
  <c r="G1255" i="3"/>
  <c r="G1254" s="1"/>
  <c r="G1253" s="1"/>
  <c r="I1254"/>
  <c r="I1253" s="1"/>
  <c r="H1254"/>
  <c r="H1253" s="1"/>
  <c r="I1581" i="1"/>
  <c r="I1580" s="1"/>
  <c r="H1581"/>
  <c r="H1580" s="1"/>
  <c r="G1581"/>
  <c r="G1580" s="1"/>
  <c r="G1323"/>
  <c r="G1322" s="1"/>
  <c r="I1139" i="3"/>
  <c r="I1138" s="1"/>
  <c r="H1139"/>
  <c r="H1138" s="1"/>
  <c r="I1323" i="1"/>
  <c r="I1322" s="1"/>
  <c r="H1323"/>
  <c r="H1322" s="1"/>
  <c r="G1599"/>
  <c r="G1609" s="1"/>
  <c r="I1201" i="3"/>
  <c r="I1200" s="1"/>
  <c r="H1201"/>
  <c r="H1200" s="1"/>
  <c r="G1201"/>
  <c r="G1200" s="1"/>
  <c r="I1542" i="1"/>
  <c r="I1541" s="1"/>
  <c r="H1542"/>
  <c r="H1541" s="1"/>
  <c r="G1542"/>
  <c r="G1541" s="1"/>
  <c r="G1545"/>
  <c r="G1544" s="1"/>
  <c r="H1545"/>
  <c r="H1544" s="1"/>
  <c r="I1545"/>
  <c r="I1544" s="1"/>
  <c r="G707"/>
  <c r="G706" s="1"/>
  <c r="G705" s="1"/>
  <c r="G584" i="3"/>
  <c r="G583" s="1"/>
  <c r="G582" s="1"/>
  <c r="I583"/>
  <c r="I582" s="1"/>
  <c r="H583"/>
  <c r="H582" s="1"/>
  <c r="I709" i="1"/>
  <c r="I708" s="1"/>
  <c r="H709"/>
  <c r="H708" s="1"/>
  <c r="G709"/>
  <c r="G708" s="1"/>
  <c r="G701"/>
  <c r="G741" i="3"/>
  <c r="G740" s="1"/>
  <c r="G739" s="1"/>
  <c r="I740"/>
  <c r="I739" s="1"/>
  <c r="H740"/>
  <c r="H739" s="1"/>
  <c r="I1675" i="1"/>
  <c r="I1674" s="1"/>
  <c r="H1675"/>
  <c r="H1674" s="1"/>
  <c r="G1675"/>
  <c r="G1674" s="1"/>
  <c r="G1664"/>
  <c r="I1088"/>
  <c r="H701"/>
  <c r="H1088"/>
  <c r="I94" i="2"/>
  <c r="J94"/>
  <c r="G581" i="3"/>
  <c r="G580" s="1"/>
  <c r="G579" s="1"/>
  <c r="I580"/>
  <c r="I579" s="1"/>
  <c r="H580"/>
  <c r="H579" s="1"/>
  <c r="I706" i="1"/>
  <c r="I705" s="1"/>
  <c r="H706"/>
  <c r="H705" s="1"/>
  <c r="G1388"/>
  <c r="I1357" i="3"/>
  <c r="H1357"/>
  <c r="G1357"/>
  <c r="I1355"/>
  <c r="H1355"/>
  <c r="G1355"/>
  <c r="H1751" i="1"/>
  <c r="I1751"/>
  <c r="G1751"/>
  <c r="H1749"/>
  <c r="G1749"/>
  <c r="I1749"/>
  <c r="I1741"/>
  <c r="H1741"/>
  <c r="G1741"/>
  <c r="I802" i="3"/>
  <c r="I801" s="1"/>
  <c r="H802"/>
  <c r="H801" s="1"/>
  <c r="G802"/>
  <c r="G801" s="1"/>
  <c r="G1287" i="1"/>
  <c r="I1420"/>
  <c r="I181" i="3" s="1"/>
  <c r="H1420" i="1"/>
  <c r="H181" i="3" s="1"/>
  <c r="I1403" i="1"/>
  <c r="I165" i="3" s="1"/>
  <c r="H1403" i="1"/>
  <c r="H165" i="3" s="1"/>
  <c r="I574"/>
  <c r="I573" s="1"/>
  <c r="H574"/>
  <c r="H573" s="1"/>
  <c r="G574"/>
  <c r="G573" s="1"/>
  <c r="I730" i="1"/>
  <c r="I729" s="1"/>
  <c r="H730"/>
  <c r="H729" s="1"/>
  <c r="G730"/>
  <c r="G729" s="1"/>
  <c r="G572" i="3"/>
  <c r="G646" i="1"/>
  <c r="G1649"/>
  <c r="G1338" i="3" s="1"/>
  <c r="G1496"/>
  <c r="G1495" s="1"/>
  <c r="H923" i="1"/>
  <c r="H922" s="1"/>
  <c r="I923"/>
  <c r="I922" s="1"/>
  <c r="G923"/>
  <c r="G922" s="1"/>
  <c r="I631" i="3"/>
  <c r="I630" s="1"/>
  <c r="H631"/>
  <c r="H630" s="1"/>
  <c r="G631"/>
  <c r="G630" s="1"/>
  <c r="I968" i="1"/>
  <c r="I967" s="1"/>
  <c r="H968"/>
  <c r="H967" s="1"/>
  <c r="G968"/>
  <c r="G967" s="1"/>
  <c r="I523" i="3"/>
  <c r="I522" s="1"/>
  <c r="H523"/>
  <c r="H522" s="1"/>
  <c r="G523"/>
  <c r="G522" s="1"/>
  <c r="I658" i="1"/>
  <c r="I657" s="1"/>
  <c r="H658"/>
  <c r="H657" s="1"/>
  <c r="G658"/>
  <c r="G657" s="1"/>
  <c r="G323" i="3"/>
  <c r="G330"/>
  <c r="G329" s="1"/>
  <c r="G1736" i="1"/>
  <c r="G1735" s="1"/>
  <c r="G1733"/>
  <c r="G1732" s="1"/>
  <c r="G332" i="3"/>
  <c r="G1420" i="1"/>
  <c r="G181" i="3" s="1"/>
  <c r="G1396" i="1"/>
  <c r="G1395" s="1"/>
  <c r="G286" i="3" s="1"/>
  <c r="G285" s="1"/>
  <c r="G284" s="1"/>
  <c r="G1264" i="1"/>
  <c r="G1263" s="1"/>
  <c r="G1262" s="1"/>
  <c r="G1490" i="3" s="1"/>
  <c r="G1207" i="1"/>
  <c r="G28"/>
  <c r="G26"/>
  <c r="G350"/>
  <c r="G349" s="1"/>
  <c r="G1731" l="1"/>
  <c r="G1489" i="3"/>
  <c r="H1362" i="1"/>
  <c r="H1334"/>
  <c r="G1187"/>
  <c r="I1175" i="3"/>
  <c r="H1175"/>
  <c r="G1175"/>
  <c r="I2193" i="1"/>
  <c r="I2192" s="1"/>
  <c r="H2193"/>
  <c r="H2192" s="1"/>
  <c r="G2193"/>
  <c r="I1362"/>
  <c r="I1365"/>
  <c r="I1334"/>
  <c r="I1337"/>
  <c r="I978" i="3"/>
  <c r="I977" s="1"/>
  <c r="H978"/>
  <c r="H977" s="1"/>
  <c r="G978"/>
  <c r="G977" s="1"/>
  <c r="I251" i="1"/>
  <c r="I250" s="1"/>
  <c r="H251"/>
  <c r="H250" s="1"/>
  <c r="G251"/>
  <c r="G250" s="1"/>
  <c r="I233"/>
  <c r="H233"/>
  <c r="G233"/>
  <c r="G1220"/>
  <c r="G1212"/>
  <c r="G1542" i="3"/>
  <c r="G1541" s="1"/>
  <c r="I1542"/>
  <c r="I1541" s="1"/>
  <c r="H1542"/>
  <c r="H1541" s="1"/>
  <c r="G803" i="1"/>
  <c r="G802" s="1"/>
  <c r="I803"/>
  <c r="I802" s="1"/>
  <c r="H803"/>
  <c r="H802" s="1"/>
  <c r="G801"/>
  <c r="I333"/>
  <c r="I332" s="1"/>
  <c r="H333"/>
  <c r="H332" s="1"/>
  <c r="G333"/>
  <c r="G332" s="1"/>
  <c r="I897" i="3"/>
  <c r="I804" s="1"/>
  <c r="H897"/>
  <c r="H804" s="1"/>
  <c r="G897"/>
  <c r="G804" s="1"/>
  <c r="G887"/>
  <c r="I1192" i="1"/>
  <c r="H1192"/>
  <c r="G1192"/>
  <c r="G1428" i="3"/>
  <c r="G439"/>
  <c r="G1366"/>
  <c r="G1365" s="1"/>
  <c r="G1364" s="1"/>
  <c r="I1365"/>
  <c r="I1364" s="1"/>
  <c r="H1365"/>
  <c r="H1364" s="1"/>
  <c r="I1776" i="1"/>
  <c r="I1775" s="1"/>
  <c r="H1776"/>
  <c r="H1775" s="1"/>
  <c r="G1776"/>
  <c r="G1775" s="1"/>
  <c r="G1061" i="3"/>
  <c r="G1060" s="1"/>
  <c r="G1059" s="1"/>
  <c r="I1060"/>
  <c r="H1060"/>
  <c r="G1161" i="1"/>
  <c r="G436" i="3" l="1"/>
  <c r="G435" s="1"/>
  <c r="G434" s="1"/>
  <c r="I435"/>
  <c r="I434" s="1"/>
  <c r="H435"/>
  <c r="H434" s="1"/>
  <c r="H989" i="1"/>
  <c r="H988" s="1"/>
  <c r="I989"/>
  <c r="I988" s="1"/>
  <c r="G989"/>
  <c r="G988" s="1"/>
  <c r="I628" i="3"/>
  <c r="I627" s="1"/>
  <c r="H628"/>
  <c r="H627" s="1"/>
  <c r="G628"/>
  <c r="G627" s="1"/>
  <c r="G791"/>
  <c r="G790" s="1"/>
  <c r="G789" s="1"/>
  <c r="I790"/>
  <c r="I789" s="1"/>
  <c r="H790"/>
  <c r="H789" s="1"/>
  <c r="G997"/>
  <c r="G1381" l="1"/>
  <c r="G1380" s="1"/>
  <c r="G920" i="1"/>
  <c r="G919" s="1"/>
  <c r="G918" s="1"/>
  <c r="G1153" i="3"/>
  <c r="G1152" s="1"/>
  <c r="G1151" s="1"/>
  <c r="G1249" i="1"/>
  <c r="G1248" s="1"/>
  <c r="G170" i="3" l="1"/>
  <c r="G169" s="1"/>
  <c r="G1404" i="1"/>
  <c r="G165" i="3"/>
  <c r="G305"/>
  <c r="G304" s="1"/>
  <c r="G303" s="1"/>
  <c r="G1425" i="1"/>
  <c r="G1424" s="1"/>
  <c r="G1423" s="1"/>
  <c r="G310" i="3"/>
  <c r="G309" s="1"/>
  <c r="G308" s="1"/>
  <c r="G307" s="1"/>
  <c r="G1429" i="1"/>
  <c r="G1428" s="1"/>
  <c r="G1427" s="1"/>
  <c r="I780" i="3"/>
  <c r="I779" s="1"/>
  <c r="H780"/>
  <c r="H779" s="1"/>
  <c r="G780"/>
  <c r="G779" s="1"/>
  <c r="I743"/>
  <c r="I742" s="1"/>
  <c r="H743"/>
  <c r="H742" s="1"/>
  <c r="G743"/>
  <c r="G742" s="1"/>
  <c r="I1681" i="1"/>
  <c r="I1680" s="1"/>
  <c r="H1681"/>
  <c r="H1680" s="1"/>
  <c r="G1681"/>
  <c r="G1680" s="1"/>
  <c r="I1148" i="3"/>
  <c r="I1147" s="1"/>
  <c r="H1148"/>
  <c r="H1147" s="1"/>
  <c r="G1148"/>
  <c r="G1147" s="1"/>
  <c r="G1345" i="1"/>
  <c r="G1344" s="1"/>
  <c r="I1345"/>
  <c r="I1344" s="1"/>
  <c r="H1345"/>
  <c r="H1344" s="1"/>
  <c r="I996" i="3"/>
  <c r="I995" s="1"/>
  <c r="H996"/>
  <c r="H995" s="1"/>
  <c r="G996"/>
  <c r="G995" s="1"/>
  <c r="G330" i="1"/>
  <c r="G329" s="1"/>
  <c r="I330"/>
  <c r="I329" s="1"/>
  <c r="H330"/>
  <c r="H329" s="1"/>
  <c r="I173" i="3"/>
  <c r="I172" s="1"/>
  <c r="H173"/>
  <c r="H172" s="1"/>
  <c r="G173"/>
  <c r="G172" s="1"/>
  <c r="G1408" i="1"/>
  <c r="G1407" s="1"/>
  <c r="I1408"/>
  <c r="I1407" s="1"/>
  <c r="H1408"/>
  <c r="H1407" s="1"/>
  <c r="G526"/>
  <c r="G525" s="1"/>
  <c r="G523"/>
  <c r="G522" s="1"/>
  <c r="I523"/>
  <c r="I522" s="1"/>
  <c r="H523"/>
  <c r="H522" s="1"/>
  <c r="I526"/>
  <c r="I525" s="1"/>
  <c r="H526"/>
  <c r="H525" s="1"/>
  <c r="I712" i="3"/>
  <c r="I711" s="1"/>
  <c r="H712"/>
  <c r="H711" s="1"/>
  <c r="G712"/>
  <c r="G711" s="1"/>
  <c r="G162" l="1"/>
  <c r="G550"/>
  <c r="G557"/>
  <c r="G556" s="1"/>
  <c r="G555" s="1"/>
  <c r="I1437" i="1"/>
  <c r="I1436" s="1"/>
  <c r="H1437"/>
  <c r="H1436" s="1"/>
  <c r="G1437"/>
  <c r="G1436" s="1"/>
  <c r="G1178" i="3"/>
  <c r="G1351" i="1"/>
  <c r="G1337" i="3"/>
  <c r="G1336" s="1"/>
  <c r="G1648" i="1"/>
  <c r="G1647" s="1"/>
  <c r="G1655"/>
  <c r="H566" i="3"/>
  <c r="I566"/>
  <c r="G566"/>
  <c r="G529" i="1"/>
  <c r="G528" s="1"/>
  <c r="I529"/>
  <c r="I528" s="1"/>
  <c r="H529"/>
  <c r="H528" s="1"/>
  <c r="H557" i="3"/>
  <c r="H556" s="1"/>
  <c r="H555" s="1"/>
  <c r="I557"/>
  <c r="I556" s="1"/>
  <c r="I555" s="1"/>
  <c r="G851" i="1"/>
  <c r="G850" s="1"/>
  <c r="I851"/>
  <c r="I850" s="1"/>
  <c r="H851"/>
  <c r="H850" s="1"/>
  <c r="G679"/>
  <c r="G678" s="1"/>
  <c r="I679"/>
  <c r="I678" s="1"/>
  <c r="H679"/>
  <c r="H678" s="1"/>
  <c r="H550" i="3"/>
  <c r="I550"/>
  <c r="I439"/>
  <c r="I438" s="1"/>
  <c r="I437" s="1"/>
  <c r="H439"/>
  <c r="H438" s="1"/>
  <c r="H437" s="1"/>
  <c r="G438"/>
  <c r="G437" s="1"/>
  <c r="I993" i="1"/>
  <c r="I992" s="1"/>
  <c r="I991" s="1"/>
  <c r="H993"/>
  <c r="H992" s="1"/>
  <c r="H991" s="1"/>
  <c r="G992"/>
  <c r="G991" s="1"/>
  <c r="I1012"/>
  <c r="I694" i="3" s="1"/>
  <c r="H1012" i="1"/>
  <c r="H694" i="3" s="1"/>
  <c r="G1012" i="1"/>
  <c r="G694" i="3" s="1"/>
  <c r="I432"/>
  <c r="I431" s="1"/>
  <c r="H432"/>
  <c r="H431" s="1"/>
  <c r="G432"/>
  <c r="G431" s="1"/>
  <c r="I986" i="1"/>
  <c r="I985" s="1"/>
  <c r="H986"/>
  <c r="H985" s="1"/>
  <c r="G986"/>
  <c r="G985" s="1"/>
  <c r="G1015"/>
  <c r="I1204" i="3"/>
  <c r="I1203" s="1"/>
  <c r="H1204"/>
  <c r="H1203" s="1"/>
  <c r="G1204"/>
  <c r="G1203" s="1"/>
  <c r="G1434" i="1"/>
  <c r="G1379" i="3" s="1"/>
  <c r="G984" i="1" l="1"/>
  <c r="I984"/>
  <c r="H984"/>
  <c r="H1258" i="3"/>
  <c r="I1258"/>
  <c r="G1258"/>
  <c r="I848" i="1"/>
  <c r="I847" s="1"/>
  <c r="H848"/>
  <c r="H847" s="1"/>
  <c r="G848"/>
  <c r="G847" s="1"/>
  <c r="H328" i="3"/>
  <c r="I328"/>
  <c r="H981"/>
  <c r="H980" s="1"/>
  <c r="I981"/>
  <c r="I980" s="1"/>
  <c r="H164" i="1"/>
  <c r="H163" s="1"/>
  <c r="I164"/>
  <c r="I163" s="1"/>
  <c r="H350" i="3"/>
  <c r="I350"/>
  <c r="G350"/>
  <c r="G328"/>
  <c r="H323"/>
  <c r="I323"/>
  <c r="H340"/>
  <c r="H339" s="1"/>
  <c r="H338" s="1"/>
  <c r="I340"/>
  <c r="I339" s="1"/>
  <c r="I338" s="1"/>
  <c r="G340"/>
  <c r="G339" s="1"/>
  <c r="G338" s="1"/>
  <c r="G1526" i="1"/>
  <c r="G1525" s="1"/>
  <c r="I1526"/>
  <c r="I1525" s="1"/>
  <c r="H1526"/>
  <c r="H1525" s="1"/>
  <c r="H189" i="3" l="1"/>
  <c r="H186" s="1"/>
  <c r="I189"/>
  <c r="I186" s="1"/>
  <c r="H1415" i="1"/>
  <c r="H1414" s="1"/>
  <c r="I1415"/>
  <c r="I1414" s="1"/>
  <c r="I1696" l="1"/>
  <c r="H1696"/>
  <c r="I301" i="3"/>
  <c r="I300" s="1"/>
  <c r="I299" s="1"/>
  <c r="H301"/>
  <c r="H300" s="1"/>
  <c r="H299" s="1"/>
  <c r="G301"/>
  <c r="I2179" i="1"/>
  <c r="I2178" s="1"/>
  <c r="I2177" s="1"/>
  <c r="H2179"/>
  <c r="H2178" s="1"/>
  <c r="H2177" s="1"/>
  <c r="G2179"/>
  <c r="I289" i="3"/>
  <c r="H289"/>
  <c r="G289"/>
  <c r="I291"/>
  <c r="I288" s="1"/>
  <c r="H291"/>
  <c r="H288" s="1"/>
  <c r="G291"/>
  <c r="I2167" i="1"/>
  <c r="H2167"/>
  <c r="G2167"/>
  <c r="G296" i="3"/>
  <c r="G294" s="1"/>
  <c r="G293" s="1"/>
  <c r="I295"/>
  <c r="H295"/>
  <c r="G2174" i="1"/>
  <c r="G2173" s="1"/>
  <c r="I2173"/>
  <c r="H2173"/>
  <c r="G164" i="3"/>
  <c r="G163" s="1"/>
  <c r="H164"/>
  <c r="H163" s="1"/>
  <c r="I164"/>
  <c r="I163" s="1"/>
  <c r="I2169" i="1"/>
  <c r="I2166" s="1"/>
  <c r="H2169"/>
  <c r="H2166" s="1"/>
  <c r="G2169"/>
  <c r="I297" i="3"/>
  <c r="I294" s="1"/>
  <c r="I293" s="1"/>
  <c r="H297"/>
  <c r="H294" s="1"/>
  <c r="H293" s="1"/>
  <c r="G297"/>
  <c r="G189"/>
  <c r="I185"/>
  <c r="H185"/>
  <c r="I1413" i="1"/>
  <c r="H1413"/>
  <c r="G1208" i="3"/>
  <c r="I2248" i="1"/>
  <c r="I2247" s="1"/>
  <c r="I2246" s="1"/>
  <c r="I2243" s="1"/>
  <c r="H2248"/>
  <c r="H2247" s="1"/>
  <c r="H2246" s="1"/>
  <c r="H2243" s="1"/>
  <c r="G2248"/>
  <c r="G2247" s="1"/>
  <c r="G2246" s="1"/>
  <c r="G2243" s="1"/>
  <c r="I1218" i="3"/>
  <c r="I1217" s="1"/>
  <c r="H1218"/>
  <c r="H1217" s="1"/>
  <c r="G1218"/>
  <c r="G1217" s="1"/>
  <c r="I2231" i="1"/>
  <c r="I2230" s="1"/>
  <c r="H2231"/>
  <c r="H2230" s="1"/>
  <c r="G2231"/>
  <c r="G2230" s="1"/>
  <c r="G2226" s="1"/>
  <c r="G1191" i="3"/>
  <c r="I2228" i="1"/>
  <c r="I2227" s="1"/>
  <c r="H2228"/>
  <c r="H2227" s="1"/>
  <c r="G2228"/>
  <c r="G2227" s="1"/>
  <c r="I2226"/>
  <c r="I2225" s="1"/>
  <c r="H2226"/>
  <c r="H2225" s="1"/>
  <c r="I2223"/>
  <c r="I2222" s="1"/>
  <c r="H2223"/>
  <c r="H2222" s="1"/>
  <c r="G2223"/>
  <c r="G2222" s="1"/>
  <c r="G2215" s="1"/>
  <c r="I2220"/>
  <c r="I2219" s="1"/>
  <c r="H2220"/>
  <c r="H2219" s="1"/>
  <c r="G2220"/>
  <c r="G2219" s="1"/>
  <c r="I2217"/>
  <c r="I2216" s="1"/>
  <c r="H2217"/>
  <c r="H2216" s="1"/>
  <c r="G2217"/>
  <c r="G2216" s="1"/>
  <c r="G1222" i="3"/>
  <c r="I2213" i="1"/>
  <c r="I2212" s="1"/>
  <c r="H2213"/>
  <c r="H2212" s="1"/>
  <c r="G2213"/>
  <c r="G2212" s="1"/>
  <c r="G2210"/>
  <c r="G2209" s="1"/>
  <c r="I2210"/>
  <c r="I2209" s="1"/>
  <c r="H2210"/>
  <c r="H2209" s="1"/>
  <c r="I2207"/>
  <c r="I2206" s="1"/>
  <c r="H2207"/>
  <c r="H2206" s="1"/>
  <c r="G2207"/>
  <c r="G2206" s="1"/>
  <c r="I2203"/>
  <c r="I2202" s="1"/>
  <c r="H2203"/>
  <c r="H2202" s="1"/>
  <c r="G2203"/>
  <c r="G2202" s="1"/>
  <c r="G1177" i="3"/>
  <c r="G1174" s="1"/>
  <c r="H2252" i="1"/>
  <c r="H2251" s="1"/>
  <c r="H2250" s="1"/>
  <c r="H2201" s="1"/>
  <c r="I2252"/>
  <c r="I2251" s="1"/>
  <c r="I2250" s="1"/>
  <c r="G2252"/>
  <c r="G2254"/>
  <c r="G2253" s="1"/>
  <c r="I2254"/>
  <c r="I2253" s="1"/>
  <c r="H2254"/>
  <c r="H2253" s="1"/>
  <c r="H2191"/>
  <c r="H2190" s="1"/>
  <c r="H2162" s="1"/>
  <c r="H2256" s="1"/>
  <c r="I2191"/>
  <c r="I2190" s="1"/>
  <c r="I2162" s="1"/>
  <c r="I2256" s="1"/>
  <c r="G2195"/>
  <c r="G2192" s="1"/>
  <c r="I2188"/>
  <c r="H2188"/>
  <c r="G2188"/>
  <c r="I2186"/>
  <c r="H2186"/>
  <c r="G2186"/>
  <c r="G2182"/>
  <c r="G2181" s="1"/>
  <c r="I2175"/>
  <c r="I2172" s="1"/>
  <c r="I2171" s="1"/>
  <c r="H2175"/>
  <c r="H2172" s="1"/>
  <c r="H2171" s="1"/>
  <c r="G2175"/>
  <c r="G1413" i="3"/>
  <c r="I807" i="1"/>
  <c r="I806" s="1"/>
  <c r="I805" s="1"/>
  <c r="H807"/>
  <c r="H806" s="1"/>
  <c r="H805" s="1"/>
  <c r="G807"/>
  <c r="G806" s="1"/>
  <c r="G805" s="1"/>
  <c r="G1629"/>
  <c r="G1312" i="3" s="1"/>
  <c r="I993"/>
  <c r="I992" s="1"/>
  <c r="H993"/>
  <c r="H992" s="1"/>
  <c r="G993"/>
  <c r="G992" s="1"/>
  <c r="I990"/>
  <c r="I989" s="1"/>
  <c r="H990"/>
  <c r="H989" s="1"/>
  <c r="G990"/>
  <c r="G989" s="1"/>
  <c r="I987"/>
  <c r="I986" s="1"/>
  <c r="H987"/>
  <c r="H986" s="1"/>
  <c r="G987"/>
  <c r="I161" i="1"/>
  <c r="I160" s="1"/>
  <c r="H161"/>
  <c r="H160" s="1"/>
  <c r="G161"/>
  <c r="G160" s="1"/>
  <c r="G158"/>
  <c r="G157" s="1"/>
  <c r="H158"/>
  <c r="H157" s="1"/>
  <c r="I158"/>
  <c r="I157" s="1"/>
  <c r="I1231" i="3"/>
  <c r="H1231"/>
  <c r="H696"/>
  <c r="H695" s="1"/>
  <c r="I696"/>
  <c r="I695" s="1"/>
  <c r="H1014" i="1"/>
  <c r="H1013" s="1"/>
  <c r="I1014"/>
  <c r="I1013" s="1"/>
  <c r="I799" i="3"/>
  <c r="I798" s="1"/>
  <c r="H799"/>
  <c r="H798" s="1"/>
  <c r="G799"/>
  <c r="G798" s="1"/>
  <c r="I205" i="1"/>
  <c r="I204" s="1"/>
  <c r="H205"/>
  <c r="H204" s="1"/>
  <c r="G205"/>
  <c r="G204" s="1"/>
  <c r="I92" i="2"/>
  <c r="G186" i="3" l="1"/>
  <c r="G185" s="1"/>
  <c r="G2191" i="1"/>
  <c r="G2190" s="1"/>
  <c r="G986" i="3"/>
  <c r="G154" i="1"/>
  <c r="G2172"/>
  <c r="G2171" s="1"/>
  <c r="I287" i="3"/>
  <c r="H2185" i="1"/>
  <c r="H2184" s="1"/>
  <c r="H2164" s="1"/>
  <c r="H2163" s="1"/>
  <c r="G2166"/>
  <c r="G2165" s="1"/>
  <c r="H2200"/>
  <c r="H2199" s="1"/>
  <c r="G288" i="3"/>
  <c r="G287" s="1"/>
  <c r="H2165" i="1"/>
  <c r="G2178"/>
  <c r="G2177" s="1"/>
  <c r="I2165"/>
  <c r="H287" i="3"/>
  <c r="G295"/>
  <c r="G2201" i="1"/>
  <c r="G2200" s="1"/>
  <c r="I2201"/>
  <c r="I2200" s="1"/>
  <c r="I2199" s="1"/>
  <c r="I2215"/>
  <c r="H2215"/>
  <c r="I2185"/>
  <c r="I2184" s="1"/>
  <c r="I2164" s="1"/>
  <c r="I2163" s="1"/>
  <c r="G2185"/>
  <c r="G2184" s="1"/>
  <c r="I1449" i="3"/>
  <c r="I1451"/>
  <c r="I1450" s="1"/>
  <c r="G854"/>
  <c r="G853" s="1"/>
  <c r="G852" s="1"/>
  <c r="I853"/>
  <c r="I852" s="1"/>
  <c r="H853"/>
  <c r="H852" s="1"/>
  <c r="I306" i="1"/>
  <c r="I305" s="1"/>
  <c r="H306"/>
  <c r="H305" s="1"/>
  <c r="G306"/>
  <c r="G305" s="1"/>
  <c r="G1231" i="3"/>
  <c r="G1230" s="1"/>
  <c r="G1229" s="1"/>
  <c r="I1230"/>
  <c r="I1229" s="1"/>
  <c r="H1230"/>
  <c r="H1229" s="1"/>
  <c r="G1499" i="1"/>
  <c r="G1498" s="1"/>
  <c r="I1499"/>
  <c r="I1498" s="1"/>
  <c r="I1487" s="1"/>
  <c r="H1499"/>
  <c r="H1498" s="1"/>
  <c r="H1487" s="1"/>
  <c r="G167" i="3"/>
  <c r="G166" s="1"/>
  <c r="G1415" i="1"/>
  <c r="G1414" s="1"/>
  <c r="G1413" s="1"/>
  <c r="G599"/>
  <c r="G697" i="3"/>
  <c r="G696" s="1"/>
  <c r="G695" s="1"/>
  <c r="G1014" i="1"/>
  <c r="G1013" s="1"/>
  <c r="H1159" i="3"/>
  <c r="H1158" s="1"/>
  <c r="H1157" s="1"/>
  <c r="I1159"/>
  <c r="I1158" s="1"/>
  <c r="I1157" s="1"/>
  <c r="G1159"/>
  <c r="G1158" s="1"/>
  <c r="G1157" s="1"/>
  <c r="I1240" i="1"/>
  <c r="I1239" s="1"/>
  <c r="H1240"/>
  <c r="H1239" s="1"/>
  <c r="G1240"/>
  <c r="G1239" s="1"/>
  <c r="G1767"/>
  <c r="G997"/>
  <c r="G2164" l="1"/>
  <c r="G2163" s="1"/>
  <c r="G2162" s="1"/>
  <c r="G1487"/>
  <c r="G1332" i="3"/>
  <c r="G1331" s="1"/>
  <c r="G1330" s="1"/>
  <c r="G1328"/>
  <c r="G1327" s="1"/>
  <c r="G1325"/>
  <c r="H1323"/>
  <c r="H1322" s="1"/>
  <c r="G1323"/>
  <c r="I1322"/>
  <c r="G1321"/>
  <c r="G1320" s="1"/>
  <c r="H1318"/>
  <c r="H1317" s="1"/>
  <c r="G1318"/>
  <c r="I1317"/>
  <c r="G1315"/>
  <c r="G1314" s="1"/>
  <c r="G1313" s="1"/>
  <c r="G1311"/>
  <c r="G1310" s="1"/>
  <c r="G1651" i="1"/>
  <c r="G1650" s="1"/>
  <c r="G786"/>
  <c r="G785" s="1"/>
  <c r="G1362"/>
  <c r="I796"/>
  <c r="I795" s="1"/>
  <c r="I791" s="1"/>
  <c r="H796"/>
  <c r="H795" s="1"/>
  <c r="H791" s="1"/>
  <c r="G796"/>
  <c r="G795" s="1"/>
  <c r="G791" s="1"/>
  <c r="I793"/>
  <c r="I792" s="1"/>
  <c r="H793"/>
  <c r="H792" s="1"/>
  <c r="G793"/>
  <c r="G792" s="1"/>
  <c r="G747" i="3" l="1"/>
  <c r="G1317"/>
  <c r="G1322"/>
  <c r="G426"/>
  <c r="G425" s="1"/>
  <c r="G609" i="1"/>
  <c r="G608" s="1"/>
  <c r="I969" i="3"/>
  <c r="I968" s="1"/>
  <c r="I967" s="1"/>
  <c r="H969"/>
  <c r="H968" s="1"/>
  <c r="H967" s="1"/>
  <c r="G969"/>
  <c r="G968" s="1"/>
  <c r="G967" s="1"/>
  <c r="H1036" i="1" l="1"/>
  <c r="H608" i="3"/>
  <c r="H664" i="1"/>
  <c r="H663" s="1"/>
  <c r="I664"/>
  <c r="I663" s="1"/>
  <c r="G664"/>
  <c r="G663" s="1"/>
  <c r="G1452" i="3" l="1"/>
  <c r="G1451" s="1"/>
  <c r="G1450" s="1"/>
  <c r="H1451"/>
  <c r="H1450" s="1"/>
  <c r="I1186" i="1"/>
  <c r="I1185" s="1"/>
  <c r="H1186"/>
  <c r="H1185" s="1"/>
  <c r="I984" i="3"/>
  <c r="I983" s="1"/>
  <c r="H984"/>
  <c r="H983" s="1"/>
  <c r="G984"/>
  <c r="G983" s="1"/>
  <c r="G981"/>
  <c r="G980" s="1"/>
  <c r="G1027"/>
  <c r="G1186" i="1" l="1"/>
  <c r="G1185" s="1"/>
  <c r="I1840"/>
  <c r="H1840"/>
  <c r="H1836"/>
  <c r="I1836"/>
  <c r="G327" i="3"/>
  <c r="I327"/>
  <c r="H327"/>
  <c r="G1521" i="1"/>
  <c r="I1521"/>
  <c r="H1521"/>
  <c r="G322" i="3"/>
  <c r="I322"/>
  <c r="H322"/>
  <c r="G1516" i="1"/>
  <c r="I1516"/>
  <c r="H1516"/>
  <c r="I669" i="3"/>
  <c r="I668" s="1"/>
  <c r="H669"/>
  <c r="H668" s="1"/>
  <c r="G669"/>
  <c r="G668" s="1"/>
  <c r="I971" i="1"/>
  <c r="I970" s="1"/>
  <c r="H971"/>
  <c r="H970" s="1"/>
  <c r="G971"/>
  <c r="G970" s="1"/>
  <c r="I2264"/>
  <c r="H2264"/>
  <c r="G2264"/>
  <c r="H821" i="3"/>
  <c r="I821"/>
  <c r="G821"/>
  <c r="I829" i="1"/>
  <c r="H829"/>
  <c r="I817"/>
  <c r="H817"/>
  <c r="G817"/>
  <c r="H1040" i="3"/>
  <c r="I1040"/>
  <c r="G1040"/>
  <c r="I916" i="1"/>
  <c r="I915" s="1"/>
  <c r="H916"/>
  <c r="H915" s="1"/>
  <c r="G916"/>
  <c r="G915" s="1"/>
  <c r="I913"/>
  <c r="I912" s="1"/>
  <c r="H913"/>
  <c r="H912" s="1"/>
  <c r="G913"/>
  <c r="G912" s="1"/>
  <c r="G906"/>
  <c r="G905" s="1"/>
  <c r="G904" s="1"/>
  <c r="G903" s="1"/>
  <c r="I905"/>
  <c r="I904" s="1"/>
  <c r="I903" s="1"/>
  <c r="H905"/>
  <c r="H904" s="1"/>
  <c r="H903" s="1"/>
  <c r="G901"/>
  <c r="G900" s="1"/>
  <c r="I900"/>
  <c r="H900"/>
  <c r="G898"/>
  <c r="I896"/>
  <c r="I895" s="1"/>
  <c r="H896"/>
  <c r="H895" s="1"/>
  <c r="G896"/>
  <c r="G895" s="1"/>
  <c r="I1182" i="3"/>
  <c r="H1182"/>
  <c r="G1182"/>
  <c r="H1547" i="1"/>
  <c r="I1547"/>
  <c r="G1547"/>
  <c r="I1548"/>
  <c r="H1548"/>
  <c r="G1548"/>
  <c r="G1569"/>
  <c r="I693" i="3"/>
  <c r="I692" s="1"/>
  <c r="I691" s="1"/>
  <c r="H693"/>
  <c r="H692" s="1"/>
  <c r="H691" s="1"/>
  <c r="G693"/>
  <c r="G692" s="1"/>
  <c r="G691" s="1"/>
  <c r="I1011" i="1"/>
  <c r="I1010" s="1"/>
  <c r="I1009" s="1"/>
  <c r="H1011"/>
  <c r="H1010" s="1"/>
  <c r="H1009" s="1"/>
  <c r="G1011"/>
  <c r="G1010" s="1"/>
  <c r="G1009" s="1"/>
  <c r="H1222" i="3"/>
  <c r="I1222"/>
  <c r="I457" i="1"/>
  <c r="I456" s="1"/>
  <c r="H457"/>
  <c r="H456" s="1"/>
  <c r="G457"/>
  <c r="G456" s="1"/>
  <c r="I454"/>
  <c r="I1234" i="3" s="1"/>
  <c r="H454" i="1"/>
  <c r="H1234" i="3" s="1"/>
  <c r="G1234"/>
  <c r="I1160" i="1"/>
  <c r="H1160"/>
  <c r="I1158"/>
  <c r="H1158"/>
  <c r="I400"/>
  <c r="H400"/>
  <c r="I398"/>
  <c r="H398"/>
  <c r="G398"/>
  <c r="H261"/>
  <c r="H830" i="3"/>
  <c r="I830"/>
  <c r="G830"/>
  <c r="G1099"/>
  <c r="G1084"/>
  <c r="I171" i="1"/>
  <c r="H171"/>
  <c r="H1663"/>
  <c r="H1662" s="1"/>
  <c r="I1663"/>
  <c r="I1662" s="1"/>
  <c r="H47" i="3"/>
  <c r="I47"/>
  <c r="G47"/>
  <c r="H734" i="1"/>
  <c r="I734"/>
  <c r="H407"/>
  <c r="I407"/>
  <c r="H126"/>
  <c r="I126"/>
  <c r="I588"/>
  <c r="I497"/>
  <c r="I219"/>
  <c r="H219"/>
  <c r="I908" l="1"/>
  <c r="H908"/>
  <c r="G908"/>
  <c r="I453"/>
  <c r="I452" s="1"/>
  <c r="H893"/>
  <c r="H892" s="1"/>
  <c r="I893"/>
  <c r="I892" s="1"/>
  <c r="G893"/>
  <c r="G892" s="1"/>
  <c r="H453"/>
  <c r="H452" s="1"/>
  <c r="G453"/>
  <c r="G452" s="1"/>
  <c r="I180" i="3"/>
  <c r="I179" s="1"/>
  <c r="I178" s="1"/>
  <c r="H180"/>
  <c r="H179" s="1"/>
  <c r="H178" s="1"/>
  <c r="G180"/>
  <c r="G179" s="1"/>
  <c r="G178" s="1"/>
  <c r="I162"/>
  <c r="H162"/>
  <c r="I1402" i="1"/>
  <c r="I1401" s="1"/>
  <c r="I1400" s="1"/>
  <c r="H1402"/>
  <c r="H1401" s="1"/>
  <c r="H1400" s="1"/>
  <c r="G1402"/>
  <c r="G1401" s="1"/>
  <c r="G1400" s="1"/>
  <c r="I534" i="3"/>
  <c r="I533" s="1"/>
  <c r="H534"/>
  <c r="H533" s="1"/>
  <c r="G534"/>
  <c r="G533" s="1"/>
  <c r="I670" i="1"/>
  <c r="I669" s="1"/>
  <c r="H670"/>
  <c r="H669" s="1"/>
  <c r="G670"/>
  <c r="G669" s="1"/>
  <c r="H578" i="3"/>
  <c r="H577" s="1"/>
  <c r="H576" s="1"/>
  <c r="I578"/>
  <c r="I577" s="1"/>
  <c r="I576" s="1"/>
  <c r="G578"/>
  <c r="G577" s="1"/>
  <c r="G576" s="1"/>
  <c r="I667" i="1"/>
  <c r="I666" s="1"/>
  <c r="H667"/>
  <c r="H666" s="1"/>
  <c r="G667"/>
  <c r="G666" s="1"/>
  <c r="I531" i="3"/>
  <c r="I530" s="1"/>
  <c r="H531"/>
  <c r="H530" s="1"/>
  <c r="G531"/>
  <c r="G530" s="1"/>
  <c r="I700" i="1"/>
  <c r="I699" s="1"/>
  <c r="H700"/>
  <c r="H699" s="1"/>
  <c r="G700"/>
  <c r="G699" s="1"/>
  <c r="I571" i="3"/>
  <c r="I570" s="1"/>
  <c r="H571"/>
  <c r="H570" s="1"/>
  <c r="G571"/>
  <c r="G570" s="1"/>
  <c r="I703" i="1"/>
  <c r="I702" s="1"/>
  <c r="H703"/>
  <c r="H702" s="1"/>
  <c r="G703"/>
  <c r="G702" s="1"/>
  <c r="G168"/>
  <c r="G628"/>
  <c r="I133" i="3"/>
  <c r="I132" s="1"/>
  <c r="H133"/>
  <c r="H132" s="1"/>
  <c r="G133"/>
  <c r="G132" s="1"/>
  <c r="I148" i="1"/>
  <c r="I147" s="1"/>
  <c r="H148"/>
  <c r="H147" s="1"/>
  <c r="G148"/>
  <c r="G147" s="1"/>
  <c r="I1062"/>
  <c r="I1061" s="1"/>
  <c r="H1062"/>
  <c r="H1061" s="1"/>
  <c r="G1062"/>
  <c r="G1061" s="1"/>
  <c r="I1059"/>
  <c r="I1058" s="1"/>
  <c r="H1059"/>
  <c r="H1058" s="1"/>
  <c r="G1059"/>
  <c r="G1058" s="1"/>
  <c r="I1056"/>
  <c r="I1055" s="1"/>
  <c r="H1056"/>
  <c r="H1055" s="1"/>
  <c r="G1056"/>
  <c r="G1055" s="1"/>
  <c r="G1052"/>
  <c r="G1051" s="1"/>
  <c r="G1050" s="1"/>
  <c r="G1049" s="1"/>
  <c r="I1051"/>
  <c r="I1050" s="1"/>
  <c r="I1049" s="1"/>
  <c r="H1051"/>
  <c r="H1050" s="1"/>
  <c r="H1049" s="1"/>
  <c r="G1047"/>
  <c r="G1046" s="1"/>
  <c r="I1046"/>
  <c r="H1046"/>
  <c r="G1044"/>
  <c r="I1042"/>
  <c r="I1041" s="1"/>
  <c r="H1042"/>
  <c r="H1041" s="1"/>
  <c r="G1042"/>
  <c r="G1041" s="1"/>
  <c r="I1343" i="3"/>
  <c r="I1342" s="1"/>
  <c r="H1343"/>
  <c r="H1342" s="1"/>
  <c r="I1578" i="1"/>
  <c r="I1577" s="1"/>
  <c r="I1529" s="1"/>
  <c r="H1578"/>
  <c r="H1577" s="1"/>
  <c r="H1529" s="1"/>
  <c r="G1578"/>
  <c r="G1577" s="1"/>
  <c r="G1529" s="1"/>
  <c r="G1344" i="3" l="1"/>
  <c r="G1343" s="1"/>
  <c r="G1342" s="1"/>
  <c r="I1039" i="1"/>
  <c r="I1038" s="1"/>
  <c r="H1039"/>
  <c r="H1038" s="1"/>
  <c r="G1039"/>
  <c r="G1038" s="1"/>
  <c r="G1054"/>
  <c r="G1053" s="1"/>
  <c r="H1054"/>
  <c r="H1053" s="1"/>
  <c r="I1054"/>
  <c r="I1053" s="1"/>
  <c r="I1037" l="1"/>
  <c r="H1037"/>
  <c r="G1037"/>
  <c r="I1027"/>
  <c r="I361" i="3" s="1"/>
  <c r="H1027" i="1"/>
  <c r="H361" i="3" s="1"/>
  <c r="G361"/>
  <c r="H410"/>
  <c r="H409" s="1"/>
  <c r="H408" s="1"/>
  <c r="I410"/>
  <c r="I409" s="1"/>
  <c r="I408" s="1"/>
  <c r="G410"/>
  <c r="G409" s="1"/>
  <c r="G408" s="1"/>
  <c r="I844" i="1"/>
  <c r="I843" s="1"/>
  <c r="H844"/>
  <c r="H843" s="1"/>
  <c r="G844"/>
  <c r="G843" s="1"/>
  <c r="I517" i="3"/>
  <c r="H517"/>
  <c r="H401"/>
  <c r="H400" s="1"/>
  <c r="H399" s="1"/>
  <c r="I401"/>
  <c r="I400" s="1"/>
  <c r="I399" s="1"/>
  <c r="G325"/>
  <c r="I613" i="1"/>
  <c r="H613"/>
  <c r="G613"/>
  <c r="G367" i="3" s="1"/>
  <c r="H332"/>
  <c r="I332"/>
  <c r="H325"/>
  <c r="I325"/>
  <c r="I1523" i="1"/>
  <c r="I1520" s="1"/>
  <c r="H1523"/>
  <c r="H1520" s="1"/>
  <c r="I1518"/>
  <c r="I1515" s="1"/>
  <c r="H1518"/>
  <c r="H1515" s="1"/>
  <c r="H717" i="3"/>
  <c r="I717"/>
  <c r="G717"/>
  <c r="I1441" i="1"/>
  <c r="I1440" s="1"/>
  <c r="H1441"/>
  <c r="H1440" s="1"/>
  <c r="G1441"/>
  <c r="G1440" s="1"/>
  <c r="G1439" s="1"/>
  <c r="G1435" s="1"/>
  <c r="H255"/>
  <c r="I1026" i="3"/>
  <c r="I1025" s="1"/>
  <c r="I1024" s="1"/>
  <c r="H1026"/>
  <c r="H1025" s="1"/>
  <c r="H1024" s="1"/>
  <c r="G1026"/>
  <c r="G1025" s="1"/>
  <c r="G1024" s="1"/>
  <c r="I215" i="1"/>
  <c r="I214" s="1"/>
  <c r="I213" s="1"/>
  <c r="H215"/>
  <c r="H214" s="1"/>
  <c r="H213" s="1"/>
  <c r="G215"/>
  <c r="G214" s="1"/>
  <c r="G213" s="1"/>
  <c r="I1011" i="3"/>
  <c r="I1010" s="1"/>
  <c r="H1011"/>
  <c r="H1010" s="1"/>
  <c r="G1011"/>
  <c r="G1010" s="1"/>
  <c r="I211" i="1"/>
  <c r="I210" s="1"/>
  <c r="H211"/>
  <c r="H210" s="1"/>
  <c r="G211"/>
  <c r="G210" s="1"/>
  <c r="I1421"/>
  <c r="H1421"/>
  <c r="G1421"/>
  <c r="I1419"/>
  <c r="H1419"/>
  <c r="G1419"/>
  <c r="J673" i="3"/>
  <c r="K673"/>
  <c r="L673"/>
  <c r="M673"/>
  <c r="N673"/>
  <c r="O673"/>
  <c r="H674"/>
  <c r="H673" s="1"/>
  <c r="H672" s="1"/>
  <c r="H671" s="1"/>
  <c r="I674"/>
  <c r="I673" s="1"/>
  <c r="I672" s="1"/>
  <c r="I671" s="1"/>
  <c r="H678"/>
  <c r="H677" s="1"/>
  <c r="I678"/>
  <c r="I677" s="1"/>
  <c r="H680"/>
  <c r="H679" s="1"/>
  <c r="I680"/>
  <c r="I679" s="1"/>
  <c r="H370"/>
  <c r="H369" s="1"/>
  <c r="H368" s="1"/>
  <c r="I370"/>
  <c r="I369" s="1"/>
  <c r="I368" s="1"/>
  <c r="H167" i="1"/>
  <c r="H166" s="1"/>
  <c r="I167"/>
  <c r="I166" s="1"/>
  <c r="H643" i="3"/>
  <c r="H642" s="1"/>
  <c r="I643"/>
  <c r="I642" s="1"/>
  <c r="H623"/>
  <c r="I623"/>
  <c r="H605"/>
  <c r="H604" s="1"/>
  <c r="H603" s="1"/>
  <c r="I605"/>
  <c r="I604" s="1"/>
  <c r="I603" s="1"/>
  <c r="H565"/>
  <c r="H564" s="1"/>
  <c r="I565"/>
  <c r="I564" s="1"/>
  <c r="H549"/>
  <c r="H548" s="1"/>
  <c r="I549"/>
  <c r="I548" s="1"/>
  <c r="H547"/>
  <c r="H546" s="1"/>
  <c r="H545" s="1"/>
  <c r="I547"/>
  <c r="I546" s="1"/>
  <c r="I545" s="1"/>
  <c r="G547"/>
  <c r="G546" s="1"/>
  <c r="G545" s="1"/>
  <c r="H544"/>
  <c r="H543" s="1"/>
  <c r="H542" s="1"/>
  <c r="I544"/>
  <c r="I543" s="1"/>
  <c r="I542" s="1"/>
  <c r="G544"/>
  <c r="G543" s="1"/>
  <c r="G542" s="1"/>
  <c r="H529"/>
  <c r="I529"/>
  <c r="H508"/>
  <c r="H507" s="1"/>
  <c r="H506" s="1"/>
  <c r="I508"/>
  <c r="I507" s="1"/>
  <c r="I506" s="1"/>
  <c r="G508"/>
  <c r="G507" s="1"/>
  <c r="G506" s="1"/>
  <c r="H487"/>
  <c r="H486" s="1"/>
  <c r="I487"/>
  <c r="I486" s="1"/>
  <c r="H485"/>
  <c r="I485"/>
  <c r="H484"/>
  <c r="I484"/>
  <c r="H483"/>
  <c r="I483"/>
  <c r="J481"/>
  <c r="K481"/>
  <c r="L481"/>
  <c r="M481"/>
  <c r="N481"/>
  <c r="O481"/>
  <c r="H475"/>
  <c r="I476"/>
  <c r="H474"/>
  <c r="H473" s="1"/>
  <c r="H472" s="1"/>
  <c r="H471" s="1"/>
  <c r="I474"/>
  <c r="I473" s="1"/>
  <c r="I472" s="1"/>
  <c r="I471" s="1"/>
  <c r="H459"/>
  <c r="H458" s="1"/>
  <c r="H457" s="1"/>
  <c r="I459"/>
  <c r="I458" s="1"/>
  <c r="I457" s="1"/>
  <c r="H453"/>
  <c r="H452" s="1"/>
  <c r="H451" s="1"/>
  <c r="I453"/>
  <c r="I452" s="1"/>
  <c r="I451" s="1"/>
  <c r="H442"/>
  <c r="H441" s="1"/>
  <c r="H440" s="1"/>
  <c r="I442"/>
  <c r="I441" s="1"/>
  <c r="I440" s="1"/>
  <c r="H415"/>
  <c r="H414" s="1"/>
  <c r="I415"/>
  <c r="I414" s="1"/>
  <c r="H407"/>
  <c r="H406" s="1"/>
  <c r="H405" s="1"/>
  <c r="I407"/>
  <c r="I406" s="1"/>
  <c r="I405" s="1"/>
  <c r="G407"/>
  <c r="G406" s="1"/>
  <c r="G405" s="1"/>
  <c r="H404"/>
  <c r="H403" s="1"/>
  <c r="H402" s="1"/>
  <c r="I404"/>
  <c r="I403" s="1"/>
  <c r="I402" s="1"/>
  <c r="H398"/>
  <c r="H397" s="1"/>
  <c r="H396" s="1"/>
  <c r="I398"/>
  <c r="I397" s="1"/>
  <c r="I396" s="1"/>
  <c r="H386"/>
  <c r="H385" s="1"/>
  <c r="H384" s="1"/>
  <c r="I386"/>
  <c r="I385" s="1"/>
  <c r="I384" s="1"/>
  <c r="H383"/>
  <c r="H382" s="1"/>
  <c r="H381" s="1"/>
  <c r="I383"/>
  <c r="I382" s="1"/>
  <c r="I381" s="1"/>
  <c r="H376"/>
  <c r="H375" s="1"/>
  <c r="H374" s="1"/>
  <c r="I376"/>
  <c r="I375" s="1"/>
  <c r="I374" s="1"/>
  <c r="G404"/>
  <c r="G403" s="1"/>
  <c r="G402" s="1"/>
  <c r="I645" i="1"/>
  <c r="I644" s="1"/>
  <c r="H645"/>
  <c r="H644" s="1"/>
  <c r="G645"/>
  <c r="G644" s="1"/>
  <c r="I688"/>
  <c r="I687" s="1"/>
  <c r="H688"/>
  <c r="H687" s="1"/>
  <c r="G688"/>
  <c r="G687" s="1"/>
  <c r="I685"/>
  <c r="I684" s="1"/>
  <c r="H685"/>
  <c r="H684" s="1"/>
  <c r="G685"/>
  <c r="G684" s="1"/>
  <c r="I424" i="3"/>
  <c r="I423" s="1"/>
  <c r="I422" s="1"/>
  <c r="H424"/>
  <c r="H423" s="1"/>
  <c r="H422" s="1"/>
  <c r="I854" i="1"/>
  <c r="I853" s="1"/>
  <c r="H854"/>
  <c r="H853" s="1"/>
  <c r="G854"/>
  <c r="G853" s="1"/>
  <c r="I624"/>
  <c r="I623" s="1"/>
  <c r="H624"/>
  <c r="H623" s="1"/>
  <c r="G624"/>
  <c r="G623" s="1"/>
  <c r="G476" i="3"/>
  <c r="G424"/>
  <c r="I593" i="1"/>
  <c r="I592" s="1"/>
  <c r="H593"/>
  <c r="H592" s="1"/>
  <c r="G453" i="3"/>
  <c r="G474"/>
  <c r="I822" i="1"/>
  <c r="I821" s="1"/>
  <c r="H822"/>
  <c r="H821" s="1"/>
  <c r="G822"/>
  <c r="G821" s="1"/>
  <c r="H816"/>
  <c r="I816"/>
  <c r="G816"/>
  <c r="I505" i="3"/>
  <c r="I504" s="1"/>
  <c r="I503" s="1"/>
  <c r="H505"/>
  <c r="H504" s="1"/>
  <c r="H503" s="1"/>
  <c r="I513" i="1"/>
  <c r="I512" s="1"/>
  <c r="H513"/>
  <c r="H512" s="1"/>
  <c r="G513"/>
  <c r="G512" s="1"/>
  <c r="I533"/>
  <c r="H533"/>
  <c r="I506"/>
  <c r="I505" s="1"/>
  <c r="I504" s="1"/>
  <c r="H506"/>
  <c r="H389" i="3" s="1"/>
  <c r="H388" s="1"/>
  <c r="H387" s="1"/>
  <c r="I499" i="1"/>
  <c r="I498" s="1"/>
  <c r="H499"/>
  <c r="H498" s="1"/>
  <c r="G499"/>
  <c r="G498" s="1"/>
  <c r="I360" i="3" l="1"/>
  <c r="I359" s="1"/>
  <c r="H367"/>
  <c r="I367"/>
  <c r="H1435" i="1"/>
  <c r="H1439"/>
  <c r="I1435"/>
  <c r="I1439"/>
  <c r="G401" i="3"/>
  <c r="G400" s="1"/>
  <c r="G399" s="1"/>
  <c r="H505" i="1"/>
  <c r="H504" s="1"/>
  <c r="H622" i="3"/>
  <c r="H621" s="1"/>
  <c r="I622"/>
  <c r="I621" s="1"/>
  <c r="G593" i="1"/>
  <c r="G592" s="1"/>
  <c r="G505"/>
  <c r="G504" s="1"/>
  <c r="I528" i="3"/>
  <c r="H528"/>
  <c r="H560"/>
  <c r="H559" s="1"/>
  <c r="H558" s="1"/>
  <c r="I389"/>
  <c r="I388" s="1"/>
  <c r="I387" s="1"/>
  <c r="H516"/>
  <c r="H515" s="1"/>
  <c r="G560"/>
  <c r="G389"/>
  <c r="G388" s="1"/>
  <c r="G387" s="1"/>
  <c r="I516"/>
  <c r="I515" s="1"/>
  <c r="G1418" i="1"/>
  <c r="G1417" s="1"/>
  <c r="G1399" s="1"/>
  <c r="G1518"/>
  <c r="G1515" s="1"/>
  <c r="G1523"/>
  <c r="G1520" s="1"/>
  <c r="G516" i="3"/>
  <c r="G515" s="1"/>
  <c r="H482"/>
  <c r="H481" s="1"/>
  <c r="I1418" i="1"/>
  <c r="I1417" s="1"/>
  <c r="I1399" s="1"/>
  <c r="I560" i="3"/>
  <c r="I559" s="1"/>
  <c r="I558" s="1"/>
  <c r="H1418" i="1"/>
  <c r="H1417" s="1"/>
  <c r="H1399" s="1"/>
  <c r="H476" i="3"/>
  <c r="I475"/>
  <c r="H360"/>
  <c r="H359" s="1"/>
  <c r="I482"/>
  <c r="I481" s="1"/>
  <c r="G475"/>
  <c r="J1236"/>
  <c r="K1236"/>
  <c r="L1236"/>
  <c r="M1236"/>
  <c r="N1236"/>
  <c r="O1236"/>
  <c r="I1599" i="1"/>
  <c r="I1609" s="1"/>
  <c r="I1597" s="1"/>
  <c r="I1592" s="1"/>
  <c r="H1599"/>
  <c r="H1609" s="1"/>
  <c r="H1597" s="1"/>
  <c r="H1369" i="3"/>
  <c r="I1369"/>
  <c r="H1363"/>
  <c r="I1363"/>
  <c r="H1360"/>
  <c r="I1360"/>
  <c r="H1354"/>
  <c r="I1354"/>
  <c r="H1348"/>
  <c r="I1348"/>
  <c r="H1228"/>
  <c r="I1228"/>
  <c r="H1216"/>
  <c r="I1216"/>
  <c r="H1208"/>
  <c r="I1208"/>
  <c r="H1191"/>
  <c r="I1191"/>
  <c r="H1185"/>
  <c r="I1185"/>
  <c r="I1340"/>
  <c r="I1339" s="1"/>
  <c r="H1340"/>
  <c r="H1339" s="1"/>
  <c r="G1340"/>
  <c r="G1339" s="1"/>
  <c r="I1654" i="1"/>
  <c r="H1237" i="3" l="1"/>
  <c r="H1236" s="1"/>
  <c r="H1235" s="1"/>
  <c r="I1237"/>
  <c r="I1236" s="1"/>
  <c r="I1235" s="1"/>
  <c r="H1213"/>
  <c r="H1212" s="1"/>
  <c r="I1213"/>
  <c r="I1212" s="1"/>
  <c r="G1185"/>
  <c r="H335"/>
  <c r="I335"/>
  <c r="G1228"/>
  <c r="G1216"/>
  <c r="G1213"/>
  <c r="H731"/>
  <c r="I731"/>
  <c r="G731"/>
  <c r="H738"/>
  <c r="I738"/>
  <c r="G738"/>
  <c r="H735"/>
  <c r="I735"/>
  <c r="G735"/>
  <c r="H747"/>
  <c r="I747"/>
  <c r="I1678" i="1"/>
  <c r="I1661" s="1"/>
  <c r="I1660" s="1"/>
  <c r="I1659" s="1"/>
  <c r="H1678"/>
  <c r="H1661" s="1"/>
  <c r="H1660" s="1"/>
  <c r="G1678"/>
  <c r="I1677"/>
  <c r="H1677"/>
  <c r="G1677"/>
  <c r="I1672"/>
  <c r="I1671" s="1"/>
  <c r="H1672"/>
  <c r="H1671" s="1"/>
  <c r="G1672"/>
  <c r="G1671" s="1"/>
  <c r="I1669"/>
  <c r="I1668" s="1"/>
  <c r="H1669"/>
  <c r="H1668" s="1"/>
  <c r="G1669"/>
  <c r="G1668" s="1"/>
  <c r="I1666"/>
  <c r="I1665" s="1"/>
  <c r="H1666"/>
  <c r="H1665" s="1"/>
  <c r="G1666"/>
  <c r="G1665" s="1"/>
  <c r="G1661" s="1"/>
  <c r="G1663"/>
  <c r="G1662" s="1"/>
  <c r="I1653"/>
  <c r="H1654"/>
  <c r="H1653" s="1"/>
  <c r="G1654"/>
  <c r="G1653" s="1"/>
  <c r="G1645"/>
  <c r="G1644" s="1"/>
  <c r="G1642"/>
  <c r="H1640"/>
  <c r="H1639" s="1"/>
  <c r="G1640"/>
  <c r="I1639"/>
  <c r="G1638"/>
  <c r="G1637" s="1"/>
  <c r="H1635"/>
  <c r="H1634" s="1"/>
  <c r="H1622" s="1"/>
  <c r="H1621" s="1"/>
  <c r="G1635"/>
  <c r="I1634"/>
  <c r="I1622" s="1"/>
  <c r="I1621" s="1"/>
  <c r="G1632"/>
  <c r="G1631" s="1"/>
  <c r="G1630" s="1"/>
  <c r="G1628"/>
  <c r="G1627" s="1"/>
  <c r="I1619"/>
  <c r="I1618" s="1"/>
  <c r="H1619"/>
  <c r="H1618" s="1"/>
  <c r="G1619"/>
  <c r="G1618" s="1"/>
  <c r="I1616"/>
  <c r="I1615" s="1"/>
  <c r="H1616"/>
  <c r="H1615" s="1"/>
  <c r="G1616"/>
  <c r="G1615" s="1"/>
  <c r="I1613"/>
  <c r="H1613"/>
  <c r="G1613"/>
  <c r="I1611"/>
  <c r="H1611"/>
  <c r="G1611"/>
  <c r="I1608"/>
  <c r="I1607" s="1"/>
  <c r="H1608"/>
  <c r="G1607"/>
  <c r="H1528"/>
  <c r="I1528"/>
  <c r="I1574"/>
  <c r="I1573" s="1"/>
  <c r="H1574"/>
  <c r="H1573" s="1"/>
  <c r="G1574"/>
  <c r="G1573" s="1"/>
  <c r="I1567"/>
  <c r="H1567"/>
  <c r="G1567"/>
  <c r="H1566"/>
  <c r="H1565" s="1"/>
  <c r="H1564" s="1"/>
  <c r="I1565"/>
  <c r="I1564" s="1"/>
  <c r="G1565"/>
  <c r="G1564" s="1"/>
  <c r="H1588"/>
  <c r="H1587" s="1"/>
  <c r="H1583" s="1"/>
  <c r="G1587"/>
  <c r="I1587"/>
  <c r="I1583" s="1"/>
  <c r="I1562"/>
  <c r="I1561" s="1"/>
  <c r="H1562"/>
  <c r="H1561" s="1"/>
  <c r="G1562"/>
  <c r="G1561" s="1"/>
  <c r="I1559"/>
  <c r="I1558" s="1"/>
  <c r="H1559"/>
  <c r="H1558" s="1"/>
  <c r="G1559"/>
  <c r="G1558" s="1"/>
  <c r="I1556"/>
  <c r="I1555" s="1"/>
  <c r="H1556"/>
  <c r="H1555" s="1"/>
  <c r="G1556"/>
  <c r="G1555" s="1"/>
  <c r="I1553"/>
  <c r="I1552" s="1"/>
  <c r="H1553"/>
  <c r="H1552" s="1"/>
  <c r="G1553"/>
  <c r="G1552" s="1"/>
  <c r="I1550"/>
  <c r="H1550"/>
  <c r="G1550"/>
  <c r="I1539"/>
  <c r="I1538" s="1"/>
  <c r="H1539"/>
  <c r="H1538" s="1"/>
  <c r="G1539"/>
  <c r="G1538" s="1"/>
  <c r="I1536"/>
  <c r="I1535" s="1"/>
  <c r="H1536"/>
  <c r="H1535" s="1"/>
  <c r="G1536"/>
  <c r="G1535" s="1"/>
  <c r="G1533"/>
  <c r="I1531"/>
  <c r="I1530" s="1"/>
  <c r="H1531"/>
  <c r="H1530" s="1"/>
  <c r="G1531"/>
  <c r="I349" i="3"/>
  <c r="I348" s="1"/>
  <c r="H349"/>
  <c r="H348" s="1"/>
  <c r="G349"/>
  <c r="I346"/>
  <c r="I345" s="1"/>
  <c r="H346"/>
  <c r="H345" s="1"/>
  <c r="G346"/>
  <c r="G345" s="1"/>
  <c r="I343"/>
  <c r="I342" s="1"/>
  <c r="H343"/>
  <c r="H342" s="1"/>
  <c r="G343"/>
  <c r="G342" s="1"/>
  <c r="I1512" i="1"/>
  <c r="I1511" s="1"/>
  <c r="H1512"/>
  <c r="H1511" s="1"/>
  <c r="G1512"/>
  <c r="G1511" s="1"/>
  <c r="I1509"/>
  <c r="I1508" s="1"/>
  <c r="H1509"/>
  <c r="H1508" s="1"/>
  <c r="G1509"/>
  <c r="G1508" s="1"/>
  <c r="I1506"/>
  <c r="I1505" s="1"/>
  <c r="H1506"/>
  <c r="H1505" s="1"/>
  <c r="G1506"/>
  <c r="G1505" s="1"/>
  <c r="I1308" i="3"/>
  <c r="I1307" s="1"/>
  <c r="H1308"/>
  <c r="H1307" s="1"/>
  <c r="G1308"/>
  <c r="G1307" s="1"/>
  <c r="I1305"/>
  <c r="I1304" s="1"/>
  <c r="H1305"/>
  <c r="H1304" s="1"/>
  <c r="G1305"/>
  <c r="G1304" s="1"/>
  <c r="I1302"/>
  <c r="I1301" s="1"/>
  <c r="H1302"/>
  <c r="H1301" s="1"/>
  <c r="G1302"/>
  <c r="G1301" s="1"/>
  <c r="I1502" i="1"/>
  <c r="I1501" s="1"/>
  <c r="H1502"/>
  <c r="H1501" s="1"/>
  <c r="G1502"/>
  <c r="G1501" s="1"/>
  <c r="I1496"/>
  <c r="I1495" s="1"/>
  <c r="H1496"/>
  <c r="H1495" s="1"/>
  <c r="G1496"/>
  <c r="G1495" s="1"/>
  <c r="I1493"/>
  <c r="I1492" s="1"/>
  <c r="H1493"/>
  <c r="H1492" s="1"/>
  <c r="G1493"/>
  <c r="G1492" s="1"/>
  <c r="H2099"/>
  <c r="G2099"/>
  <c r="G2098" s="1"/>
  <c r="I46" i="3"/>
  <c r="H46"/>
  <c r="G46"/>
  <c r="I44"/>
  <c r="H44"/>
  <c r="G44"/>
  <c r="I1216" i="1"/>
  <c r="H1216"/>
  <c r="G1216"/>
  <c r="I1214"/>
  <c r="H1214"/>
  <c r="G1214"/>
  <c r="G1584" l="1"/>
  <c r="G1583" s="1"/>
  <c r="G1528" s="1"/>
  <c r="G1504"/>
  <c r="G1486" s="1"/>
  <c r="H1504"/>
  <c r="H1486" s="1"/>
  <c r="G1660"/>
  <c r="G1659" s="1"/>
  <c r="I1504"/>
  <c r="I1486" s="1"/>
  <c r="G1639"/>
  <c r="H1610"/>
  <c r="I43" i="3"/>
  <c r="I1610" i="1"/>
  <c r="I1606" s="1"/>
  <c r="H1213"/>
  <c r="G1530"/>
  <c r="G1610"/>
  <c r="G1634"/>
  <c r="G1213"/>
  <c r="G43" i="3"/>
  <c r="H43"/>
  <c r="I341"/>
  <c r="H1607" i="1"/>
  <c r="H1659"/>
  <c r="H341" i="3"/>
  <c r="I1213" i="1"/>
  <c r="G45"/>
  <c r="G44" s="1"/>
  <c r="I45"/>
  <c r="I44" s="1"/>
  <c r="H45"/>
  <c r="H44" s="1"/>
  <c r="I856" i="3"/>
  <c r="I855" s="1"/>
  <c r="H856"/>
  <c r="H855" s="1"/>
  <c r="G856"/>
  <c r="G855" s="1"/>
  <c r="I303" i="1"/>
  <c r="I302" s="1"/>
  <c r="H303"/>
  <c r="H302" s="1"/>
  <c r="G303"/>
  <c r="G302" s="1"/>
  <c r="I274"/>
  <c r="I845" i="3" s="1"/>
  <c r="I844" s="1"/>
  <c r="I843" s="1"/>
  <c r="H274" i="1"/>
  <c r="H845" i="3" s="1"/>
  <c r="H844" s="1"/>
  <c r="H843" s="1"/>
  <c r="I847"/>
  <c r="I846" s="1"/>
  <c r="H847"/>
  <c r="H846" s="1"/>
  <c r="G847"/>
  <c r="G846" s="1"/>
  <c r="I300" i="1"/>
  <c r="I299" s="1"/>
  <c r="H300"/>
  <c r="H299" s="1"/>
  <c r="G300"/>
  <c r="G299" s="1"/>
  <c r="I277"/>
  <c r="I827" i="3" s="1"/>
  <c r="I826" s="1"/>
  <c r="I825" s="1"/>
  <c r="H277" i="1"/>
  <c r="H827" i="3" s="1"/>
  <c r="H826" s="1"/>
  <c r="H825" s="1"/>
  <c r="G276" i="1"/>
  <c r="G275" s="1"/>
  <c r="I850" i="3"/>
  <c r="I849" s="1"/>
  <c r="H850"/>
  <c r="H849" s="1"/>
  <c r="G850"/>
  <c r="G849" s="1"/>
  <c r="I309" i="1"/>
  <c r="I308" s="1"/>
  <c r="H309"/>
  <c r="H308" s="1"/>
  <c r="G309"/>
  <c r="G308" s="1"/>
  <c r="I298"/>
  <c r="I842" i="3" s="1"/>
  <c r="I841" s="1"/>
  <c r="I840" s="1"/>
  <c r="H842"/>
  <c r="H841" s="1"/>
  <c r="H840" s="1"/>
  <c r="G298" i="1"/>
  <c r="G842" i="3" s="1"/>
  <c r="G841" s="1"/>
  <c r="G840" s="1"/>
  <c r="H839"/>
  <c r="H838" s="1"/>
  <c r="H837" s="1"/>
  <c r="I839"/>
  <c r="I838" s="1"/>
  <c r="I837" s="1"/>
  <c r="G294" i="1"/>
  <c r="G293" s="1"/>
  <c r="I823" i="3"/>
  <c r="I822" s="1"/>
  <c r="H823"/>
  <c r="H822" s="1"/>
  <c r="G823"/>
  <c r="G822" s="1"/>
  <c r="I282" i="1"/>
  <c r="I281" s="1"/>
  <c r="H282"/>
  <c r="H281" s="1"/>
  <c r="G282"/>
  <c r="G281" s="1"/>
  <c r="I294"/>
  <c r="I293" s="1"/>
  <c r="H294"/>
  <c r="H293" s="1"/>
  <c r="I835" i="3"/>
  <c r="I834" s="1"/>
  <c r="H835"/>
  <c r="H834" s="1"/>
  <c r="G835"/>
  <c r="G834" s="1"/>
  <c r="I291" i="1"/>
  <c r="I290" s="1"/>
  <c r="H291"/>
  <c r="H290" s="1"/>
  <c r="G291"/>
  <c r="G290" s="1"/>
  <c r="I832" i="3"/>
  <c r="I831" s="1"/>
  <c r="H832"/>
  <c r="H831" s="1"/>
  <c r="G832"/>
  <c r="G831" s="1"/>
  <c r="H794"/>
  <c r="I794"/>
  <c r="G794"/>
  <c r="I288" i="1"/>
  <c r="I287" s="1"/>
  <c r="H288"/>
  <c r="H287" s="1"/>
  <c r="G288"/>
  <c r="G287" s="1"/>
  <c r="I285"/>
  <c r="I284" s="1"/>
  <c r="H285"/>
  <c r="H284" s="1"/>
  <c r="G285"/>
  <c r="G284" s="1"/>
  <c r="I829" i="3"/>
  <c r="I828" s="1"/>
  <c r="H829"/>
  <c r="H828" s="1"/>
  <c r="G829"/>
  <c r="G828" s="1"/>
  <c r="I279" i="1"/>
  <c r="I278" s="1"/>
  <c r="H279"/>
  <c r="H278" s="1"/>
  <c r="G279"/>
  <c r="G278" s="1"/>
  <c r="H963" i="3"/>
  <c r="I963"/>
  <c r="G963"/>
  <c r="H960"/>
  <c r="I960"/>
  <c r="G960"/>
  <c r="I48" i="1"/>
  <c r="I47" s="1"/>
  <c r="H48"/>
  <c r="H47" s="1"/>
  <c r="G48"/>
  <c r="G47" s="1"/>
  <c r="I787" i="3"/>
  <c r="I786" s="1"/>
  <c r="H787"/>
  <c r="H786" s="1"/>
  <c r="G787"/>
  <c r="G786" s="1"/>
  <c r="I36" i="1"/>
  <c r="I35" s="1"/>
  <c r="H36"/>
  <c r="H35" s="1"/>
  <c r="G36"/>
  <c r="G35" s="1"/>
  <c r="I820" i="3"/>
  <c r="I819" s="1"/>
  <c r="H820"/>
  <c r="H819" s="1"/>
  <c r="G820"/>
  <c r="G819" s="1"/>
  <c r="I42" i="1"/>
  <c r="I41" s="1"/>
  <c r="H42"/>
  <c r="H41" s="1"/>
  <c r="G42"/>
  <c r="G41" s="1"/>
  <c r="I1039" i="3"/>
  <c r="I1038" s="1"/>
  <c r="H1039"/>
  <c r="H1038" s="1"/>
  <c r="G1039"/>
  <c r="G1038" s="1"/>
  <c r="G1472"/>
  <c r="G1471" s="1"/>
  <c r="G1474"/>
  <c r="G1473" s="1"/>
  <c r="I273" i="1" l="1"/>
  <c r="I272" s="1"/>
  <c r="H1606"/>
  <c r="H276"/>
  <c r="H275" s="1"/>
  <c r="H273"/>
  <c r="H272" s="1"/>
  <c r="I276"/>
  <c r="I275" s="1"/>
  <c r="H297"/>
  <c r="H296" s="1"/>
  <c r="G839" i="3"/>
  <c r="G838" s="1"/>
  <c r="G837" s="1"/>
  <c r="I297" i="1"/>
  <c r="I296" s="1"/>
  <c r="G297"/>
  <c r="G296" s="1"/>
  <c r="G827" i="3"/>
  <c r="G826" s="1"/>
  <c r="G825" s="1"/>
  <c r="G845"/>
  <c r="G844" s="1"/>
  <c r="G843" s="1"/>
  <c r="G273" i="1"/>
  <c r="G272" s="1"/>
  <c r="G1470" i="3"/>
  <c r="I1832" i="1"/>
  <c r="H1832"/>
  <c r="H1031" i="3"/>
  <c r="I1031"/>
  <c r="G1031"/>
  <c r="I1800" i="1"/>
  <c r="I1799" s="1"/>
  <c r="H1800"/>
  <c r="H1799" s="1"/>
  <c r="G1800"/>
  <c r="G1799" s="1"/>
  <c r="G1796"/>
  <c r="G1795" s="1"/>
  <c r="G1794" s="1"/>
  <c r="G1793" s="1"/>
  <c r="I1795"/>
  <c r="I1794" s="1"/>
  <c r="I1793" s="1"/>
  <c r="H1795"/>
  <c r="H1794" s="1"/>
  <c r="H1793" s="1"/>
  <c r="G1791"/>
  <c r="G1790" s="1"/>
  <c r="I1790"/>
  <c r="H1790"/>
  <c r="G1788"/>
  <c r="I1786"/>
  <c r="I1785" s="1"/>
  <c r="H1786"/>
  <c r="H1785" s="1"/>
  <c r="G1786"/>
  <c r="G1785" s="1"/>
  <c r="H1058" i="3"/>
  <c r="I1058"/>
  <c r="J1058"/>
  <c r="K1058"/>
  <c r="L1058"/>
  <c r="M1058"/>
  <c r="N1058"/>
  <c r="O1058"/>
  <c r="G1058"/>
  <c r="I1698" i="1"/>
  <c r="H1698"/>
  <c r="G1698"/>
  <c r="G1697" s="1"/>
  <c r="I1695"/>
  <c r="H1695"/>
  <c r="G1695"/>
  <c r="G1694" s="1"/>
  <c r="I1691"/>
  <c r="I1690" s="1"/>
  <c r="H1691"/>
  <c r="H1690" s="1"/>
  <c r="G1691"/>
  <c r="G1690" s="1"/>
  <c r="I1688"/>
  <c r="I1687" s="1"/>
  <c r="I1685" s="1"/>
  <c r="H1688"/>
  <c r="H1687" s="1"/>
  <c r="H1685" s="1"/>
  <c r="G1688"/>
  <c r="G1687" s="1"/>
  <c r="J1234" i="3"/>
  <c r="K1234"/>
  <c r="L1234"/>
  <c r="M1234"/>
  <c r="N1234"/>
  <c r="O1234"/>
  <c r="I1489" i="1"/>
  <c r="I1488" s="1"/>
  <c r="H1489"/>
  <c r="H1488" s="1"/>
  <c r="G1489"/>
  <c r="G1488" s="1"/>
  <c r="G1385" i="3"/>
  <c r="G1384" s="1"/>
  <c r="G1383" s="1"/>
  <c r="G1382" s="1"/>
  <c r="I1384"/>
  <c r="I1383" s="1"/>
  <c r="I1382" s="1"/>
  <c r="H1384"/>
  <c r="H1383" s="1"/>
  <c r="H1382" s="1"/>
  <c r="I1477" i="1"/>
  <c r="I1476" s="1"/>
  <c r="I1475" s="1"/>
  <c r="H1477"/>
  <c r="H1476" s="1"/>
  <c r="H1475" s="1"/>
  <c r="G1477"/>
  <c r="G1476" s="1"/>
  <c r="G1475" s="1"/>
  <c r="I1212"/>
  <c r="H1212"/>
  <c r="G1693" l="1"/>
  <c r="H1783"/>
  <c r="H1782" s="1"/>
  <c r="H42" i="3"/>
  <c r="G42"/>
  <c r="I42"/>
  <c r="H1686" i="1"/>
  <c r="I1783"/>
  <c r="I1782" s="1"/>
  <c r="G1798"/>
  <c r="G1797" s="1"/>
  <c r="I1798"/>
  <c r="I1797" s="1"/>
  <c r="H1798"/>
  <c r="H1797" s="1"/>
  <c r="G1686"/>
  <c r="G1685" s="1"/>
  <c r="G1783"/>
  <c r="G1782" s="1"/>
  <c r="I1686"/>
  <c r="H1694"/>
  <c r="H1693" s="1"/>
  <c r="I1694"/>
  <c r="I1693" s="1"/>
  <c r="I412"/>
  <c r="H412"/>
  <c r="G412"/>
  <c r="G411" s="1"/>
  <c r="G410" s="1"/>
  <c r="G1684" l="1"/>
  <c r="G1683" s="1"/>
  <c r="H1781"/>
  <c r="G1781"/>
  <c r="I1781"/>
  <c r="H1684"/>
  <c r="H1683" s="1"/>
  <c r="I1684"/>
  <c r="I1683" s="1"/>
  <c r="H701" i="3"/>
  <c r="I701"/>
  <c r="G489"/>
  <c r="H489"/>
  <c r="I489"/>
  <c r="H227"/>
  <c r="I227"/>
  <c r="H212"/>
  <c r="G109" l="1"/>
  <c r="G108" s="1"/>
  <c r="G107" s="1"/>
  <c r="H109"/>
  <c r="H108" s="1"/>
  <c r="H107" s="1"/>
  <c r="I109"/>
  <c r="I108" s="1"/>
  <c r="I107" s="1"/>
  <c r="I112"/>
  <c r="I111" s="1"/>
  <c r="I110" s="1"/>
  <c r="G113"/>
  <c r="G112" s="1"/>
  <c r="G111" s="1"/>
  <c r="G110" s="1"/>
  <c r="H113"/>
  <c r="H112" s="1"/>
  <c r="H111" s="1"/>
  <c r="H110" s="1"/>
  <c r="H115"/>
  <c r="H114" s="1"/>
  <c r="I115"/>
  <c r="I114" s="1"/>
  <c r="G116"/>
  <c r="G115" s="1"/>
  <c r="G114" s="1"/>
  <c r="G118"/>
  <c r="G117" s="1"/>
  <c r="H118"/>
  <c r="H117" s="1"/>
  <c r="I118"/>
  <c r="I117" s="1"/>
  <c r="G121"/>
  <c r="G120" s="1"/>
  <c r="H121"/>
  <c r="H120" s="1"/>
  <c r="I121"/>
  <c r="I120" s="1"/>
  <c r="G1527" l="1"/>
  <c r="G1526" s="1"/>
  <c r="G1525" s="1"/>
  <c r="G1530"/>
  <c r="G1529" s="1"/>
  <c r="G1528" s="1"/>
  <c r="I1529"/>
  <c r="I1528" s="1"/>
  <c r="H1529"/>
  <c r="H1528" s="1"/>
  <c r="I1526"/>
  <c r="I1525" s="1"/>
  <c r="H1526"/>
  <c r="H1525" s="1"/>
  <c r="I1286" i="1"/>
  <c r="I1285" s="1"/>
  <c r="H1286"/>
  <c r="H1285" s="1"/>
  <c r="G1286"/>
  <c r="G1285" s="1"/>
  <c r="G701" i="3" l="1"/>
  <c r="I2102" i="1" l="1"/>
  <c r="I2101" s="1"/>
  <c r="I2098" s="1"/>
  <c r="H2102"/>
  <c r="H2101" s="1"/>
  <c r="H2098" s="1"/>
  <c r="I41" i="3" l="1"/>
  <c r="I36" s="1"/>
  <c r="H41"/>
  <c r="H36" s="1"/>
  <c r="G41"/>
  <c r="G144" i="1" l="1"/>
  <c r="G143" s="1"/>
  <c r="G133" s="1"/>
  <c r="I144"/>
  <c r="I143" s="1"/>
  <c r="I133" s="1"/>
  <c r="H144"/>
  <c r="H143" s="1"/>
  <c r="H133" s="1"/>
  <c r="I141"/>
  <c r="I140" s="1"/>
  <c r="H141"/>
  <c r="H140" s="1"/>
  <c r="G141"/>
  <c r="G140" s="1"/>
  <c r="G138"/>
  <c r="G137" s="1"/>
  <c r="G135"/>
  <c r="G134" s="1"/>
  <c r="G28" i="3"/>
  <c r="G1023"/>
  <c r="G1533"/>
  <c r="G1532" s="1"/>
  <c r="G1531" s="1"/>
  <c r="I1532"/>
  <c r="I1531" s="1"/>
  <c r="H1532"/>
  <c r="H1531" s="1"/>
  <c r="I800" i="1"/>
  <c r="I799" s="1"/>
  <c r="I798" s="1"/>
  <c r="H800"/>
  <c r="H799" s="1"/>
  <c r="H798" s="1"/>
  <c r="G800"/>
  <c r="G799" s="1"/>
  <c r="G798" s="1"/>
  <c r="G70" i="3"/>
  <c r="G69" s="1"/>
  <c r="G1020"/>
  <c r="I789" i="1"/>
  <c r="H789"/>
  <c r="G789"/>
  <c r="G782" s="1"/>
  <c r="G781" s="1"/>
  <c r="G787"/>
  <c r="G2102" l="1"/>
  <c r="H1714"/>
  <c r="I336" i="3"/>
  <c r="H336"/>
  <c r="G336"/>
  <c r="H1974" i="1"/>
  <c r="G1974"/>
  <c r="I1164" i="3"/>
  <c r="I1163" s="1"/>
  <c r="H1164"/>
  <c r="H1163" s="1"/>
  <c r="G1164"/>
  <c r="G1163" s="1"/>
  <c r="I1246" i="1"/>
  <c r="I1245" s="1"/>
  <c r="H1246"/>
  <c r="H1245" s="1"/>
  <c r="G1246"/>
  <c r="G1245" s="1"/>
  <c r="I1974" l="1"/>
  <c r="G27" i="3" l="1"/>
  <c r="G26" s="1"/>
  <c r="I27"/>
  <c r="I26" s="1"/>
  <c r="H27"/>
  <c r="H26" s="1"/>
  <c r="G362" i="1"/>
  <c r="G361" s="1"/>
  <c r="I362"/>
  <c r="I361" s="1"/>
  <c r="H362"/>
  <c r="H361" s="1"/>
  <c r="G1297" i="3" l="1"/>
  <c r="G1908" i="1"/>
  <c r="G271" i="3" s="1"/>
  <c r="G1137"/>
  <c r="G1064"/>
  <c r="I1283" i="1"/>
  <c r="I1282" s="1"/>
  <c r="H1283"/>
  <c r="H1282" s="1"/>
  <c r="G1283"/>
  <c r="G1282" s="1"/>
  <c r="G810" i="3"/>
  <c r="I1287"/>
  <c r="H1287"/>
  <c r="G1287"/>
  <c r="G2010" i="1"/>
  <c r="I2010"/>
  <c r="H2010"/>
  <c r="G2006"/>
  <c r="G1286" i="3" s="1"/>
  <c r="H1942" i="1" l="1"/>
  <c r="I1942"/>
  <c r="H1017" i="3"/>
  <c r="I1017"/>
  <c r="H1015"/>
  <c r="I1015"/>
  <c r="G1017"/>
  <c r="G1015"/>
  <c r="G98"/>
  <c r="I1410"/>
  <c r="H1410"/>
  <c r="G1410"/>
  <c r="I2045" i="1"/>
  <c r="H2045"/>
  <c r="G2045"/>
  <c r="I2051"/>
  <c r="I2048" s="1"/>
  <c r="I2047" s="1"/>
  <c r="H2051"/>
  <c r="H2048" s="1"/>
  <c r="H2047" s="1"/>
  <c r="G2051"/>
  <c r="G2048" s="1"/>
  <c r="G2047" s="1"/>
  <c r="G1409" i="3"/>
  <c r="H1299"/>
  <c r="H1298" s="1"/>
  <c r="I1299"/>
  <c r="I1298" s="1"/>
  <c r="G1299"/>
  <c r="G1298" s="1"/>
  <c r="H2002" i="1"/>
  <c r="H2001" s="1"/>
  <c r="I2002"/>
  <c r="I2001" s="1"/>
  <c r="G2002"/>
  <c r="G2001" s="1"/>
  <c r="H1297" i="3"/>
  <c r="H1296" s="1"/>
  <c r="H1295" s="1"/>
  <c r="I1296"/>
  <c r="I1295" s="1"/>
  <c r="G1296"/>
  <c r="G1295" s="1"/>
  <c r="H1999" i="1"/>
  <c r="H1998" s="1"/>
  <c r="I1999"/>
  <c r="I1998" s="1"/>
  <c r="G1999"/>
  <c r="G1998" s="1"/>
  <c r="H1293" i="3"/>
  <c r="H1292" s="1"/>
  <c r="I1293"/>
  <c r="I1292" s="1"/>
  <c r="G1293"/>
  <c r="G1292" s="1"/>
  <c r="H1996" i="1"/>
  <c r="H1995" s="1"/>
  <c r="I1996"/>
  <c r="I1995" s="1"/>
  <c r="G1996"/>
  <c r="G1995" s="1"/>
  <c r="H1290" i="3"/>
  <c r="H1289" s="1"/>
  <c r="I1290"/>
  <c r="I1289" s="1"/>
  <c r="G1290"/>
  <c r="G1289" s="1"/>
  <c r="H1993" i="1"/>
  <c r="H1992" s="1"/>
  <c r="I1993"/>
  <c r="I1992" s="1"/>
  <c r="G1993"/>
  <c r="G1992" s="1"/>
  <c r="I1539" i="3" l="1"/>
  <c r="I1538" s="1"/>
  <c r="H1539"/>
  <c r="H1538" s="1"/>
  <c r="G1539"/>
  <c r="G1538" s="1"/>
  <c r="I1548"/>
  <c r="H1548"/>
  <c r="G1548"/>
  <c r="I1196" i="1"/>
  <c r="I1195" s="1"/>
  <c r="I1194" s="1"/>
  <c r="I1193" s="1"/>
  <c r="H27" i="2" s="1"/>
  <c r="H1196" i="1"/>
  <c r="H1195" s="1"/>
  <c r="H1194" s="1"/>
  <c r="H1193" s="1"/>
  <c r="G27" i="2" s="1"/>
  <c r="G1196" i="1"/>
  <c r="G1195" s="1"/>
  <c r="G1194" s="1"/>
  <c r="G1193" s="1"/>
  <c r="F27" i="2" s="1"/>
  <c r="G1196" i="3"/>
  <c r="I1099" i="1"/>
  <c r="I1098" s="1"/>
  <c r="I1097" s="1"/>
  <c r="H1099"/>
  <c r="H1098" s="1"/>
  <c r="H1097" s="1"/>
  <c r="G1099"/>
  <c r="G1098" s="1"/>
  <c r="G1097" s="1"/>
  <c r="I666" i="3"/>
  <c r="I665" s="1"/>
  <c r="H666"/>
  <c r="H665" s="1"/>
  <c r="G666"/>
  <c r="G665" s="1"/>
  <c r="I955" i="1"/>
  <c r="I954" s="1"/>
  <c r="H955"/>
  <c r="H954" s="1"/>
  <c r="G955"/>
  <c r="G954" s="1"/>
  <c r="G889"/>
  <c r="G888" s="1"/>
  <c r="I889"/>
  <c r="H889"/>
  <c r="I100" i="3"/>
  <c r="I99" s="1"/>
  <c r="H100"/>
  <c r="H99" s="1"/>
  <c r="G100"/>
  <c r="G99" s="1"/>
  <c r="I447" i="1"/>
  <c r="I446" s="1"/>
  <c r="H447"/>
  <c r="H446" s="1"/>
  <c r="G447"/>
  <c r="G446" s="1"/>
  <c r="I347"/>
  <c r="I346" s="1"/>
  <c r="H347"/>
  <c r="H346" s="1"/>
  <c r="G347"/>
  <c r="G346" s="1"/>
  <c r="G355"/>
  <c r="G1063" i="3"/>
  <c r="G1062" s="1"/>
  <c r="G129" i="1"/>
  <c r="G128" s="1"/>
  <c r="G111"/>
  <c r="I111"/>
  <c r="H111"/>
  <c r="G107"/>
  <c r="I94" i="3"/>
  <c r="I93" s="1"/>
  <c r="H94"/>
  <c r="H93" s="1"/>
  <c r="G94"/>
  <c r="G93" s="1"/>
  <c r="I444" i="1"/>
  <c r="I443" s="1"/>
  <c r="H444"/>
  <c r="H443" s="1"/>
  <c r="G444"/>
  <c r="G443" s="1"/>
  <c r="I97" i="3"/>
  <c r="H97"/>
  <c r="G97"/>
  <c r="G96" s="1"/>
  <c r="I96"/>
  <c r="H96"/>
  <c r="I418" i="1"/>
  <c r="H418"/>
  <c r="G418"/>
  <c r="G417" s="1"/>
  <c r="G415" s="1"/>
  <c r="I417"/>
  <c r="I415" s="1"/>
  <c r="H417"/>
  <c r="H416" s="1"/>
  <c r="I416" l="1"/>
  <c r="I1096"/>
  <c r="G1096"/>
  <c r="H1096"/>
  <c r="I345"/>
  <c r="H345"/>
  <c r="H415"/>
  <c r="G416"/>
  <c r="G1016" i="3"/>
  <c r="K1016"/>
  <c r="J1016"/>
  <c r="I1016"/>
  <c r="H1016"/>
  <c r="G84" i="1"/>
  <c r="I84"/>
  <c r="H84"/>
  <c r="H1126" i="3" l="1"/>
  <c r="I1136"/>
  <c r="I1135" s="1"/>
  <c r="H1136"/>
  <c r="H1135" s="1"/>
  <c r="G1136"/>
  <c r="G1135" s="1"/>
  <c r="G1307" i="1"/>
  <c r="G1306" s="1"/>
  <c r="I1307"/>
  <c r="I1306" s="1"/>
  <c r="H1307"/>
  <c r="H1306" s="1"/>
  <c r="I809" i="3" l="1"/>
  <c r="I808" s="1"/>
  <c r="H809"/>
  <c r="H808" s="1"/>
  <c r="G809"/>
  <c r="G808" s="1"/>
  <c r="K1022" l="1"/>
  <c r="J1022"/>
  <c r="I1022"/>
  <c r="I1021" s="1"/>
  <c r="H1022"/>
  <c r="H1021" s="1"/>
  <c r="G1022"/>
  <c r="G1021" s="1"/>
  <c r="I270" i="1"/>
  <c r="I269" s="1"/>
  <c r="H270"/>
  <c r="H269" s="1"/>
  <c r="G270"/>
  <c r="G269" s="1"/>
  <c r="I91" i="3"/>
  <c r="I90" s="1"/>
  <c r="H91"/>
  <c r="H90" s="1"/>
  <c r="G91"/>
  <c r="G90" s="1"/>
  <c r="I441" i="1"/>
  <c r="I440" s="1"/>
  <c r="H441"/>
  <c r="H440" s="1"/>
  <c r="G441"/>
  <c r="G440" s="1"/>
  <c r="G1014" i="3"/>
  <c r="G1013" s="1"/>
  <c r="G82" i="1"/>
  <c r="G81" s="1"/>
  <c r="K1014" i="3"/>
  <c r="J1014"/>
  <c r="I1014"/>
  <c r="I1013" s="1"/>
  <c r="H1014"/>
  <c r="H1013" s="1"/>
  <c r="I82" i="1"/>
  <c r="I81" s="1"/>
  <c r="H82"/>
  <c r="H81" s="1"/>
  <c r="G966"/>
  <c r="G953"/>
  <c r="I811" i="3" l="1"/>
  <c r="H811"/>
  <c r="G811"/>
  <c r="I1408" l="1"/>
  <c r="H1408"/>
  <c r="G1408"/>
  <c r="I2043" i="1"/>
  <c r="H2043"/>
  <c r="G2041"/>
  <c r="G2038"/>
  <c r="G2037" s="1"/>
  <c r="I149" i="3" l="1"/>
  <c r="H149"/>
  <c r="G149"/>
  <c r="G148" s="1"/>
  <c r="I148"/>
  <c r="H148"/>
  <c r="I1380" i="1"/>
  <c r="I1378" s="1"/>
  <c r="H37" i="2" s="1"/>
  <c r="H1380" i="1"/>
  <c r="H1378" s="1"/>
  <c r="G37" i="2" s="1"/>
  <c r="I1381" i="1"/>
  <c r="H1381"/>
  <c r="G1381"/>
  <c r="G1380" s="1"/>
  <c r="H1379" l="1"/>
  <c r="I1379"/>
  <c r="G1378"/>
  <c r="F37" i="2" s="1"/>
  <c r="G1379" i="1"/>
  <c r="H1314" l="1"/>
  <c r="G1349" l="1"/>
  <c r="G1348" i="3" l="1"/>
  <c r="I1105" i="1"/>
  <c r="I1104" s="1"/>
  <c r="I1103" s="1"/>
  <c r="I1102" s="1"/>
  <c r="I1101" s="1"/>
  <c r="H1105"/>
  <c r="H1104" s="1"/>
  <c r="H1103" s="1"/>
  <c r="H1102" s="1"/>
  <c r="H1101" s="1"/>
  <c r="G1105"/>
  <c r="G1104" s="1"/>
  <c r="G1103" s="1"/>
  <c r="G1102" s="1"/>
  <c r="G1101" s="1"/>
  <c r="I796" i="3"/>
  <c r="I795" s="1"/>
  <c r="H796"/>
  <c r="H795" s="1"/>
  <c r="G796"/>
  <c r="G795" s="1"/>
  <c r="I202" i="1"/>
  <c r="I201" s="1"/>
  <c r="H202"/>
  <c r="H201" s="1"/>
  <c r="G202"/>
  <c r="G201" s="1"/>
  <c r="I1073" i="3"/>
  <c r="I1072" s="1"/>
  <c r="H1073"/>
  <c r="H1072" s="1"/>
  <c r="G1073"/>
  <c r="G1072" s="1"/>
  <c r="G1367" i="1"/>
  <c r="G1366" s="1"/>
  <c r="I1367"/>
  <c r="I1366" s="1"/>
  <c r="H1367"/>
  <c r="H1366" s="1"/>
  <c r="G1314"/>
  <c r="I199" i="3"/>
  <c r="I198" s="1"/>
  <c r="H199"/>
  <c r="H198" s="1"/>
  <c r="G199"/>
  <c r="G198" s="1"/>
  <c r="I1393" i="1" l="1"/>
  <c r="I1392" s="1"/>
  <c r="H1393"/>
  <c r="H1392" s="1"/>
  <c r="G1393"/>
  <c r="G1392" s="1"/>
  <c r="I1123" i="3" l="1"/>
  <c r="H1123"/>
  <c r="H1143"/>
  <c r="I1143"/>
  <c r="H1342" i="1"/>
  <c r="H1341" s="1"/>
  <c r="I1342"/>
  <c r="I1341" s="1"/>
  <c r="G1342"/>
  <c r="G1341" s="1"/>
  <c r="H1299"/>
  <c r="I1299"/>
  <c r="G1299"/>
  <c r="G1298" s="1"/>
  <c r="H1301"/>
  <c r="I1301"/>
  <c r="G1301"/>
  <c r="H1310"/>
  <c r="H1309" s="1"/>
  <c r="I1310"/>
  <c r="I1309" s="1"/>
  <c r="G1310"/>
  <c r="G1309" s="1"/>
  <c r="H1298" l="1"/>
  <c r="I1298"/>
  <c r="I777" i="3"/>
  <c r="I776" s="1"/>
  <c r="H777"/>
  <c r="H776" s="1"/>
  <c r="G777"/>
  <c r="G776" s="1"/>
  <c r="I2152" i="1"/>
  <c r="I2151" s="1"/>
  <c r="H2152"/>
  <c r="H2151" s="1"/>
  <c r="G2152"/>
  <c r="G2151" s="1"/>
  <c r="I1935"/>
  <c r="I1932" s="1"/>
  <c r="I1931" s="1"/>
  <c r="H1935"/>
  <c r="H1932" s="1"/>
  <c r="H1931" s="1"/>
  <c r="G1935"/>
  <c r="G1932" s="1"/>
  <c r="G1931" s="1"/>
  <c r="I1760"/>
  <c r="I1757" s="1"/>
  <c r="I1756" s="1"/>
  <c r="H1760"/>
  <c r="H1757" s="1"/>
  <c r="H1756" s="1"/>
  <c r="G1760"/>
  <c r="G1757" s="1"/>
  <c r="G1756" s="1"/>
  <c r="J1125" i="3"/>
  <c r="K1125"/>
  <c r="L1125"/>
  <c r="M1125"/>
  <c r="N1125"/>
  <c r="O1125"/>
  <c r="H1128"/>
  <c r="I1128"/>
  <c r="J1128"/>
  <c r="K1128"/>
  <c r="L1128"/>
  <c r="M1128"/>
  <c r="N1128"/>
  <c r="O1128"/>
  <c r="H1131"/>
  <c r="I1131"/>
  <c r="J1131"/>
  <c r="K1131"/>
  <c r="L1131"/>
  <c r="M1131"/>
  <c r="N1131"/>
  <c r="O1131"/>
  <c r="H1134"/>
  <c r="I1134"/>
  <c r="H1146"/>
  <c r="I1146"/>
  <c r="J1146"/>
  <c r="K1146"/>
  <c r="L1146"/>
  <c r="M1146"/>
  <c r="N1146"/>
  <c r="O1146"/>
  <c r="H1494"/>
  <c r="I1494"/>
  <c r="G1604" i="1"/>
  <c r="I1604"/>
  <c r="H1604"/>
  <c r="H1601" s="1"/>
  <c r="H1600" s="1"/>
  <c r="G1128" i="3"/>
  <c r="H1125"/>
  <c r="I1126"/>
  <c r="I1125" s="1"/>
  <c r="G1126"/>
  <c r="I1356" i="1"/>
  <c r="I1353" s="1"/>
  <c r="I1352" s="1"/>
  <c r="H1356"/>
  <c r="H1353" s="1"/>
  <c r="H1352" s="1"/>
  <c r="G1356"/>
  <c r="G1313"/>
  <c r="G1312" s="1"/>
  <c r="H1313"/>
  <c r="H1312" s="1"/>
  <c r="I1313"/>
  <c r="I1312" s="1"/>
  <c r="I1350"/>
  <c r="H1350"/>
  <c r="G1350"/>
  <c r="I1348"/>
  <c r="H1348"/>
  <c r="G1348"/>
  <c r="G1336"/>
  <c r="G1335" s="1"/>
  <c r="I1336"/>
  <c r="I1335" s="1"/>
  <c r="H1336"/>
  <c r="H1335" s="1"/>
  <c r="I1290"/>
  <c r="I1289" s="1"/>
  <c r="I1288" s="1"/>
  <c r="H1290"/>
  <c r="H1289" s="1"/>
  <c r="H1288" s="1"/>
  <c r="G1290"/>
  <c r="G1289" s="1"/>
  <c r="G1288" s="1"/>
  <c r="I1045" i="3"/>
  <c r="I1044" s="1"/>
  <c r="H1045"/>
  <c r="H1044" s="1"/>
  <c r="G1045"/>
  <c r="G1044" s="1"/>
  <c r="G886" i="1"/>
  <c r="G885" s="1"/>
  <c r="I886"/>
  <c r="I885" s="1"/>
  <c r="H886"/>
  <c r="H885" s="1"/>
  <c r="I779"/>
  <c r="H779"/>
  <c r="G779"/>
  <c r="G772" s="1"/>
  <c r="G771" s="1"/>
  <c r="G777"/>
  <c r="I366" i="3"/>
  <c r="I365" s="1"/>
  <c r="H366"/>
  <c r="H365" s="1"/>
  <c r="G366"/>
  <c r="G365" s="1"/>
  <c r="H636" i="1"/>
  <c r="H635" s="1"/>
  <c r="I636"/>
  <c r="I635" s="1"/>
  <c r="G636"/>
  <c r="G635" s="1"/>
  <c r="I455" i="3"/>
  <c r="I454" s="1"/>
  <c r="H455"/>
  <c r="H454" s="1"/>
  <c r="G455"/>
  <c r="G454" s="1"/>
  <c r="I621" i="1"/>
  <c r="I620" s="1"/>
  <c r="H621"/>
  <c r="H620" s="1"/>
  <c r="G621"/>
  <c r="G620" s="1"/>
  <c r="I612" i="3"/>
  <c r="I611" s="1"/>
  <c r="H612"/>
  <c r="H611" s="1"/>
  <c r="G612"/>
  <c r="G611" s="1"/>
  <c r="I517" i="1"/>
  <c r="I516" s="1"/>
  <c r="H517"/>
  <c r="H516" s="1"/>
  <c r="G517"/>
  <c r="G516" s="1"/>
  <c r="K1019" i="3"/>
  <c r="J1019"/>
  <c r="I1019"/>
  <c r="I1018" s="1"/>
  <c r="H1019"/>
  <c r="H1018" s="1"/>
  <c r="G1019"/>
  <c r="G1018" s="1"/>
  <c r="I267" i="1"/>
  <c r="I266" s="1"/>
  <c r="H267"/>
  <c r="H266" s="1"/>
  <c r="G267"/>
  <c r="G266" s="1"/>
  <c r="G343"/>
  <c r="G336" s="1"/>
  <c r="G335" s="1"/>
  <c r="I343"/>
  <c r="H343"/>
  <c r="G341"/>
  <c r="I264"/>
  <c r="I263" s="1"/>
  <c r="I262" s="1"/>
  <c r="H264"/>
  <c r="H263" s="1"/>
  <c r="H262" s="1"/>
  <c r="G264"/>
  <c r="G263" s="1"/>
  <c r="G262" s="1"/>
  <c r="K1008" i="3"/>
  <c r="J1008"/>
  <c r="I1008"/>
  <c r="I1007" s="1"/>
  <c r="H1008"/>
  <c r="H1007" s="1"/>
  <c r="G1008"/>
  <c r="G1007" s="1"/>
  <c r="I79" i="1"/>
  <c r="I78" s="1"/>
  <c r="H79"/>
  <c r="H78" s="1"/>
  <c r="G79"/>
  <c r="G78" s="1"/>
  <c r="G1353" l="1"/>
  <c r="G1352" s="1"/>
  <c r="H1598"/>
  <c r="I1117" i="3"/>
  <c r="H1117"/>
  <c r="G1123"/>
  <c r="I1347" i="1"/>
  <c r="I1601"/>
  <c r="I1600" s="1"/>
  <c r="G1347"/>
  <c r="H1347"/>
  <c r="G1601"/>
  <c r="G1600" s="1"/>
  <c r="G1193" i="3"/>
  <c r="G1192" s="1"/>
  <c r="G1981" i="1"/>
  <c r="G2040" s="1"/>
  <c r="G2039" s="1"/>
  <c r="G395" i="3"/>
  <c r="G590" i="1"/>
  <c r="G589" s="1"/>
  <c r="I590"/>
  <c r="H590"/>
  <c r="H1592" l="1"/>
  <c r="I1598"/>
  <c r="G1598"/>
  <c r="G538" i="3"/>
  <c r="G537" s="1"/>
  <c r="G536" s="1"/>
  <c r="I537"/>
  <c r="I536" s="1"/>
  <c r="H537"/>
  <c r="H536" s="1"/>
  <c r="I673" i="1"/>
  <c r="I672" s="1"/>
  <c r="H673"/>
  <c r="H672" s="1"/>
  <c r="G673"/>
  <c r="G672" s="1"/>
  <c r="G664" i="3"/>
  <c r="G663" s="1"/>
  <c r="G659"/>
  <c r="G658" s="1"/>
  <c r="G654"/>
  <c r="G653" s="1"/>
  <c r="I663"/>
  <c r="H663"/>
  <c r="I661"/>
  <c r="H661"/>
  <c r="G661"/>
  <c r="I658"/>
  <c r="H658"/>
  <c r="I656"/>
  <c r="H656"/>
  <c r="G656"/>
  <c r="I653"/>
  <c r="H653"/>
  <c r="I651"/>
  <c r="H651"/>
  <c r="G651"/>
  <c r="I965" i="1"/>
  <c r="H965"/>
  <c r="G965"/>
  <c r="I963"/>
  <c r="H963"/>
  <c r="G963"/>
  <c r="I960"/>
  <c r="H960"/>
  <c r="G960"/>
  <c r="I958"/>
  <c r="H958"/>
  <c r="G958"/>
  <c r="I952"/>
  <c r="H952"/>
  <c r="G952"/>
  <c r="I950"/>
  <c r="H950"/>
  <c r="G950"/>
  <c r="G415" i="3"/>
  <c r="G414" s="1"/>
  <c r="I412"/>
  <c r="I411" s="1"/>
  <c r="H412"/>
  <c r="H411" s="1"/>
  <c r="G412"/>
  <c r="I598" i="1"/>
  <c r="I595" s="1"/>
  <c r="H598"/>
  <c r="H595" s="1"/>
  <c r="G598"/>
  <c r="I596"/>
  <c r="H596"/>
  <c r="G596"/>
  <c r="G421" i="3"/>
  <c r="G420" s="1"/>
  <c r="G419" s="1"/>
  <c r="I420"/>
  <c r="H420"/>
  <c r="I417"/>
  <c r="H417"/>
  <c r="G417"/>
  <c r="I603" i="1"/>
  <c r="I600" s="1"/>
  <c r="I571" s="1"/>
  <c r="H603"/>
  <c r="H600" s="1"/>
  <c r="H571" s="1"/>
  <c r="G603"/>
  <c r="I601"/>
  <c r="H601"/>
  <c r="G601"/>
  <c r="G484"/>
  <c r="G725" i="3"/>
  <c r="G724" s="1"/>
  <c r="G723" s="1"/>
  <c r="I724"/>
  <c r="I723" s="1"/>
  <c r="H724"/>
  <c r="H723" s="1"/>
  <c r="I2111" i="1"/>
  <c r="I2110" s="1"/>
  <c r="H2111"/>
  <c r="H2110" s="1"/>
  <c r="G2111"/>
  <c r="G2110" s="1"/>
  <c r="G2089"/>
  <c r="H416" i="3" l="1"/>
  <c r="H419"/>
  <c r="I416"/>
  <c r="I419"/>
  <c r="I650"/>
  <c r="H655"/>
  <c r="G1597" i="1"/>
  <c r="G1592" s="1"/>
  <c r="I660" i="3"/>
  <c r="I655"/>
  <c r="I962" i="1"/>
  <c r="G949"/>
  <c r="I957"/>
  <c r="I949"/>
  <c r="G957"/>
  <c r="H962"/>
  <c r="G600"/>
  <c r="G571" s="1"/>
  <c r="H957"/>
  <c r="H660" i="3"/>
  <c r="H650"/>
  <c r="G650"/>
  <c r="G660"/>
  <c r="G655"/>
  <c r="G962" i="1"/>
  <c r="G411" i="3"/>
  <c r="H949" i="1"/>
  <c r="G416" i="3"/>
  <c r="G595" i="1"/>
  <c r="I483"/>
  <c r="I482" s="1"/>
  <c r="I481" s="1"/>
  <c r="I480" s="1"/>
  <c r="H483"/>
  <c r="H482" s="1"/>
  <c r="H481" s="1"/>
  <c r="H480" s="1"/>
  <c r="G483"/>
  <c r="G482" s="1"/>
  <c r="G481" s="1"/>
  <c r="G480" s="1"/>
  <c r="G793" i="3"/>
  <c r="G792" s="1"/>
  <c r="I793"/>
  <c r="I792" s="1"/>
  <c r="H793"/>
  <c r="H792" s="1"/>
  <c r="I199" i="1"/>
  <c r="I198" s="1"/>
  <c r="H199"/>
  <c r="H198" s="1"/>
  <c r="G199"/>
  <c r="G198" s="1"/>
  <c r="G886" i="3"/>
  <c r="G885" s="1"/>
  <c r="G893"/>
  <c r="G892" s="1"/>
  <c r="G891" s="1"/>
  <c r="K892"/>
  <c r="J892"/>
  <c r="I892"/>
  <c r="I891" s="1"/>
  <c r="H892"/>
  <c r="H891" s="1"/>
  <c r="I76" i="1"/>
  <c r="I75" s="1"/>
  <c r="H76"/>
  <c r="H75" s="1"/>
  <c r="G76"/>
  <c r="G75" s="1"/>
  <c r="I886" i="3"/>
  <c r="I885" s="1"/>
  <c r="H886"/>
  <c r="H885" s="1"/>
  <c r="I193" i="1"/>
  <c r="I192" s="1"/>
  <c r="H193"/>
  <c r="H192" s="1"/>
  <c r="G890" i="3"/>
  <c r="G889" s="1"/>
  <c r="G888" s="1"/>
  <c r="I889"/>
  <c r="I888" s="1"/>
  <c r="H889"/>
  <c r="H888" s="1"/>
  <c r="I196" i="1"/>
  <c r="I195" s="1"/>
  <c r="H196"/>
  <c r="H195" s="1"/>
  <c r="G196"/>
  <c r="G195" s="1"/>
  <c r="G563" i="3"/>
  <c r="I546" i="1"/>
  <c r="I545" s="1"/>
  <c r="I515" s="1"/>
  <c r="H546"/>
  <c r="H545" s="1"/>
  <c r="H515" s="1"/>
  <c r="G546"/>
  <c r="G545" s="1"/>
  <c r="G515" s="1"/>
  <c r="G1199" i="3"/>
  <c r="G1198" s="1"/>
  <c r="G1197" s="1"/>
  <c r="I1198"/>
  <c r="I1197" s="1"/>
  <c r="H1198"/>
  <c r="H1197" s="1"/>
  <c r="I1987" i="1"/>
  <c r="I1986" s="1"/>
  <c r="H1987"/>
  <c r="H1986" s="1"/>
  <c r="G1987"/>
  <c r="G1986" s="1"/>
  <c r="G1376" i="3"/>
  <c r="G1375" s="1"/>
  <c r="G1374" s="1"/>
  <c r="I1375"/>
  <c r="I1374" s="1"/>
  <c r="H1375"/>
  <c r="H1374" s="1"/>
  <c r="I750" i="1"/>
  <c r="I749" s="1"/>
  <c r="H750"/>
  <c r="H749" s="1"/>
  <c r="G750"/>
  <c r="G749" s="1"/>
  <c r="G755"/>
  <c r="G511" i="3"/>
  <c r="G193" i="1" l="1"/>
  <c r="G192" s="1"/>
  <c r="G555"/>
  <c r="G554" s="1"/>
  <c r="H549"/>
  <c r="H548" s="1"/>
  <c r="I549"/>
  <c r="I548" s="1"/>
  <c r="G549"/>
  <c r="G548" s="1"/>
  <c r="G616" i="3"/>
  <c r="G554"/>
  <c r="G1266"/>
  <c r="G1265" s="1"/>
  <c r="H1263"/>
  <c r="H1262" s="1"/>
  <c r="G1263"/>
  <c r="I1262"/>
  <c r="G2088" i="1"/>
  <c r="H2086"/>
  <c r="H2085" s="1"/>
  <c r="G2086"/>
  <c r="I2085"/>
  <c r="G1262" i="3" l="1"/>
  <c r="G2085" i="1"/>
  <c r="H1006" i="3"/>
  <c r="I1006"/>
  <c r="J354"/>
  <c r="K354"/>
  <c r="L354"/>
  <c r="M354"/>
  <c r="N354"/>
  <c r="O354"/>
  <c r="G1271" l="1"/>
  <c r="G1270" s="1"/>
  <c r="H1268"/>
  <c r="H1267" s="1"/>
  <c r="G1268"/>
  <c r="I1267"/>
  <c r="G1006"/>
  <c r="G450"/>
  <c r="G1267" l="1"/>
  <c r="H1286" l="1"/>
  <c r="H1285" s="1"/>
  <c r="H1284" s="1"/>
  <c r="I1285"/>
  <c r="I1284" s="1"/>
  <c r="G1285"/>
  <c r="G1284" s="1"/>
  <c r="I1483" i="1"/>
  <c r="I1480" s="1"/>
  <c r="I1479" s="1"/>
  <c r="H1483"/>
  <c r="H1480" s="1"/>
  <c r="H1479" s="1"/>
  <c r="G1483"/>
  <c r="G480" i="3"/>
  <c r="G479" s="1"/>
  <c r="G478" s="1"/>
  <c r="I479"/>
  <c r="I478" s="1"/>
  <c r="H479"/>
  <c r="H478" s="1"/>
  <c r="I825" i="1"/>
  <c r="I824" s="1"/>
  <c r="H825"/>
  <c r="H824" s="1"/>
  <c r="G825"/>
  <c r="G824" s="1"/>
  <c r="G394" i="3"/>
  <c r="G393" s="1"/>
  <c r="I394"/>
  <c r="H394"/>
  <c r="I585" i="1"/>
  <c r="H585"/>
  <c r="G585"/>
  <c r="G1480" l="1"/>
  <c r="G1479" s="1"/>
  <c r="I510" i="3"/>
  <c r="I509" s="1"/>
  <c r="H510"/>
  <c r="H509" s="1"/>
  <c r="G510"/>
  <c r="G509" s="1"/>
  <c r="I648" i="1"/>
  <c r="I647" s="1"/>
  <c r="H648"/>
  <c r="H647" s="1"/>
  <c r="G648"/>
  <c r="G647" s="1"/>
  <c r="G430" i="3"/>
  <c r="G429" s="1"/>
  <c r="G428" s="1"/>
  <c r="G423"/>
  <c r="G422" s="1"/>
  <c r="I429"/>
  <c r="I428" s="1"/>
  <c r="H429"/>
  <c r="H428" s="1"/>
  <c r="I606" i="1"/>
  <c r="I605" s="1"/>
  <c r="H606"/>
  <c r="H605" s="1"/>
  <c r="G606"/>
  <c r="G605" s="1"/>
  <c r="G250" i="3" l="1"/>
  <c r="G1893" i="1"/>
  <c r="G232" i="3"/>
  <c r="G1875" i="1"/>
  <c r="G255" i="3" l="1"/>
  <c r="G254" s="1"/>
  <c r="L254"/>
  <c r="I254"/>
  <c r="H254"/>
  <c r="G1898" i="1"/>
  <c r="G1897" s="1"/>
  <c r="I1897"/>
  <c r="H1897"/>
  <c r="G227" i="3"/>
  <c r="G1870" i="1"/>
  <c r="G1043" i="3"/>
  <c r="I883" i="1"/>
  <c r="I882" s="1"/>
  <c r="I881" s="1"/>
  <c r="H883"/>
  <c r="H882" s="1"/>
  <c r="H881" s="1"/>
  <c r="I492" i="3"/>
  <c r="H492"/>
  <c r="G492"/>
  <c r="I491"/>
  <c r="H491"/>
  <c r="G491"/>
  <c r="I618" i="1"/>
  <c r="H618"/>
  <c r="G618"/>
  <c r="I617"/>
  <c r="H617"/>
  <c r="G617"/>
  <c r="I488" i="3"/>
  <c r="H488"/>
  <c r="G488"/>
  <c r="I615" i="1"/>
  <c r="H615"/>
  <c r="G615"/>
  <c r="I614"/>
  <c r="H614"/>
  <c r="G614"/>
  <c r="I612"/>
  <c r="H612"/>
  <c r="G612"/>
  <c r="G104" s="1"/>
  <c r="G103" s="1"/>
  <c r="I196" i="3"/>
  <c r="I195" s="1"/>
  <c r="H196"/>
  <c r="H195" s="1"/>
  <c r="G196"/>
  <c r="G195" s="1"/>
  <c r="I1390" i="1"/>
  <c r="I1389" s="1"/>
  <c r="H1390"/>
  <c r="H1389" s="1"/>
  <c r="G1390"/>
  <c r="G1389" s="1"/>
  <c r="G883" l="1"/>
  <c r="G882" s="1"/>
  <c r="G881" s="1"/>
  <c r="I774" i="3"/>
  <c r="I773" s="1"/>
  <c r="H774"/>
  <c r="H773" s="1"/>
  <c r="G774"/>
  <c r="G773" s="1"/>
  <c r="I2149" i="1"/>
  <c r="I2148" s="1"/>
  <c r="G2149"/>
  <c r="G2148" s="1"/>
  <c r="H2149"/>
  <c r="H2148" s="1"/>
  <c r="I270" i="3"/>
  <c r="I269" s="1"/>
  <c r="H270"/>
  <c r="H269" s="1"/>
  <c r="G270"/>
  <c r="G269" s="1"/>
  <c r="G1907" i="1"/>
  <c r="G1906" s="1"/>
  <c r="I1907"/>
  <c r="I1906" s="1"/>
  <c r="H1907"/>
  <c r="H1906" s="1"/>
  <c r="I1042" i="3"/>
  <c r="I1041" s="1"/>
  <c r="H1042"/>
  <c r="H1041" s="1"/>
  <c r="G1042"/>
  <c r="G1041" s="1"/>
  <c r="G94" i="1"/>
  <c r="G93" s="1"/>
  <c r="G92" s="1"/>
  <c r="I94"/>
  <c r="I93" s="1"/>
  <c r="I92" s="1"/>
  <c r="H94"/>
  <c r="H93" s="1"/>
  <c r="H92" s="1"/>
  <c r="I1195" i="3"/>
  <c r="I1194" s="1"/>
  <c r="H1195"/>
  <c r="H1194" s="1"/>
  <c r="G1195"/>
  <c r="G1194" s="1"/>
  <c r="I1984" i="1" l="1"/>
  <c r="I1983" s="1"/>
  <c r="H1984"/>
  <c r="H1983" s="1"/>
  <c r="G1984"/>
  <c r="G1983" s="1"/>
  <c r="J1070" i="3"/>
  <c r="K1070"/>
  <c r="L1070"/>
  <c r="M1070"/>
  <c r="N1070"/>
  <c r="O1070"/>
  <c r="H1071"/>
  <c r="H1070" s="1"/>
  <c r="H1069" s="1"/>
  <c r="I1071"/>
  <c r="I1070" s="1"/>
  <c r="I1069" s="1"/>
  <c r="H1364" i="1"/>
  <c r="I1364"/>
  <c r="H1122" i="3"/>
  <c r="H1121" s="1"/>
  <c r="I1122"/>
  <c r="I1121" s="1"/>
  <c r="H1296" i="1"/>
  <c r="H1295" s="1"/>
  <c r="I1296"/>
  <c r="I1295" s="1"/>
  <c r="I1536" i="3"/>
  <c r="I1535" s="1"/>
  <c r="I1534" s="1"/>
  <c r="H1536"/>
  <c r="H1535" s="1"/>
  <c r="H1534" s="1"/>
  <c r="G1536"/>
  <c r="G1535" s="1"/>
  <c r="G1534" s="1"/>
  <c r="I1268" i="1"/>
  <c r="I1267" s="1"/>
  <c r="I1266" s="1"/>
  <c r="H1268"/>
  <c r="H1267" s="1"/>
  <c r="H1266" s="1"/>
  <c r="G1268"/>
  <c r="G1267" s="1"/>
  <c r="H1363" l="1"/>
  <c r="I1363"/>
  <c r="G505" i="3"/>
  <c r="H392"/>
  <c r="H355" s="1"/>
  <c r="I392"/>
  <c r="I355" s="1"/>
  <c r="G504" l="1"/>
  <c r="G503" s="1"/>
  <c r="I1035" i="1"/>
  <c r="I1034" s="1"/>
  <c r="H1035"/>
  <c r="H1034" s="1"/>
  <c r="G1035"/>
  <c r="G1034" s="1"/>
  <c r="I513" i="3"/>
  <c r="I512" s="1"/>
  <c r="H513"/>
  <c r="H512" s="1"/>
  <c r="G513"/>
  <c r="G512" s="1"/>
  <c r="I651" i="1"/>
  <c r="I650" s="1"/>
  <c r="H651"/>
  <c r="H650" s="1"/>
  <c r="G651"/>
  <c r="G650" s="1"/>
  <c r="G452" i="3"/>
  <c r="G451" s="1"/>
  <c r="I642" i="1"/>
  <c r="I641" s="1"/>
  <c r="H642"/>
  <c r="H641" s="1"/>
  <c r="G642"/>
  <c r="G641" s="1"/>
  <c r="H1477" i="3"/>
  <c r="I1477"/>
  <c r="H959"/>
  <c r="H958" s="1"/>
  <c r="I959"/>
  <c r="I958" s="1"/>
  <c r="H1005"/>
  <c r="H1004" s="1"/>
  <c r="I1005"/>
  <c r="I1004" s="1"/>
  <c r="K962"/>
  <c r="J962"/>
  <c r="I962"/>
  <c r="I961" s="1"/>
  <c r="H962"/>
  <c r="H961" s="1"/>
  <c r="G962"/>
  <c r="G961" s="1"/>
  <c r="I260" i="1"/>
  <c r="I259" s="1"/>
  <c r="H260"/>
  <c r="H259" s="1"/>
  <c r="G260"/>
  <c r="G259" s="1"/>
  <c r="H257"/>
  <c r="H256" s="1"/>
  <c r="I257"/>
  <c r="I256" s="1"/>
  <c r="H254"/>
  <c r="H253" s="1"/>
  <c r="I254"/>
  <c r="I253" s="1"/>
  <c r="K965" i="3"/>
  <c r="J965"/>
  <c r="I965"/>
  <c r="I964" s="1"/>
  <c r="H965"/>
  <c r="H964" s="1"/>
  <c r="G965"/>
  <c r="G964" s="1"/>
  <c r="H90" i="1"/>
  <c r="H89" s="1"/>
  <c r="I90"/>
  <c r="I89" s="1"/>
  <c r="G90"/>
  <c r="G89" s="1"/>
  <c r="G1005" i="3"/>
  <c r="G1004" s="1"/>
  <c r="G254" i="1"/>
  <c r="G253" s="1"/>
  <c r="K959" i="3"/>
  <c r="J959"/>
  <c r="G959"/>
  <c r="G958" s="1"/>
  <c r="G257" i="1"/>
  <c r="G256" s="1"/>
  <c r="K956" i="3"/>
  <c r="J956"/>
  <c r="G956"/>
  <c r="G955" s="1"/>
  <c r="G87" i="1"/>
  <c r="G86" s="1"/>
  <c r="G212" i="3" l="1"/>
  <c r="I1072" i="1" l="1"/>
  <c r="H1072"/>
  <c r="G1072"/>
  <c r="I1729"/>
  <c r="I1728" s="1"/>
  <c r="I1727" s="1"/>
  <c r="H1729"/>
  <c r="H1728" s="1"/>
  <c r="H1727" s="1"/>
  <c r="G1729"/>
  <c r="G1728" s="1"/>
  <c r="G1727" s="1"/>
  <c r="I553" i="3"/>
  <c r="I552" s="1"/>
  <c r="H553"/>
  <c r="H552" s="1"/>
  <c r="G553"/>
  <c r="G552" s="1"/>
  <c r="G863" i="1"/>
  <c r="G862" s="1"/>
  <c r="I863"/>
  <c r="I862" s="1"/>
  <c r="H863"/>
  <c r="H862" s="1"/>
  <c r="G1940"/>
  <c r="I449" i="3"/>
  <c r="H449"/>
  <c r="G449"/>
  <c r="I611" i="1"/>
  <c r="H611"/>
  <c r="G611"/>
  <c r="J1572" i="3" l="1"/>
  <c r="K1572"/>
  <c r="M1572"/>
  <c r="N1572"/>
  <c r="O1572"/>
  <c r="G837" i="1" l="1"/>
  <c r="K877" i="3" l="1"/>
  <c r="J877"/>
  <c r="I877"/>
  <c r="I876" s="1"/>
  <c r="H877"/>
  <c r="H876" s="1"/>
  <c r="G877"/>
  <c r="G876" s="1"/>
  <c r="I51" i="1"/>
  <c r="I50" s="1"/>
  <c r="H51"/>
  <c r="H50" s="1"/>
  <c r="G51"/>
  <c r="G50" s="1"/>
  <c r="G1146" i="3" l="1"/>
  <c r="I212" l="1"/>
  <c r="I211" s="1"/>
  <c r="I210" s="1"/>
  <c r="I1856" i="1"/>
  <c r="I1855" s="1"/>
  <c r="H283" i="3"/>
  <c r="H282" s="1"/>
  <c r="H211"/>
  <c r="H210" s="1"/>
  <c r="G211"/>
  <c r="G210" s="1"/>
  <c r="H1856" i="1"/>
  <c r="H1855" s="1"/>
  <c r="G1856"/>
  <c r="G1855" s="1"/>
  <c r="I246" i="3"/>
  <c r="H246"/>
  <c r="I1919" i="1"/>
  <c r="H1919" l="1"/>
  <c r="I283" i="3"/>
  <c r="I282" s="1"/>
  <c r="G710"/>
  <c r="H124" i="1"/>
  <c r="I521" i="3"/>
  <c r="H521"/>
  <c r="G529"/>
  <c r="I1086"/>
  <c r="I1085" s="1"/>
  <c r="H1086"/>
  <c r="H1085" s="1"/>
  <c r="H478" i="1"/>
  <c r="I478"/>
  <c r="I563" i="3" l="1"/>
  <c r="H563"/>
  <c r="G473" l="1"/>
  <c r="G472" s="1"/>
  <c r="G471" s="1"/>
  <c r="G459"/>
  <c r="H123" i="1" l="1"/>
  <c r="G126"/>
  <c r="I700" i="3"/>
  <c r="H700"/>
  <c r="G700"/>
  <c r="I25" i="1"/>
  <c r="H25"/>
  <c r="G25"/>
  <c r="I355"/>
  <c r="G815" i="3"/>
  <c r="H355" i="1"/>
  <c r="I922" i="3" l="1"/>
  <c r="I921" s="1"/>
  <c r="I920" s="1"/>
  <c r="H922"/>
  <c r="H921" s="1"/>
  <c r="H920" s="1"/>
  <c r="G922"/>
  <c r="G921" s="1"/>
  <c r="G920" s="1"/>
  <c r="I916"/>
  <c r="I915" s="1"/>
  <c r="I914" s="1"/>
  <c r="H916"/>
  <c r="H915" s="1"/>
  <c r="H914" s="1"/>
  <c r="I1233" i="1"/>
  <c r="I1232" s="1"/>
  <c r="H1233"/>
  <c r="H1232" s="1"/>
  <c r="G1233"/>
  <c r="G1232" s="1"/>
  <c r="G1237"/>
  <c r="G1236" s="1"/>
  <c r="H1237"/>
  <c r="H1236" s="1"/>
  <c r="I1237"/>
  <c r="I1236" s="1"/>
  <c r="G916" i="3"/>
  <c r="I35"/>
  <c r="H35"/>
  <c r="G57"/>
  <c r="I89" l="1"/>
  <c r="H89"/>
  <c r="H1071" i="1" l="1"/>
  <c r="I1071"/>
  <c r="G1071"/>
  <c r="G40" i="3"/>
  <c r="G1209" i="1"/>
  <c r="H579"/>
  <c r="H73"/>
  <c r="G1180"/>
  <c r="G841"/>
  <c r="G836" s="1"/>
  <c r="G218"/>
  <c r="G1406" i="3" l="1"/>
  <c r="G643"/>
  <c r="H445"/>
  <c r="I445"/>
  <c r="G1929" i="1" l="1"/>
  <c r="G1928" s="1"/>
  <c r="H1929"/>
  <c r="H1928" s="1"/>
  <c r="I1929"/>
  <c r="I1928" s="1"/>
  <c r="G1885"/>
  <c r="G1884" s="1"/>
  <c r="H1223"/>
  <c r="I1223"/>
  <c r="G1223"/>
  <c r="H1163"/>
  <c r="I1163"/>
  <c r="G1163"/>
  <c r="G268" i="3" l="1"/>
  <c r="G267" s="1"/>
  <c r="G266" s="1"/>
  <c r="G1904" i="1"/>
  <c r="G1903" s="1"/>
  <c r="G238" i="3"/>
  <c r="G237" s="1"/>
  <c r="G236" s="1"/>
  <c r="G1880" i="1"/>
  <c r="G1879" s="1"/>
  <c r="G89" i="3" l="1"/>
  <c r="G1457" i="1"/>
  <c r="G382"/>
  <c r="G1726"/>
  <c r="G952" i="3"/>
  <c r="G951" s="1"/>
  <c r="G954"/>
  <c r="G185" i="1"/>
  <c r="I573" l="1"/>
  <c r="I358" i="3" s="1"/>
  <c r="H573" i="1"/>
  <c r="H358" i="3" s="1"/>
  <c r="H502"/>
  <c r="I502"/>
  <c r="G941"/>
  <c r="G1511"/>
  <c r="G1412"/>
  <c r="I1412"/>
  <c r="H1412"/>
  <c r="G946"/>
  <c r="G949"/>
  <c r="G502" l="1"/>
  <c r="G501" s="1"/>
  <c r="G500" s="1"/>
  <c r="I501"/>
  <c r="I500" s="1"/>
  <c r="H501"/>
  <c r="H500" s="1"/>
  <c r="G1402"/>
  <c r="G2033" i="1"/>
  <c r="G2032" s="1"/>
  <c r="G1972"/>
  <c r="G1971" s="1"/>
  <c r="G157" i="3"/>
  <c r="G156" s="1"/>
  <c r="G1456" i="1"/>
  <c r="G1405" i="3"/>
  <c r="G1404" s="1"/>
  <c r="G1316" i="1"/>
  <c r="G1315" s="1"/>
  <c r="G626" i="3"/>
  <c r="G625" s="1"/>
  <c r="G624" s="1"/>
  <c r="I626"/>
  <c r="H626"/>
  <c r="I624"/>
  <c r="H624"/>
  <c r="G937" i="1"/>
  <c r="G496" i="3"/>
  <c r="G495" s="1"/>
  <c r="G494" s="1"/>
  <c r="I495"/>
  <c r="I494" s="1"/>
  <c r="H495"/>
  <c r="H494" s="1"/>
  <c r="I834" i="1"/>
  <c r="I833" s="1"/>
  <c r="H834"/>
  <c r="H833" s="1"/>
  <c r="G834"/>
  <c r="G833" s="1"/>
  <c r="G521" i="3"/>
  <c r="G520" s="1"/>
  <c r="G519" s="1"/>
  <c r="I520"/>
  <c r="I519" s="1"/>
  <c r="H520"/>
  <c r="H519" s="1"/>
  <c r="H655" i="1"/>
  <c r="H654" s="1"/>
  <c r="H653" s="1"/>
  <c r="I655"/>
  <c r="I654" s="1"/>
  <c r="I653" s="1"/>
  <c r="G655"/>
  <c r="G654" s="1"/>
  <c r="G653" s="1"/>
  <c r="G358" i="3"/>
  <c r="G357" s="1"/>
  <c r="L357"/>
  <c r="M357" s="1"/>
  <c r="I357"/>
  <c r="I356" s="1"/>
  <c r="H357"/>
  <c r="H356" s="1"/>
  <c r="I572" i="1"/>
  <c r="H572"/>
  <c r="G573"/>
  <c r="G572" s="1"/>
  <c r="G1086" i="3"/>
  <c r="G1085" s="1"/>
  <c r="G478" i="1"/>
  <c r="G356" i="3" l="1"/>
  <c r="G348"/>
  <c r="G341" s="1"/>
  <c r="G1401"/>
  <c r="I686"/>
  <c r="I685" s="1"/>
  <c r="H686"/>
  <c r="H685" s="1"/>
  <c r="G686"/>
  <c r="G685" s="1"/>
  <c r="I2071" i="1"/>
  <c r="I2070" s="1"/>
  <c r="H2071"/>
  <c r="H2070" s="1"/>
  <c r="G2071"/>
  <c r="G2070" s="1"/>
  <c r="G2074"/>
  <c r="G2073" s="1"/>
  <c r="H2074"/>
  <c r="H2073" s="1"/>
  <c r="I2074"/>
  <c r="I2073" s="1"/>
  <c r="I2069" l="1"/>
  <c r="G2069"/>
  <c r="H2069"/>
  <c r="G1274" i="3"/>
  <c r="G1273" s="1"/>
  <c r="G1272" s="1"/>
  <c r="G1514"/>
  <c r="G1513" s="1"/>
  <c r="G283"/>
  <c r="G2079" i="1" l="1"/>
  <c r="G2078" s="1"/>
  <c r="G153" i="3"/>
  <c r="G155"/>
  <c r="G154" s="1"/>
  <c r="I1454" i="1"/>
  <c r="H1454"/>
  <c r="G1454"/>
  <c r="I469"/>
  <c r="I468" s="1"/>
  <c r="I467" s="1"/>
  <c r="I466" s="1"/>
  <c r="I465" s="1"/>
  <c r="I451" s="1"/>
  <c r="I450" s="1"/>
  <c r="I449" s="1"/>
  <c r="H469"/>
  <c r="H468" s="1"/>
  <c r="H467" s="1"/>
  <c r="H466" s="1"/>
  <c r="H465" s="1"/>
  <c r="H451" s="1"/>
  <c r="H450" s="1"/>
  <c r="H449" s="1"/>
  <c r="G769"/>
  <c r="G768" s="1"/>
  <c r="H857" l="1"/>
  <c r="H856" s="1"/>
  <c r="I857"/>
  <c r="I856" s="1"/>
  <c r="G857"/>
  <c r="G856" s="1"/>
  <c r="G1510" i="3" l="1"/>
  <c r="G470" i="1"/>
  <c r="G469" s="1"/>
  <c r="G468" s="1"/>
  <c r="G467" s="1"/>
  <c r="G246" i="3"/>
  <c r="G1120"/>
  <c r="G1119" s="1"/>
  <c r="G1118" s="1"/>
  <c r="G1328" i="1"/>
  <c r="G1331"/>
  <c r="G487" i="3"/>
  <c r="G485"/>
  <c r="G484"/>
  <c r="G608"/>
  <c r="G607" s="1"/>
  <c r="G606" s="1"/>
  <c r="I607"/>
  <c r="I606" s="1"/>
  <c r="H607"/>
  <c r="H606" s="1"/>
  <c r="I739" i="1"/>
  <c r="I738" s="1"/>
  <c r="H739"/>
  <c r="H738" s="1"/>
  <c r="G739"/>
  <c r="G738" s="1"/>
  <c r="G569" i="3"/>
  <c r="G568" s="1"/>
  <c r="G567" s="1"/>
  <c r="I697" i="1"/>
  <c r="I696" s="1"/>
  <c r="H697"/>
  <c r="H696" s="1"/>
  <c r="G697"/>
  <c r="G696" s="1"/>
  <c r="I568" i="3"/>
  <c r="I567" s="1"/>
  <c r="H568"/>
  <c r="H567" s="1"/>
  <c r="I694" i="1"/>
  <c r="I693" s="1"/>
  <c r="H694"/>
  <c r="H693" s="1"/>
  <c r="G694"/>
  <c r="G693" s="1"/>
  <c r="G383" i="3"/>
  <c r="G382" s="1"/>
  <c r="G381" s="1"/>
  <c r="I828" i="1"/>
  <c r="I827" s="1"/>
  <c r="H828"/>
  <c r="H827" s="1"/>
  <c r="G828"/>
  <c r="G827" s="1"/>
  <c r="G483" i="3"/>
  <c r="H376" i="1"/>
  <c r="I376"/>
  <c r="H837"/>
  <c r="I837"/>
  <c r="H841"/>
  <c r="I841"/>
  <c r="G565" i="3" l="1"/>
  <c r="G564" s="1"/>
  <c r="I836" i="1"/>
  <c r="H836"/>
  <c r="G486" i="3"/>
  <c r="G482"/>
  <c r="G481" l="1"/>
  <c r="G706"/>
  <c r="G1249"/>
  <c r="G722"/>
  <c r="I1275"/>
  <c r="G1278"/>
  <c r="I2090" i="1"/>
  <c r="I2077" s="1"/>
  <c r="G2093"/>
  <c r="G1225" i="3"/>
  <c r="G1224" s="1"/>
  <c r="G1223" s="1"/>
  <c r="G2017" i="1"/>
  <c r="G1246" i="3" s="1"/>
  <c r="I1224"/>
  <c r="I1223" s="1"/>
  <c r="H1224"/>
  <c r="H1223" s="1"/>
  <c r="I2025" i="1"/>
  <c r="I2024" s="1"/>
  <c r="H2025"/>
  <c r="H2024" s="1"/>
  <c r="G259" i="3"/>
  <c r="G2025" i="1" l="1"/>
  <c r="G2024" s="1"/>
  <c r="H1492" i="3"/>
  <c r="I1492"/>
  <c r="G1492"/>
  <c r="I1252"/>
  <c r="G1252"/>
  <c r="G1283"/>
  <c r="G1282" s="1"/>
  <c r="G1281" s="1"/>
  <c r="G1280" s="1"/>
  <c r="G976"/>
  <c r="G619"/>
  <c r="G464"/>
  <c r="G618" l="1"/>
  <c r="G617" s="1"/>
  <c r="G1520"/>
  <c r="G282"/>
  <c r="I280"/>
  <c r="I279" s="1"/>
  <c r="I272" s="1"/>
  <c r="H280"/>
  <c r="H279" s="1"/>
  <c r="H272" s="1"/>
  <c r="G280"/>
  <c r="G277"/>
  <c r="G276" s="1"/>
  <c r="G274"/>
  <c r="G273" s="1"/>
  <c r="I924"/>
  <c r="I923" s="1"/>
  <c r="H924"/>
  <c r="H923" s="1"/>
  <c r="G924"/>
  <c r="G923" s="1"/>
  <c r="H63" i="1"/>
  <c r="H62" s="1"/>
  <c r="I62"/>
  <c r="G63"/>
  <c r="G62" s="1"/>
  <c r="I919" i="3"/>
  <c r="I918" s="1"/>
  <c r="I917" s="1"/>
  <c r="H918"/>
  <c r="H917" s="1"/>
  <c r="G918"/>
  <c r="G917" s="1"/>
  <c r="H57" i="1"/>
  <c r="H56" s="1"/>
  <c r="I57"/>
  <c r="I56" s="1"/>
  <c r="G57"/>
  <c r="G56" s="1"/>
  <c r="G279" i="3" l="1"/>
  <c r="G272" s="1"/>
  <c r="I2076" i="1"/>
  <c r="H45" i="2" s="1"/>
  <c r="G2096" i="1"/>
  <c r="G2095" s="1"/>
  <c r="I1330"/>
  <c r="H1330"/>
  <c r="G1330"/>
  <c r="G1327" s="1"/>
  <c r="G1320"/>
  <c r="G1319" s="1"/>
  <c r="G1318" s="1"/>
  <c r="I510"/>
  <c r="I509" s="1"/>
  <c r="H510"/>
  <c r="H509" s="1"/>
  <c r="G510"/>
  <c r="G509" s="1"/>
  <c r="G374"/>
  <c r="G499" i="3"/>
  <c r="I498"/>
  <c r="I497" s="1"/>
  <c r="H498"/>
  <c r="H497" s="1"/>
  <c r="I633" i="1"/>
  <c r="I632" s="1"/>
  <c r="H633"/>
  <c r="H632" s="1"/>
  <c r="G633"/>
  <c r="G632" s="1"/>
  <c r="G2134"/>
  <c r="G1373" i="3"/>
  <c r="G1372" s="1"/>
  <c r="G1371" s="1"/>
  <c r="I1372"/>
  <c r="I1371" s="1"/>
  <c r="H1372"/>
  <c r="H1371" s="1"/>
  <c r="I875" i="1"/>
  <c r="I874" s="1"/>
  <c r="I873" s="1"/>
  <c r="H875"/>
  <c r="H874" s="1"/>
  <c r="H873" s="1"/>
  <c r="G875"/>
  <c r="G874" s="1"/>
  <c r="G873" s="1"/>
  <c r="H2091"/>
  <c r="H2090" s="1"/>
  <c r="H2077" s="1"/>
  <c r="H2009"/>
  <c r="H1252" i="3" s="1"/>
  <c r="I1277"/>
  <c r="G1277"/>
  <c r="G1276" s="1"/>
  <c r="G1275" s="1"/>
  <c r="H2006" i="1"/>
  <c r="G2091"/>
  <c r="G2090" s="1"/>
  <c r="H931" i="3"/>
  <c r="I937"/>
  <c r="H937"/>
  <c r="H884"/>
  <c r="H883" s="1"/>
  <c r="H882" s="1"/>
  <c r="I883"/>
  <c r="I882" s="1"/>
  <c r="G883"/>
  <c r="G882" s="1"/>
  <c r="I155" i="1"/>
  <c r="I154" s="1"/>
  <c r="H155"/>
  <c r="H154" s="1"/>
  <c r="G155"/>
  <c r="I120"/>
  <c r="I119" s="1"/>
  <c r="H120"/>
  <c r="H119" s="1"/>
  <c r="G120"/>
  <c r="G119" s="1"/>
  <c r="H386"/>
  <c r="H385" s="1"/>
  <c r="I386"/>
  <c r="I385" s="1"/>
  <c r="G386"/>
  <c r="G385" s="1"/>
  <c r="G264" i="3"/>
  <c r="G263" s="1"/>
  <c r="I117" i="1"/>
  <c r="I116" s="1"/>
  <c r="H117"/>
  <c r="H116" s="1"/>
  <c r="G117"/>
  <c r="G116" s="1"/>
  <c r="G623" i="3"/>
  <c r="G1914" i="1"/>
  <c r="G1913" s="1"/>
  <c r="I359"/>
  <c r="H359"/>
  <c r="G359"/>
  <c r="G915" i="3"/>
  <c r="G914" s="1"/>
  <c r="H115" i="1" l="1"/>
  <c r="H2076"/>
  <c r="G45" i="2" s="1"/>
  <c r="H1277" i="3"/>
  <c r="H1276" s="1"/>
  <c r="H1275" s="1"/>
  <c r="G498"/>
  <c r="G497" s="1"/>
  <c r="G115" i="1"/>
  <c r="G114" s="1"/>
  <c r="I115"/>
  <c r="H384"/>
  <c r="H383" s="1"/>
  <c r="G63" i="2" s="1"/>
  <c r="I384" i="1"/>
  <c r="I383" s="1"/>
  <c r="H63" i="2" s="1"/>
  <c r="G384" i="1"/>
  <c r="G383" s="1"/>
  <c r="F63" i="2" s="1"/>
  <c r="I114" i="1"/>
  <c r="H114"/>
  <c r="G772" i="3" l="1"/>
  <c r="G755"/>
  <c r="I1211" i="1" l="1"/>
  <c r="H1211"/>
  <c r="G39" i="3"/>
  <c r="G36" s="1"/>
  <c r="I716"/>
  <c r="I715" s="1"/>
  <c r="I714" s="1"/>
  <c r="H716"/>
  <c r="H715" s="1"/>
  <c r="H714" s="1"/>
  <c r="G716"/>
  <c r="G715" s="1"/>
  <c r="G714" s="1"/>
  <c r="I1926" i="1"/>
  <c r="I1925" s="1"/>
  <c r="H1926"/>
  <c r="H1925" s="1"/>
  <c r="G1926"/>
  <c r="G1925" s="1"/>
  <c r="G975" i="3"/>
  <c r="G974"/>
  <c r="G60" i="1"/>
  <c r="G59"/>
  <c r="G261" i="3"/>
  <c r="G260" s="1"/>
  <c r="G1911" i="1"/>
  <c r="G1910" s="1"/>
  <c r="I562" i="3"/>
  <c r="I561" s="1"/>
  <c r="I518" s="1"/>
  <c r="H562"/>
  <c r="H561" s="1"/>
  <c r="H518" s="1"/>
  <c r="G562"/>
  <c r="G561" s="1"/>
  <c r="I682" i="1"/>
  <c r="I681" s="1"/>
  <c r="H682"/>
  <c r="H681" s="1"/>
  <c r="G682"/>
  <c r="G681" s="1"/>
  <c r="I461" i="3"/>
  <c r="I460" s="1"/>
  <c r="H461"/>
  <c r="H460" s="1"/>
  <c r="G461"/>
  <c r="G460" s="1"/>
  <c r="I1032" i="1"/>
  <c r="I1031" s="1"/>
  <c r="H1032"/>
  <c r="H1031" s="1"/>
  <c r="G1032"/>
  <c r="G1031" s="1"/>
  <c r="G2083"/>
  <c r="I648" i="3"/>
  <c r="I647" s="1"/>
  <c r="I620" s="1"/>
  <c r="H648"/>
  <c r="H647" s="1"/>
  <c r="H620" s="1"/>
  <c r="G648"/>
  <c r="G647" s="1"/>
  <c r="G620" s="1"/>
  <c r="I947" i="1"/>
  <c r="I946" s="1"/>
  <c r="H947"/>
  <c r="H946" s="1"/>
  <c r="G947"/>
  <c r="G946" s="1"/>
  <c r="G1280"/>
  <c r="G1279" s="1"/>
  <c r="I313" i="3"/>
  <c r="I312" s="1"/>
  <c r="H313"/>
  <c r="H312" s="1"/>
  <c r="G313"/>
  <c r="G312" s="1"/>
  <c r="G300" s="1"/>
  <c r="G299" s="1"/>
  <c r="I73" i="1"/>
  <c r="I72" s="1"/>
  <c r="I71" s="1"/>
  <c r="H72"/>
  <c r="H71" s="1"/>
  <c r="G73"/>
  <c r="G72" s="1"/>
  <c r="I766" i="3"/>
  <c r="I765" s="1"/>
  <c r="H766"/>
  <c r="H765" s="1"/>
  <c r="G766"/>
  <c r="G765" s="1"/>
  <c r="I2143" i="1"/>
  <c r="I2142" s="1"/>
  <c r="H2143"/>
  <c r="H2142" s="1"/>
  <c r="G2143"/>
  <c r="G2142" s="1"/>
  <c r="G754" i="3"/>
  <c r="G2128" i="1"/>
  <c r="G753" i="3"/>
  <c r="I771"/>
  <c r="H771"/>
  <c r="G771"/>
  <c r="I2146" i="1"/>
  <c r="I2145" s="1"/>
  <c r="H2146"/>
  <c r="H2145" s="1"/>
  <c r="G2146"/>
  <c r="G2145" s="1"/>
  <c r="G764" i="3"/>
  <c r="G758"/>
  <c r="I334"/>
  <c r="I333" s="1"/>
  <c r="H334"/>
  <c r="H333" s="1"/>
  <c r="G334"/>
  <c r="G333" s="1"/>
  <c r="I1969" i="1"/>
  <c r="I1968" s="1"/>
  <c r="H1969"/>
  <c r="H1968" s="1"/>
  <c r="G1969"/>
  <c r="G1968" s="1"/>
  <c r="I88" i="3"/>
  <c r="I87" s="1"/>
  <c r="H88"/>
  <c r="H87" s="1"/>
  <c r="G88"/>
  <c r="G87" s="1"/>
  <c r="G438" i="1"/>
  <c r="G437" s="1"/>
  <c r="I438"/>
  <c r="I437" s="1"/>
  <c r="H438"/>
  <c r="H437" s="1"/>
  <c r="G943" i="3"/>
  <c r="G942" s="1"/>
  <c r="G176" i="1"/>
  <c r="I953" i="3"/>
  <c r="I950" s="1"/>
  <c r="H953"/>
  <c r="H950" s="1"/>
  <c r="G953"/>
  <c r="G950" s="1"/>
  <c r="I190" i="1"/>
  <c r="I184" s="1"/>
  <c r="H190"/>
  <c r="H184" s="1"/>
  <c r="G190"/>
  <c r="G184" s="1"/>
  <c r="I948" i="3"/>
  <c r="H948"/>
  <c r="G948"/>
  <c r="G947" s="1"/>
  <c r="I182" i="1"/>
  <c r="H182"/>
  <c r="G182"/>
  <c r="G181" s="1"/>
  <c r="I945" i="3"/>
  <c r="H945"/>
  <c r="G945"/>
  <c r="G944" s="1"/>
  <c r="I179" i="1"/>
  <c r="H179"/>
  <c r="G179"/>
  <c r="G178" s="1"/>
  <c r="I940" i="3"/>
  <c r="H940"/>
  <c r="G940"/>
  <c r="I938"/>
  <c r="H938"/>
  <c r="G174" i="1"/>
  <c r="H172"/>
  <c r="I172"/>
  <c r="H174"/>
  <c r="I174"/>
  <c r="H208"/>
  <c r="H207" s="1"/>
  <c r="I208"/>
  <c r="I207" s="1"/>
  <c r="G71" l="1"/>
  <c r="G106"/>
  <c r="G105" s="1"/>
  <c r="G101" s="1"/>
  <c r="G173"/>
  <c r="G172" s="1"/>
  <c r="G208"/>
  <c r="G207" s="1"/>
  <c r="G1211"/>
  <c r="G1208" s="1"/>
  <c r="G2082"/>
  <c r="G2081" s="1"/>
  <c r="G939" i="3"/>
  <c r="G938" s="1"/>
  <c r="G1919" i="1"/>
  <c r="G1918"/>
  <c r="G339" l="1"/>
  <c r="G1400" i="3"/>
  <c r="I85"/>
  <c r="H85"/>
  <c r="G85"/>
  <c r="G84" s="1"/>
  <c r="I435" i="1"/>
  <c r="H435"/>
  <c r="G435"/>
  <c r="G434" s="1"/>
  <c r="I82" i="3"/>
  <c r="H82"/>
  <c r="G82"/>
  <c r="G81" s="1"/>
  <c r="I432" i="1"/>
  <c r="H432"/>
  <c r="G432"/>
  <c r="G431" s="1"/>
  <c r="I79" i="3"/>
  <c r="H79"/>
  <c r="G79"/>
  <c r="G78" s="1"/>
  <c r="I429" i="1"/>
  <c r="H429"/>
  <c r="G429"/>
  <c r="G428" s="1"/>
  <c r="I464" i="3" l="1"/>
  <c r="H464"/>
  <c r="G445"/>
  <c r="G444" s="1"/>
  <c r="G443" s="1"/>
  <c r="I645"/>
  <c r="I644" s="1"/>
  <c r="H645"/>
  <c r="H644" s="1"/>
  <c r="G645"/>
  <c r="G644" s="1"/>
  <c r="G1498"/>
  <c r="H1498"/>
  <c r="H1497" s="1"/>
  <c r="I1498"/>
  <c r="I1497" s="1"/>
  <c r="I769"/>
  <c r="I768" s="1"/>
  <c r="H769"/>
  <c r="H768" s="1"/>
  <c r="G769"/>
  <c r="G768" s="1"/>
  <c r="G761"/>
  <c r="G760" s="1"/>
  <c r="G759" s="1"/>
  <c r="I757"/>
  <c r="I756" s="1"/>
  <c r="H757"/>
  <c r="H756" s="1"/>
  <c r="G757"/>
  <c r="G756" s="1"/>
  <c r="G750"/>
  <c r="I507" i="1"/>
  <c r="H507"/>
  <c r="I2131"/>
  <c r="I2130" s="1"/>
  <c r="H2131"/>
  <c r="H2130" s="1"/>
  <c r="G2131"/>
  <c r="G2130" s="1"/>
  <c r="G2133"/>
  <c r="I752" i="3"/>
  <c r="I751" s="1"/>
  <c r="H752"/>
  <c r="H751" s="1"/>
  <c r="G752"/>
  <c r="G751" s="1"/>
  <c r="I2126" i="1"/>
  <c r="I2125" s="1"/>
  <c r="H2126"/>
  <c r="H2125" s="1"/>
  <c r="G2126"/>
  <c r="G2125" s="1"/>
  <c r="I760" i="3"/>
  <c r="I759" s="1"/>
  <c r="H760"/>
  <c r="H759" s="1"/>
  <c r="G763"/>
  <c r="G762" s="1"/>
  <c r="H763"/>
  <c r="H762" s="1"/>
  <c r="I763"/>
  <c r="I762" s="1"/>
  <c r="I2137" i="1"/>
  <c r="I2136" s="1"/>
  <c r="H2137"/>
  <c r="H2136" s="1"/>
  <c r="G2137"/>
  <c r="G2136" s="1"/>
  <c r="I2140"/>
  <c r="I2139" s="1"/>
  <c r="H2140"/>
  <c r="H2139" s="1"/>
  <c r="G2140"/>
  <c r="G2139" s="1"/>
  <c r="G718" i="3" l="1"/>
  <c r="G1497"/>
  <c r="I2133" i="1"/>
  <c r="H2133"/>
  <c r="G1493" i="3"/>
  <c r="I630" i="1"/>
  <c r="I629" s="1"/>
  <c r="H630"/>
  <c r="H629" s="1"/>
  <c r="G630"/>
  <c r="G629" s="1"/>
  <c r="I767"/>
  <c r="I766" s="1"/>
  <c r="H767"/>
  <c r="H766" s="1"/>
  <c r="G766"/>
  <c r="G765" s="1"/>
  <c r="G764" s="1"/>
  <c r="I463" i="3"/>
  <c r="H463"/>
  <c r="G463"/>
  <c r="G507" i="1"/>
  <c r="I617" i="3"/>
  <c r="H617"/>
  <c r="I554" i="1"/>
  <c r="H554"/>
  <c r="G408"/>
  <c r="G377"/>
  <c r="G376" s="1"/>
  <c r="G881" i="3"/>
  <c r="G879" s="1"/>
  <c r="G221" i="1"/>
  <c r="G220"/>
  <c r="G54"/>
  <c r="G53"/>
  <c r="G880" i="3" l="1"/>
  <c r="G242"/>
  <c r="G249"/>
  <c r="G253"/>
  <c r="G235"/>
  <c r="G223"/>
  <c r="G222" s="1"/>
  <c r="G221" s="1"/>
  <c r="G1865" i="1"/>
  <c r="G1864" s="1"/>
  <c r="G912" i="3"/>
  <c r="G911" s="1"/>
  <c r="G164" i="1"/>
  <c r="G163" s="1"/>
  <c r="G152"/>
  <c r="G151" s="1"/>
  <c r="H1917"/>
  <c r="H1916" s="1"/>
  <c r="H1909" s="1"/>
  <c r="G1917"/>
  <c r="G1916" s="1"/>
  <c r="G1909" s="1"/>
  <c r="G910" i="3" l="1"/>
  <c r="G909" s="1"/>
  <c r="G908" s="1"/>
  <c r="I1917" i="1"/>
  <c r="I1916" s="1"/>
  <c r="I1909" s="1"/>
  <c r="G1261" i="3" l="1"/>
  <c r="G1260" s="1"/>
  <c r="G1259" s="1"/>
  <c r="G2022" i="1"/>
  <c r="G2021" s="1"/>
  <c r="G1071" i="3"/>
  <c r="G1070" s="1"/>
  <c r="G1069" s="1"/>
  <c r="G1122"/>
  <c r="G1121" s="1"/>
  <c r="G241"/>
  <c r="I152"/>
  <c r="I151" s="1"/>
  <c r="H152"/>
  <c r="H151" s="1"/>
  <c r="G152"/>
  <c r="G151" s="1"/>
  <c r="I1452" i="1"/>
  <c r="I1451" s="1"/>
  <c r="H1452"/>
  <c r="H1451" s="1"/>
  <c r="G1452"/>
  <c r="G1451" s="1"/>
  <c r="I871"/>
  <c r="H871"/>
  <c r="G871"/>
  <c r="G870" s="1"/>
  <c r="I1239" i="3"/>
  <c r="I1238" s="1"/>
  <c r="H1239"/>
  <c r="H1238" s="1"/>
  <c r="G1239"/>
  <c r="G1238" s="1"/>
  <c r="I1959" i="1"/>
  <c r="I1958" s="1"/>
  <c r="H1959"/>
  <c r="H1958" s="1"/>
  <c r="G1959"/>
  <c r="G1958" s="1"/>
  <c r="I1257" i="3"/>
  <c r="I1256" s="1"/>
  <c r="H1257"/>
  <c r="H1256" s="1"/>
  <c r="G1257"/>
  <c r="G1256" s="1"/>
  <c r="I2013" i="1"/>
  <c r="I2012" s="1"/>
  <c r="H2013"/>
  <c r="H2012" s="1"/>
  <c r="G2013"/>
  <c r="G2012" s="1"/>
  <c r="G2235" s="1"/>
  <c r="G2234" s="1"/>
  <c r="G2233" s="1"/>
  <c r="G721" i="3"/>
  <c r="G719" s="1"/>
  <c r="G2108" i="1"/>
  <c r="G2107" s="1"/>
  <c r="G2077" s="1"/>
  <c r="I944"/>
  <c r="I943" s="1"/>
  <c r="H944"/>
  <c r="H943" s="1"/>
  <c r="G944"/>
  <c r="G943" s="1"/>
  <c r="G1901"/>
  <c r="G1900" s="1"/>
  <c r="G258" i="3"/>
  <c r="G257" s="1"/>
  <c r="G225"/>
  <c r="G224" s="1"/>
  <c r="G1868" i="1"/>
  <c r="G1867" s="1"/>
  <c r="G2076" l="1"/>
  <c r="F45" i="2" s="1"/>
  <c r="G1364" i="1"/>
  <c r="G1363" s="1"/>
  <c r="G1296"/>
  <c r="G1295" s="1"/>
  <c r="G869"/>
  <c r="G234" i="3" l="1"/>
  <c r="G230"/>
  <c r="G1877" i="1"/>
  <c r="G1873"/>
  <c r="G252" i="3"/>
  <c r="G248"/>
  <c r="G1895" i="1"/>
  <c r="G1891"/>
  <c r="G1890" l="1"/>
  <c r="G1872"/>
  <c r="G247" i="3"/>
  <c r="G229"/>
  <c r="I331"/>
  <c r="I326" s="1"/>
  <c r="I324"/>
  <c r="I321" s="1"/>
  <c r="H331"/>
  <c r="H326" s="1"/>
  <c r="G331"/>
  <c r="G326" s="1"/>
  <c r="I1966" i="1"/>
  <c r="I1965" s="1"/>
  <c r="H1966"/>
  <c r="H1965" s="1"/>
  <c r="G1966"/>
  <c r="G1965" s="1"/>
  <c r="H324" i="3"/>
  <c r="H321" s="1"/>
  <c r="G324"/>
  <c r="G321" s="1"/>
  <c r="I1963" i="1"/>
  <c r="I1962" s="1"/>
  <c r="H1963"/>
  <c r="H1962" s="1"/>
  <c r="G1963"/>
  <c r="G1962" s="1"/>
  <c r="G1961" l="1"/>
  <c r="H1961"/>
  <c r="I1961"/>
  <c r="H1719"/>
  <c r="H125" i="3" s="1"/>
  <c r="H124" s="1"/>
  <c r="H123" s="1"/>
  <c r="H105" s="1"/>
  <c r="I1719" i="1"/>
  <c r="I1718" s="1"/>
  <c r="H128" i="3"/>
  <c r="H127" s="1"/>
  <c r="H126" s="1"/>
  <c r="I128"/>
  <c r="I127" s="1"/>
  <c r="I126" s="1"/>
  <c r="G128"/>
  <c r="H1722" i="1"/>
  <c r="H1721" s="1"/>
  <c r="I1722"/>
  <c r="I1721" s="1"/>
  <c r="K936" i="3"/>
  <c r="J936"/>
  <c r="I936"/>
  <c r="I935" s="1"/>
  <c r="H936"/>
  <c r="H935" s="1"/>
  <c r="G936"/>
  <c r="G935" s="1"/>
  <c r="H934"/>
  <c r="I248" i="1"/>
  <c r="I247" s="1"/>
  <c r="H248"/>
  <c r="H247" s="1"/>
  <c r="G248"/>
  <c r="G247" s="1"/>
  <c r="I930" i="3"/>
  <c r="I929" s="1"/>
  <c r="H930"/>
  <c r="H929" s="1"/>
  <c r="G930"/>
  <c r="G929" s="1"/>
  <c r="H229" i="1"/>
  <c r="H228" s="1"/>
  <c r="I229"/>
  <c r="I228" s="1"/>
  <c r="G229"/>
  <c r="G228" s="1"/>
  <c r="I615" i="3"/>
  <c r="I614" s="1"/>
  <c r="H615"/>
  <c r="H614" s="1"/>
  <c r="G615"/>
  <c r="G614" s="1"/>
  <c r="I691" i="1"/>
  <c r="I690" s="1"/>
  <c r="H691"/>
  <c r="H690" s="1"/>
  <c r="G691"/>
  <c r="G690" s="1"/>
  <c r="H1718" l="1"/>
  <c r="I125" i="3"/>
  <c r="I124" s="1"/>
  <c r="I123" s="1"/>
  <c r="I105" s="1"/>
  <c r="I870" i="1"/>
  <c r="I869" s="1"/>
  <c r="H870"/>
  <c r="H869" s="1"/>
  <c r="G1007"/>
  <c r="I2030" l="1"/>
  <c r="I2029" s="1"/>
  <c r="I2028" s="1"/>
  <c r="H2030"/>
  <c r="H2029" s="1"/>
  <c r="H2028" s="1"/>
  <c r="G2030"/>
  <c r="G2029" s="1"/>
  <c r="G2028" s="1"/>
  <c r="G1849"/>
  <c r="G1848" s="1"/>
  <c r="G1847" s="1"/>
  <c r="G1846" s="1"/>
  <c r="G1485" s="1"/>
  <c r="I1848"/>
  <c r="I1847" s="1"/>
  <c r="I1846" s="1"/>
  <c r="I1485" s="1"/>
  <c r="H1848"/>
  <c r="H1847" s="1"/>
  <c r="H1846" s="1"/>
  <c r="H1485" s="1"/>
  <c r="I1520" i="3"/>
  <c r="I1519" s="1"/>
  <c r="H1520"/>
  <c r="H1519" s="1"/>
  <c r="G127"/>
  <c r="G126" s="1"/>
  <c r="G1722" i="1"/>
  <c r="G1721" s="1"/>
  <c r="G1473"/>
  <c r="G1472" s="1"/>
  <c r="G1471" s="1"/>
  <c r="G1719"/>
  <c r="G1259"/>
  <c r="I681" i="3"/>
  <c r="I676" s="1"/>
  <c r="H681"/>
  <c r="H676" s="1"/>
  <c r="G681"/>
  <c r="G1000" i="1"/>
  <c r="G1523" i="3"/>
  <c r="G1522" s="1"/>
  <c r="I563" i="1"/>
  <c r="I562" s="1"/>
  <c r="H563"/>
  <c r="H562" s="1"/>
  <c r="G563"/>
  <c r="G562" s="1"/>
  <c r="G561" s="1"/>
  <c r="I245"/>
  <c r="I244" s="1"/>
  <c r="I243" s="1"/>
  <c r="H245"/>
  <c r="H244" s="1"/>
  <c r="H243" s="1"/>
  <c r="G245"/>
  <c r="G244" s="1"/>
  <c r="G243" s="1"/>
  <c r="G928" i="3"/>
  <c r="G927" s="1"/>
  <c r="G926" s="1"/>
  <c r="G226" i="1"/>
  <c r="G225" s="1"/>
  <c r="G66"/>
  <c r="G65" s="1"/>
  <c r="I245" i="3"/>
  <c r="H245"/>
  <c r="G245"/>
  <c r="I1888" i="1"/>
  <c r="H1888"/>
  <c r="G1888"/>
  <c r="K933" i="3"/>
  <c r="J933"/>
  <c r="I933"/>
  <c r="I932" s="1"/>
  <c r="H933"/>
  <c r="H932" s="1"/>
  <c r="G933"/>
  <c r="G932" s="1"/>
  <c r="H69" i="1"/>
  <c r="H68" s="1"/>
  <c r="I69"/>
  <c r="I68" s="1"/>
  <c r="G69"/>
  <c r="G68" s="1"/>
  <c r="G125" i="3" l="1"/>
  <c r="G124" s="1"/>
  <c r="G123" s="1"/>
  <c r="G105" s="1"/>
  <c r="G1718" i="1"/>
  <c r="I675" i="3"/>
  <c r="I354" s="1"/>
  <c r="H675"/>
  <c r="H354" s="1"/>
  <c r="I1845" i="1"/>
  <c r="H1845"/>
  <c r="G1845"/>
  <c r="G1519" i="3"/>
  <c r="G1506" s="1"/>
  <c r="G466" i="1"/>
  <c r="G465" s="1"/>
  <c r="I709" i="3"/>
  <c r="I708" s="1"/>
  <c r="I707" s="1"/>
  <c r="H709"/>
  <c r="H708" s="1"/>
  <c r="H707" s="1"/>
  <c r="G709"/>
  <c r="G708" s="1"/>
  <c r="G707" s="1"/>
  <c r="I1923" i="1"/>
  <c r="I1922" s="1"/>
  <c r="I1921" s="1"/>
  <c r="H1923"/>
  <c r="H1922" s="1"/>
  <c r="H1921" s="1"/>
  <c r="G1923"/>
  <c r="G1922" s="1"/>
  <c r="G1921" s="1"/>
  <c r="G690" i="3"/>
  <c r="G689" s="1"/>
  <c r="G688" s="1"/>
  <c r="G684" s="1"/>
  <c r="G749"/>
  <c r="G748" s="1"/>
  <c r="I1251"/>
  <c r="I1250" s="1"/>
  <c r="H1251"/>
  <c r="H1250" s="1"/>
  <c r="G1251"/>
  <c r="G1250" s="1"/>
  <c r="I2008" i="1"/>
  <c r="I2007" s="1"/>
  <c r="H2008"/>
  <c r="H2007" s="1"/>
  <c r="G2008"/>
  <c r="G2007" s="1"/>
  <c r="G1243" i="3"/>
  <c r="G1242" s="1"/>
  <c r="G1241" s="1"/>
  <c r="G381" i="1"/>
  <c r="G380" s="1"/>
  <c r="G379" s="1"/>
  <c r="I381"/>
  <c r="I380" s="1"/>
  <c r="I379" s="1"/>
  <c r="H381"/>
  <c r="H380" s="1"/>
  <c r="H379" s="1"/>
  <c r="I319" i="3"/>
  <c r="I318" s="1"/>
  <c r="H319"/>
  <c r="H318" s="1"/>
  <c r="G319"/>
  <c r="G318" s="1"/>
  <c r="I762" i="1"/>
  <c r="I761" s="1"/>
  <c r="H762"/>
  <c r="H761" s="1"/>
  <c r="G762"/>
  <c r="G761" s="1"/>
  <c r="I316" i="3"/>
  <c r="I315" s="1"/>
  <c r="H316"/>
  <c r="H315" s="1"/>
  <c r="G316"/>
  <c r="G315" s="1"/>
  <c r="G311" s="1"/>
  <c r="I759" i="1"/>
  <c r="I758" s="1"/>
  <c r="I757" s="1"/>
  <c r="H759"/>
  <c r="H758" s="1"/>
  <c r="G759"/>
  <c r="G758" s="1"/>
  <c r="G131" i="3"/>
  <c r="G130" s="1"/>
  <c r="G129" s="1"/>
  <c r="G1253" i="1"/>
  <c r="I2027"/>
  <c r="H2027"/>
  <c r="G2027"/>
  <c r="I1248" i="3"/>
  <c r="I1247" s="1"/>
  <c r="H1248"/>
  <c r="H1247" s="1"/>
  <c r="G1248"/>
  <c r="G1247" s="1"/>
  <c r="H2019" i="1"/>
  <c r="H2018" s="1"/>
  <c r="I2019"/>
  <c r="I2018" s="1"/>
  <c r="G2019"/>
  <c r="G2018" s="1"/>
  <c r="I705" i="3"/>
  <c r="I704" s="1"/>
  <c r="H705"/>
  <c r="H704" s="1"/>
  <c r="G705"/>
  <c r="G704" s="1"/>
  <c r="H30" i="1"/>
  <c r="H29" s="1"/>
  <c r="I30"/>
  <c r="I29" s="1"/>
  <c r="G30"/>
  <c r="G29" s="1"/>
  <c r="H1141" i="3"/>
  <c r="I1141"/>
  <c r="G1141"/>
  <c r="I1145"/>
  <c r="I1144" s="1"/>
  <c r="H1145"/>
  <c r="H1144" s="1"/>
  <c r="G1145"/>
  <c r="G1144" s="1"/>
  <c r="I1142"/>
  <c r="H1142"/>
  <c r="G1142"/>
  <c r="H1133"/>
  <c r="H1132" s="1"/>
  <c r="I1133"/>
  <c r="I1132" s="1"/>
  <c r="H1130"/>
  <c r="H1129" s="1"/>
  <c r="I1130"/>
  <c r="I1129" s="1"/>
  <c r="G1131"/>
  <c r="G1130" s="1"/>
  <c r="G1129" s="1"/>
  <c r="G1134"/>
  <c r="G1133" s="1"/>
  <c r="G1132" s="1"/>
  <c r="H1333" i="1"/>
  <c r="I1333"/>
  <c r="H372"/>
  <c r="H1109" i="3"/>
  <c r="I1109"/>
  <c r="G1109"/>
  <c r="I1122" i="1"/>
  <c r="I1121" s="1"/>
  <c r="H1122"/>
  <c r="H1121" s="1"/>
  <c r="G1122"/>
  <c r="G1121" s="1"/>
  <c r="I51" i="3"/>
  <c r="H51"/>
  <c r="G51"/>
  <c r="G1221" i="1"/>
  <c r="H194" i="3"/>
  <c r="I194"/>
  <c r="I815"/>
  <c r="H815"/>
  <c r="H1421"/>
  <c r="H1420" s="1"/>
  <c r="H1419" s="1"/>
  <c r="H1415" s="1"/>
  <c r="I1421"/>
  <c r="I1420" s="1"/>
  <c r="I1419" s="1"/>
  <c r="I1415" s="1"/>
  <c r="I1246"/>
  <c r="I1245" s="1"/>
  <c r="I1244" s="1"/>
  <c r="H1246"/>
  <c r="H1245" s="1"/>
  <c r="H1244" s="1"/>
  <c r="I1243"/>
  <c r="I1242" s="1"/>
  <c r="I1241" s="1"/>
  <c r="H1243"/>
  <c r="H1242" s="1"/>
  <c r="H1241" s="1"/>
  <c r="M1210"/>
  <c r="J1352"/>
  <c r="J1369"/>
  <c r="H1351"/>
  <c r="I1351"/>
  <c r="H1347"/>
  <c r="H1346" s="1"/>
  <c r="I1347"/>
  <c r="I1346" s="1"/>
  <c r="J1378"/>
  <c r="H1446"/>
  <c r="I1446"/>
  <c r="H1444"/>
  <c r="I1444"/>
  <c r="H1441"/>
  <c r="I1441"/>
  <c r="H1439"/>
  <c r="I1439"/>
  <c r="H1436"/>
  <c r="I1436"/>
  <c r="H1434"/>
  <c r="H1433" s="1"/>
  <c r="I1434"/>
  <c r="I1433" s="1"/>
  <c r="H1431"/>
  <c r="H1430" s="1"/>
  <c r="I1431"/>
  <c r="I1430" s="1"/>
  <c r="H1427"/>
  <c r="H1426" s="1"/>
  <c r="I1427"/>
  <c r="I1426" s="1"/>
  <c r="H1425"/>
  <c r="I1425"/>
  <c r="J1427"/>
  <c r="J1459"/>
  <c r="J1481"/>
  <c r="H1099"/>
  <c r="I1099"/>
  <c r="J1097"/>
  <c r="J1078"/>
  <c r="J1030"/>
  <c r="J818"/>
  <c r="J731"/>
  <c r="J458"/>
  <c r="J201"/>
  <c r="J141"/>
  <c r="J64"/>
  <c r="J49"/>
  <c r="H1233"/>
  <c r="H1232" s="1"/>
  <c r="I1233"/>
  <c r="I1232" s="1"/>
  <c r="H1227"/>
  <c r="H1226" s="1"/>
  <c r="I1227"/>
  <c r="I1226" s="1"/>
  <c r="H1221"/>
  <c r="H1220" s="1"/>
  <c r="I1221"/>
  <c r="I1220" s="1"/>
  <c r="H1215"/>
  <c r="H1214" s="1"/>
  <c r="I1215"/>
  <c r="I1214" s="1"/>
  <c r="H1211"/>
  <c r="I1211"/>
  <c r="H1210"/>
  <c r="H1209" s="1"/>
  <c r="I1210"/>
  <c r="I1209" s="1"/>
  <c r="H1207"/>
  <c r="I1207"/>
  <c r="H1190"/>
  <c r="H1189" s="1"/>
  <c r="I1190"/>
  <c r="I1189" s="1"/>
  <c r="H1184"/>
  <c r="H1181" s="1"/>
  <c r="I1184"/>
  <c r="I1181" s="1"/>
  <c r="H1173"/>
  <c r="H1172" s="1"/>
  <c r="I1173"/>
  <c r="I1172" s="1"/>
  <c r="H1169"/>
  <c r="H1168" s="1"/>
  <c r="I1169"/>
  <c r="I1168" s="1"/>
  <c r="H244"/>
  <c r="I244"/>
  <c r="H220"/>
  <c r="I220"/>
  <c r="H215"/>
  <c r="I215"/>
  <c r="H973"/>
  <c r="I973"/>
  <c r="H1379"/>
  <c r="H1378" s="1"/>
  <c r="H1377" s="1"/>
  <c r="H1370" s="1"/>
  <c r="I1379"/>
  <c r="I1378" s="1"/>
  <c r="I1377" s="1"/>
  <c r="I1370" s="1"/>
  <c r="G1378"/>
  <c r="G1377" s="1"/>
  <c r="G1370" s="1"/>
  <c r="I1006" i="1"/>
  <c r="I1005" s="1"/>
  <c r="I1004" s="1"/>
  <c r="I1003" s="1"/>
  <c r="H1006"/>
  <c r="H1005" s="1"/>
  <c r="H1004" s="1"/>
  <c r="H1003" s="1"/>
  <c r="G1006"/>
  <c r="G1005" s="1"/>
  <c r="G1004" s="1"/>
  <c r="G1003" s="1"/>
  <c r="H907" i="3"/>
  <c r="I907"/>
  <c r="H905"/>
  <c r="H904" s="1"/>
  <c r="I905"/>
  <c r="I904" s="1"/>
  <c r="H903"/>
  <c r="I903"/>
  <c r="H901"/>
  <c r="I901"/>
  <c r="I785"/>
  <c r="H818"/>
  <c r="I818"/>
  <c r="H785"/>
  <c r="I807"/>
  <c r="H807"/>
  <c r="I1078"/>
  <c r="H1078"/>
  <c r="I750"/>
  <c r="I749" s="1"/>
  <c r="I748" s="1"/>
  <c r="H750"/>
  <c r="H749" s="1"/>
  <c r="H748" s="1"/>
  <c r="I746"/>
  <c r="I745" s="1"/>
  <c r="H746"/>
  <c r="H745" s="1"/>
  <c r="I1116"/>
  <c r="I1051"/>
  <c r="H1051"/>
  <c r="H1116"/>
  <c r="H50"/>
  <c r="I50"/>
  <c r="H1068"/>
  <c r="I1068"/>
  <c r="H25"/>
  <c r="I25"/>
  <c r="I690"/>
  <c r="I689" s="1"/>
  <c r="I688" s="1"/>
  <c r="I684" s="1"/>
  <c r="H690"/>
  <c r="H689" s="1"/>
  <c r="H688" s="1"/>
  <c r="H684" s="1"/>
  <c r="H703"/>
  <c r="I703"/>
  <c r="G1441"/>
  <c r="G1439"/>
  <c r="G370"/>
  <c r="H1171"/>
  <c r="H1170" s="1"/>
  <c r="I1171"/>
  <c r="I1170" s="1"/>
  <c r="G1245"/>
  <c r="G1244" s="1"/>
  <c r="I2016" i="1"/>
  <c r="I2015" s="1"/>
  <c r="H2016"/>
  <c r="H2015" s="1"/>
  <c r="G2016"/>
  <c r="G2015" s="1"/>
  <c r="I2005"/>
  <c r="I2004" s="1"/>
  <c r="H2005"/>
  <c r="H2004" s="1"/>
  <c r="G2005"/>
  <c r="G2004" s="1"/>
  <c r="G746" i="3"/>
  <c r="G745" s="1"/>
  <c r="H2123" i="1"/>
  <c r="H2122" s="1"/>
  <c r="I2123"/>
  <c r="I2122" s="1"/>
  <c r="G2123"/>
  <c r="G2122" s="1"/>
  <c r="I1084" i="3"/>
  <c r="I1081" s="1"/>
  <c r="H1084"/>
  <c r="H1081" s="1"/>
  <c r="H1230" i="1"/>
  <c r="H1229" s="1"/>
  <c r="H1228" s="1"/>
  <c r="I1230"/>
  <c r="I1229" s="1"/>
  <c r="I1228" s="1"/>
  <c r="G1230"/>
  <c r="G1229" s="1"/>
  <c r="G1228" s="1"/>
  <c r="H1433"/>
  <c r="H1432" s="1"/>
  <c r="H1431" s="1"/>
  <c r="H1398" s="1"/>
  <c r="I1433"/>
  <c r="I1432" s="1"/>
  <c r="I1431" s="1"/>
  <c r="I1398" s="1"/>
  <c r="G1433"/>
  <c r="G1432" s="1"/>
  <c r="G1431" s="1"/>
  <c r="G1398" s="1"/>
  <c r="I160" i="3"/>
  <c r="I159" s="1"/>
  <c r="I158" s="1"/>
  <c r="H160"/>
  <c r="H159" s="1"/>
  <c r="H158" s="1"/>
  <c r="G159"/>
  <c r="G158" s="1"/>
  <c r="H1459" i="1"/>
  <c r="H1458" s="1"/>
  <c r="I1459"/>
  <c r="I1458" s="1"/>
  <c r="G1459"/>
  <c r="G1458" s="1"/>
  <c r="I131" i="3"/>
  <c r="I130" s="1"/>
  <c r="I129" s="1"/>
  <c r="H131"/>
  <c r="H130" s="1"/>
  <c r="H129" s="1"/>
  <c r="H1725" i="1"/>
  <c r="H1724" s="1"/>
  <c r="H1717" s="1"/>
  <c r="I1725"/>
  <c r="I1724" s="1"/>
  <c r="I1717" s="1"/>
  <c r="G1725"/>
  <c r="G1724" s="1"/>
  <c r="H1304"/>
  <c r="H1303" s="1"/>
  <c r="I1304"/>
  <c r="I1303" s="1"/>
  <c r="G1304"/>
  <c r="G1303" s="1"/>
  <c r="G1294" s="1"/>
  <c r="G1293" s="1"/>
  <c r="I57" i="3"/>
  <c r="I56" s="1"/>
  <c r="I55" s="1"/>
  <c r="H57"/>
  <c r="H56" s="1"/>
  <c r="H55" s="1"/>
  <c r="G56"/>
  <c r="G55" s="1"/>
  <c r="I1226" i="1"/>
  <c r="I1225" s="1"/>
  <c r="H1226"/>
  <c r="H1225" s="1"/>
  <c r="G1226"/>
  <c r="G1225" s="1"/>
  <c r="I147" i="3"/>
  <c r="H147"/>
  <c r="I40"/>
  <c r="I39" s="1"/>
  <c r="H40"/>
  <c r="H39" s="1"/>
  <c r="I54"/>
  <c r="I53" s="1"/>
  <c r="H54"/>
  <c r="H53" s="1"/>
  <c r="I1080"/>
  <c r="H1080"/>
  <c r="H755" i="1"/>
  <c r="H754" s="1"/>
  <c r="H753" s="1"/>
  <c r="I755"/>
  <c r="I754" s="1"/>
  <c r="I753" s="1"/>
  <c r="I610" i="3"/>
  <c r="H610"/>
  <c r="G442"/>
  <c r="I502" i="1"/>
  <c r="I501" s="1"/>
  <c r="H502"/>
  <c r="H501" s="1"/>
  <c r="G502"/>
  <c r="G501" s="1"/>
  <c r="I373" i="3"/>
  <c r="H373"/>
  <c r="G451" i="1" l="1"/>
  <c r="I311" i="3"/>
  <c r="H311"/>
  <c r="H718"/>
  <c r="I718"/>
  <c r="G757" i="1"/>
  <c r="G338"/>
  <c r="G337" s="1"/>
  <c r="H1167" i="3"/>
  <c r="I1167"/>
  <c r="G1717" i="1"/>
  <c r="H371"/>
  <c r="H369" s="1"/>
  <c r="H368" s="1"/>
  <c r="G62" i="2" s="1"/>
  <c r="G528" i="3"/>
  <c r="I372" i="1"/>
  <c r="I371" s="1"/>
  <c r="G754"/>
  <c r="G753" s="1"/>
  <c r="H1206" i="3"/>
  <c r="H1166" s="1"/>
  <c r="I1206"/>
  <c r="I1166" s="1"/>
  <c r="H757" i="1"/>
  <c r="G372"/>
  <c r="J1166" i="3"/>
  <c r="I1474"/>
  <c r="I1473" s="1"/>
  <c r="H1474"/>
  <c r="H1473" s="1"/>
  <c r="I1472"/>
  <c r="I1471" s="1"/>
  <c r="H1472"/>
  <c r="H1471" s="1"/>
  <c r="I1467"/>
  <c r="I1466" s="1"/>
  <c r="H1467"/>
  <c r="H1466" s="1"/>
  <c r="I1465"/>
  <c r="I1464" s="1"/>
  <c r="H1465"/>
  <c r="H1464" s="1"/>
  <c r="I1457"/>
  <c r="I1456" s="1"/>
  <c r="I1455" s="1"/>
  <c r="I1454" s="1"/>
  <c r="H1457"/>
  <c r="H1456" s="1"/>
  <c r="H1455" s="1"/>
  <c r="H1454" s="1"/>
  <c r="I2265" i="1"/>
  <c r="I1113" i="3"/>
  <c r="I1112" s="1"/>
  <c r="I1111" s="1"/>
  <c r="H1113"/>
  <c r="H1112" s="1"/>
  <c r="H1111" s="1"/>
  <c r="I1095"/>
  <c r="I1094" s="1"/>
  <c r="H1095"/>
  <c r="H1094" s="1"/>
  <c r="I1093"/>
  <c r="I1092" s="1"/>
  <c r="H1093"/>
  <c r="H1092" s="1"/>
  <c r="I1091"/>
  <c r="I1090" s="1"/>
  <c r="H1091"/>
  <c r="H1090" s="1"/>
  <c r="H1098"/>
  <c r="H1097" s="1"/>
  <c r="H1096" s="1"/>
  <c r="I1514"/>
  <c r="H1514"/>
  <c r="I1162"/>
  <c r="I1161" s="1"/>
  <c r="I1160" s="1"/>
  <c r="H1162"/>
  <c r="H1161" s="1"/>
  <c r="H1160" s="1"/>
  <c r="I1483"/>
  <c r="I1482" s="1"/>
  <c r="H1483"/>
  <c r="H1482" s="1"/>
  <c r="I1486"/>
  <c r="H1486"/>
  <c r="I77"/>
  <c r="I76" s="1"/>
  <c r="I75" s="1"/>
  <c r="H77"/>
  <c r="H76" s="1"/>
  <c r="H75" s="1"/>
  <c r="I74"/>
  <c r="I73" s="1"/>
  <c r="I72" s="1"/>
  <c r="H74"/>
  <c r="H73" s="1"/>
  <c r="H72" s="1"/>
  <c r="I68"/>
  <c r="I67" s="1"/>
  <c r="I66" s="1"/>
  <c r="H68"/>
  <c r="H67" s="1"/>
  <c r="H66" s="1"/>
  <c r="I65"/>
  <c r="I64" s="1"/>
  <c r="H65"/>
  <c r="H64" s="1"/>
  <c r="I63"/>
  <c r="I62" s="1"/>
  <c r="H63"/>
  <c r="H62" s="1"/>
  <c r="I61"/>
  <c r="I60" s="1"/>
  <c r="H61"/>
  <c r="H60" s="1"/>
  <c r="I1448"/>
  <c r="I1447" s="1"/>
  <c r="H1449"/>
  <c r="H1448" s="1"/>
  <c r="H1447" s="1"/>
  <c r="I1106"/>
  <c r="I1105" s="1"/>
  <c r="I1104" s="1"/>
  <c r="H1106"/>
  <c r="H1105" s="1"/>
  <c r="H1104" s="1"/>
  <c r="G1106"/>
  <c r="G1105" s="1"/>
  <c r="G1104" s="1"/>
  <c r="I1103"/>
  <c r="I1102" s="1"/>
  <c r="I1101" s="1"/>
  <c r="H1103"/>
  <c r="H1102" s="1"/>
  <c r="H1101" s="1"/>
  <c r="G1103"/>
  <c r="G37"/>
  <c r="I1350"/>
  <c r="I1349" s="1"/>
  <c r="I1547"/>
  <c r="I1544" s="1"/>
  <c r="H1547"/>
  <c r="H1546" s="1"/>
  <c r="H1545" s="1"/>
  <c r="G458"/>
  <c r="G457" s="1"/>
  <c r="H1359"/>
  <c r="H1358" s="1"/>
  <c r="I141"/>
  <c r="I140" s="1"/>
  <c r="I139" s="1"/>
  <c r="H141"/>
  <c r="H140" s="1"/>
  <c r="H139" s="1"/>
  <c r="I1108"/>
  <c r="I1107" s="1"/>
  <c r="I1000"/>
  <c r="I999" s="1"/>
  <c r="I998" s="1"/>
  <c r="H1000"/>
  <c r="H999" s="1"/>
  <c r="H998" s="1"/>
  <c r="I144"/>
  <c r="H144"/>
  <c r="H972"/>
  <c r="H971" s="1"/>
  <c r="G973"/>
  <c r="I37"/>
  <c r="H37"/>
  <c r="H1209" i="1"/>
  <c r="H1208" s="1"/>
  <c r="I1209"/>
  <c r="I1208" s="1"/>
  <c r="I1491" i="3"/>
  <c r="I1488" s="1"/>
  <c r="I1485"/>
  <c r="I1476"/>
  <c r="I1475" s="1"/>
  <c r="I1445"/>
  <c r="I1443"/>
  <c r="I1440"/>
  <c r="I1438"/>
  <c r="I1435"/>
  <c r="I1432" s="1"/>
  <c r="I1424"/>
  <c r="I1423" s="1"/>
  <c r="I1368"/>
  <c r="I1367" s="1"/>
  <c r="I1362"/>
  <c r="I1361" s="1"/>
  <c r="I1359"/>
  <c r="I1358" s="1"/>
  <c r="I1353"/>
  <c r="I1352" s="1"/>
  <c r="I1127"/>
  <c r="I1115"/>
  <c r="I1114" s="1"/>
  <c r="I1098"/>
  <c r="I1097" s="1"/>
  <c r="I1096" s="1"/>
  <c r="I1083"/>
  <c r="I1079"/>
  <c r="I1077"/>
  <c r="I1067"/>
  <c r="I1066" s="1"/>
  <c r="I1065" s="1"/>
  <c r="I1057"/>
  <c r="I1056" s="1"/>
  <c r="I1050"/>
  <c r="I1049" s="1"/>
  <c r="I1048" s="1"/>
  <c r="I1047" s="1"/>
  <c r="I1030"/>
  <c r="I1029" s="1"/>
  <c r="I1028" s="1"/>
  <c r="I906"/>
  <c r="I902"/>
  <c r="I900"/>
  <c r="I814"/>
  <c r="I813" s="1"/>
  <c r="I806"/>
  <c r="I805" s="1"/>
  <c r="I784"/>
  <c r="I783" s="1"/>
  <c r="I817"/>
  <c r="I816" s="1"/>
  <c r="I972"/>
  <c r="I971" s="1"/>
  <c r="I737"/>
  <c r="I736" s="1"/>
  <c r="I734"/>
  <c r="I732" s="1"/>
  <c r="I702"/>
  <c r="I641"/>
  <c r="I640" s="1"/>
  <c r="I639"/>
  <c r="I638" s="1"/>
  <c r="I636"/>
  <c r="I635"/>
  <c r="I634" s="1"/>
  <c r="I609"/>
  <c r="I447"/>
  <c r="I446" s="1"/>
  <c r="I391"/>
  <c r="I390" s="1"/>
  <c r="I378"/>
  <c r="I377" s="1"/>
  <c r="I372"/>
  <c r="I371" s="1"/>
  <c r="I243"/>
  <c r="I240" s="1"/>
  <c r="I239" s="1"/>
  <c r="I219"/>
  <c r="I216" s="1"/>
  <c r="I218"/>
  <c r="I217" s="1"/>
  <c r="I214"/>
  <c r="I213" s="1"/>
  <c r="I204"/>
  <c r="I203" s="1"/>
  <c r="I193"/>
  <c r="I192" s="1"/>
  <c r="I191" s="1"/>
  <c r="I161" s="1"/>
  <c r="I146"/>
  <c r="I145" s="1"/>
  <c r="I49"/>
  <c r="I34"/>
  <c r="I33" s="1"/>
  <c r="I31"/>
  <c r="I30" s="1"/>
  <c r="I29" s="1"/>
  <c r="I24"/>
  <c r="I23" s="1"/>
  <c r="H1491"/>
  <c r="H1488" s="1"/>
  <c r="H1485"/>
  <c r="H1476"/>
  <c r="H1475" s="1"/>
  <c r="H1445"/>
  <c r="H1443"/>
  <c r="H1440"/>
  <c r="H1438"/>
  <c r="H1435"/>
  <c r="H1432" s="1"/>
  <c r="H1424"/>
  <c r="H1423" s="1"/>
  <c r="H1368"/>
  <c r="H1367" s="1"/>
  <c r="H1362"/>
  <c r="H1361" s="1"/>
  <c r="H1353"/>
  <c r="H1352" s="1"/>
  <c r="H1350"/>
  <c r="H1349" s="1"/>
  <c r="H1127"/>
  <c r="H1115"/>
  <c r="H1114" s="1"/>
  <c r="H1108"/>
  <c r="H1107" s="1"/>
  <c r="H1083"/>
  <c r="H1079"/>
  <c r="H1077"/>
  <c r="H1067"/>
  <c r="H1066" s="1"/>
  <c r="H1065" s="1"/>
  <c r="H1057"/>
  <c r="H1056" s="1"/>
  <c r="H1050"/>
  <c r="H1049" s="1"/>
  <c r="H1048" s="1"/>
  <c r="H1047" s="1"/>
  <c r="H1030"/>
  <c r="H1029" s="1"/>
  <c r="H1028" s="1"/>
  <c r="H906"/>
  <c r="H902"/>
  <c r="H900"/>
  <c r="H814"/>
  <c r="H813" s="1"/>
  <c r="H806"/>
  <c r="H805" s="1"/>
  <c r="H784"/>
  <c r="H783" s="1"/>
  <c r="H817"/>
  <c r="H816" s="1"/>
  <c r="H737"/>
  <c r="H736" s="1"/>
  <c r="H734"/>
  <c r="H732" s="1"/>
  <c r="H730"/>
  <c r="H702"/>
  <c r="H641"/>
  <c r="H640" s="1"/>
  <c r="H639"/>
  <c r="H638" s="1"/>
  <c r="H636"/>
  <c r="H635"/>
  <c r="H634" s="1"/>
  <c r="H609"/>
  <c r="H447"/>
  <c r="H446" s="1"/>
  <c r="H391"/>
  <c r="H390" s="1"/>
  <c r="H378"/>
  <c r="H377" s="1"/>
  <c r="H372"/>
  <c r="H371" s="1"/>
  <c r="H243"/>
  <c r="H240" s="1"/>
  <c r="H239" s="1"/>
  <c r="H219"/>
  <c r="H216" s="1"/>
  <c r="H218"/>
  <c r="H217" s="1"/>
  <c r="H214"/>
  <c r="H213" s="1"/>
  <c r="H204"/>
  <c r="H203" s="1"/>
  <c r="H193"/>
  <c r="H192" s="1"/>
  <c r="H191" s="1"/>
  <c r="H161" s="1"/>
  <c r="H146"/>
  <c r="H145" s="1"/>
  <c r="H49"/>
  <c r="H34"/>
  <c r="H33" s="1"/>
  <c r="H31"/>
  <c r="H30" s="1"/>
  <c r="H29" s="1"/>
  <c r="H24"/>
  <c r="H23" s="1"/>
  <c r="G1387" i="1"/>
  <c r="H1387"/>
  <c r="I1387"/>
  <c r="I2120"/>
  <c r="I2119"/>
  <c r="I2117"/>
  <c r="I2116" s="1"/>
  <c r="I2114"/>
  <c r="I2113" s="1"/>
  <c r="I2067"/>
  <c r="I2066" s="1"/>
  <c r="I2064"/>
  <c r="I2063" s="1"/>
  <c r="I2061"/>
  <c r="I2059"/>
  <c r="I2056"/>
  <c r="I2055" s="1"/>
  <c r="I1990"/>
  <c r="I1989"/>
  <c r="I1979"/>
  <c r="I1978" s="1"/>
  <c r="I1956"/>
  <c r="I1955" s="1"/>
  <c r="I1953"/>
  <c r="I1952" s="1"/>
  <c r="I1950"/>
  <c r="I1949" s="1"/>
  <c r="I1944"/>
  <c r="I1940"/>
  <c r="I1886"/>
  <c r="I1883" s="1"/>
  <c r="I1882" s="1"/>
  <c r="I1862"/>
  <c r="I1861" s="1"/>
  <c r="I1859"/>
  <c r="I1858" s="1"/>
  <c r="I2268"/>
  <c r="I2267" s="1"/>
  <c r="I2263"/>
  <c r="I1841"/>
  <c r="I1839"/>
  <c r="I1835"/>
  <c r="I1834" s="1"/>
  <c r="I1833" s="1"/>
  <c r="I1831"/>
  <c r="I1830" s="1"/>
  <c r="I1813"/>
  <c r="I1812" s="1"/>
  <c r="I1811" s="1"/>
  <c r="I1810" s="1"/>
  <c r="I1809" s="1"/>
  <c r="I1808" s="1"/>
  <c r="I1779"/>
  <c r="I1778" s="1"/>
  <c r="I1773"/>
  <c r="I1772" s="1"/>
  <c r="I1770"/>
  <c r="I1769" s="1"/>
  <c r="I1754"/>
  <c r="I1753"/>
  <c r="I1752" s="1"/>
  <c r="I1747"/>
  <c r="I1746" s="1"/>
  <c r="I1744"/>
  <c r="I1743" s="1"/>
  <c r="I1740"/>
  <c r="I1739" s="1"/>
  <c r="I1738" s="1"/>
  <c r="I1714"/>
  <c r="I1713" s="1"/>
  <c r="I1712" s="1"/>
  <c r="I1711" s="1"/>
  <c r="I1469"/>
  <c r="I1468" s="1"/>
  <c r="I1467" s="1"/>
  <c r="I1466" s="1"/>
  <c r="I1463"/>
  <c r="I1462" s="1"/>
  <c r="I1449"/>
  <c r="I1446"/>
  <c r="I1445" s="1"/>
  <c r="I1371"/>
  <c r="I1370" s="1"/>
  <c r="I1369" s="1"/>
  <c r="I1361"/>
  <c r="I1332"/>
  <c r="I1326" s="1"/>
  <c r="I1325" s="1"/>
  <c r="I1257"/>
  <c r="I1255"/>
  <c r="I1243"/>
  <c r="I1242" s="1"/>
  <c r="I1235" s="1"/>
  <c r="I1219"/>
  <c r="I1218" s="1"/>
  <c r="I1206"/>
  <c r="I1205" s="1"/>
  <c r="I1201"/>
  <c r="I1200" s="1"/>
  <c r="I1199" s="1"/>
  <c r="I1198" s="1"/>
  <c r="H28" i="2" s="1"/>
  <c r="I1191" i="1"/>
  <c r="I1190" s="1"/>
  <c r="I1183"/>
  <c r="I1182" s="1"/>
  <c r="I1180"/>
  <c r="I1178"/>
  <c r="I1175"/>
  <c r="I1171"/>
  <c r="I1168"/>
  <c r="I1166"/>
  <c r="I1159"/>
  <c r="I1157"/>
  <c r="I1152"/>
  <c r="I1151" s="1"/>
  <c r="I1150"/>
  <c r="I1147"/>
  <c r="I1146" s="1"/>
  <c r="I1142" s="1"/>
  <c r="I1141" s="1"/>
  <c r="I1140" s="1"/>
  <c r="I1133"/>
  <c r="I1132" s="1"/>
  <c r="I1131" s="1"/>
  <c r="I1119"/>
  <c r="I1118" s="1"/>
  <c r="I1117" s="1"/>
  <c r="I1116" s="1"/>
  <c r="I1112"/>
  <c r="I1111" s="1"/>
  <c r="I1110" s="1"/>
  <c r="I1109" s="1"/>
  <c r="I1108" s="1"/>
  <c r="I1094"/>
  <c r="I1093" s="1"/>
  <c r="I1092" s="1"/>
  <c r="I1087"/>
  <c r="I1086" s="1"/>
  <c r="I1085" s="1"/>
  <c r="I1084" s="1"/>
  <c r="I1082"/>
  <c r="I1080"/>
  <c r="I1078"/>
  <c r="I1029"/>
  <c r="I1028" s="1"/>
  <c r="I1026"/>
  <c r="I1025" s="1"/>
  <c r="I1020"/>
  <c r="I1000"/>
  <c r="I998"/>
  <c r="I996"/>
  <c r="I934"/>
  <c r="I933" s="1"/>
  <c r="I940"/>
  <c r="I938"/>
  <c r="I936"/>
  <c r="I931"/>
  <c r="I929"/>
  <c r="I867"/>
  <c r="I866" s="1"/>
  <c r="I865" s="1"/>
  <c r="I860"/>
  <c r="I859" s="1"/>
  <c r="I846" s="1"/>
  <c r="I832"/>
  <c r="I831" s="1"/>
  <c r="I830" s="1"/>
  <c r="I819"/>
  <c r="I818" s="1"/>
  <c r="I815"/>
  <c r="I813"/>
  <c r="I812" s="1"/>
  <c r="I747"/>
  <c r="I746" s="1"/>
  <c r="I745" s="1"/>
  <c r="I743"/>
  <c r="I742" s="1"/>
  <c r="I741" s="1"/>
  <c r="I570" s="1"/>
  <c r="I565" s="1"/>
  <c r="I733"/>
  <c r="I732" s="1"/>
  <c r="I676"/>
  <c r="I675" s="1"/>
  <c r="I736"/>
  <c r="I735" s="1"/>
  <c r="I627"/>
  <c r="I626" s="1"/>
  <c r="I587"/>
  <c r="I584" s="1"/>
  <c r="I582"/>
  <c r="I581" s="1"/>
  <c r="I579"/>
  <c r="I578" s="1"/>
  <c r="I576"/>
  <c r="I575" s="1"/>
  <c r="I559"/>
  <c r="I558" s="1"/>
  <c r="I557" s="1"/>
  <c r="I543"/>
  <c r="I542" s="1"/>
  <c r="I540"/>
  <c r="I538"/>
  <c r="I537" s="1"/>
  <c r="I535"/>
  <c r="I534" s="1"/>
  <c r="I532"/>
  <c r="I531" s="1"/>
  <c r="I496"/>
  <c r="I495" s="1"/>
  <c r="I493"/>
  <c r="I492" s="1"/>
  <c r="I490"/>
  <c r="I489" s="1"/>
  <c r="I476"/>
  <c r="I426"/>
  <c r="I425" s="1"/>
  <c r="I423"/>
  <c r="I422" s="1"/>
  <c r="I406"/>
  <c r="I405" s="1"/>
  <c r="I404" s="1"/>
  <c r="I401"/>
  <c r="I399"/>
  <c r="I397"/>
  <c r="I365"/>
  <c r="I364" s="1"/>
  <c r="I1766"/>
  <c r="I1765" s="1"/>
  <c r="I357"/>
  <c r="I354" s="1"/>
  <c r="I353" s="1"/>
  <c r="I352" s="1"/>
  <c r="I241"/>
  <c r="I240" s="1"/>
  <c r="I237"/>
  <c r="I236" s="1"/>
  <c r="I234"/>
  <c r="I232"/>
  <c r="I231" s="1"/>
  <c r="I223"/>
  <c r="I218"/>
  <c r="I217" s="1"/>
  <c r="I170"/>
  <c r="I169" s="1"/>
  <c r="I124"/>
  <c r="I99"/>
  <c r="I98" s="1"/>
  <c r="I39"/>
  <c r="I38" s="1"/>
  <c r="I34" s="1"/>
  <c r="I27"/>
  <c r="H2120"/>
  <c r="H2119"/>
  <c r="H2117"/>
  <c r="H2116" s="1"/>
  <c r="H2114"/>
  <c r="H2113" s="1"/>
  <c r="H2067"/>
  <c r="H2066" s="1"/>
  <c r="H2064"/>
  <c r="H2063" s="1"/>
  <c r="H2061"/>
  <c r="H2059"/>
  <c r="H2056"/>
  <c r="H2055" s="1"/>
  <c r="H1990"/>
  <c r="H1979"/>
  <c r="H1978" s="1"/>
  <c r="H1956"/>
  <c r="H1955" s="1"/>
  <c r="H1953"/>
  <c r="H1952" s="1"/>
  <c r="H1950"/>
  <c r="H1949" s="1"/>
  <c r="H1944"/>
  <c r="H1940"/>
  <c r="H1886"/>
  <c r="H1883" s="1"/>
  <c r="H1882" s="1"/>
  <c r="H1862"/>
  <c r="H1861" s="1"/>
  <c r="H1859"/>
  <c r="H1858" s="1"/>
  <c r="H2268"/>
  <c r="H2267" s="1"/>
  <c r="H2265"/>
  <c r="H2263"/>
  <c r="H1841"/>
  <c r="H1839"/>
  <c r="H1835"/>
  <c r="H1834" s="1"/>
  <c r="H1833" s="1"/>
  <c r="H1831"/>
  <c r="H1830" s="1"/>
  <c r="H1813"/>
  <c r="H1812" s="1"/>
  <c r="H1811" s="1"/>
  <c r="H1810" s="1"/>
  <c r="H1809" s="1"/>
  <c r="H1808" s="1"/>
  <c r="H1779"/>
  <c r="H1778" s="1"/>
  <c r="H1773"/>
  <c r="H1772" s="1"/>
  <c r="H1770"/>
  <c r="H1769" s="1"/>
  <c r="H1754"/>
  <c r="H1753"/>
  <c r="H1752" s="1"/>
  <c r="H1747"/>
  <c r="H1746" s="1"/>
  <c r="H1744"/>
  <c r="H1743" s="1"/>
  <c r="H1740"/>
  <c r="H1739" s="1"/>
  <c r="H1738" s="1"/>
  <c r="H1713"/>
  <c r="H1712" s="1"/>
  <c r="H1711" s="1"/>
  <c r="H1469"/>
  <c r="H1468" s="1"/>
  <c r="H1467" s="1"/>
  <c r="H1466" s="1"/>
  <c r="H1463"/>
  <c r="H1462" s="1"/>
  <c r="H1449"/>
  <c r="H1446"/>
  <c r="H1445" s="1"/>
  <c r="H1371"/>
  <c r="H1370" s="1"/>
  <c r="H1369" s="1"/>
  <c r="H1361"/>
  <c r="H1332"/>
  <c r="H1326" s="1"/>
  <c r="H1325" s="1"/>
  <c r="H1257"/>
  <c r="H1255"/>
  <c r="H1243"/>
  <c r="H1242" s="1"/>
  <c r="H1235" s="1"/>
  <c r="H1219"/>
  <c r="H1218" s="1"/>
  <c r="H1206"/>
  <c r="H1205" s="1"/>
  <c r="H1201"/>
  <c r="H1200" s="1"/>
  <c r="H1199" s="1"/>
  <c r="H1198" s="1"/>
  <c r="G28" i="2" s="1"/>
  <c r="H1191" i="1"/>
  <c r="H1190" s="1"/>
  <c r="H1183"/>
  <c r="H1182" s="1"/>
  <c r="H1180"/>
  <c r="H1178"/>
  <c r="H1175"/>
  <c r="H1171"/>
  <c r="H1168"/>
  <c r="H1166"/>
  <c r="H1159"/>
  <c r="H1157"/>
  <c r="H1152"/>
  <c r="H1151" s="1"/>
  <c r="H1150"/>
  <c r="H1147"/>
  <c r="H1146" s="1"/>
  <c r="H1142" s="1"/>
  <c r="H1141" s="1"/>
  <c r="H1140" s="1"/>
  <c r="H1133"/>
  <c r="H1132" s="1"/>
  <c r="H1131" s="1"/>
  <c r="H1119"/>
  <c r="H1118" s="1"/>
  <c r="H1117" s="1"/>
  <c r="H1116" s="1"/>
  <c r="H1112"/>
  <c r="H1111" s="1"/>
  <c r="H1110" s="1"/>
  <c r="H1109" s="1"/>
  <c r="H1108" s="1"/>
  <c r="H1094"/>
  <c r="H1093" s="1"/>
  <c r="H1092" s="1"/>
  <c r="H1087"/>
  <c r="H1086" s="1"/>
  <c r="H1085" s="1"/>
  <c r="H1084" s="1"/>
  <c r="H1082"/>
  <c r="H1080"/>
  <c r="H1078"/>
  <c r="H1029"/>
  <c r="H1028" s="1"/>
  <c r="H1026"/>
  <c r="H1025" s="1"/>
  <c r="H1020"/>
  <c r="H1000"/>
  <c r="H998"/>
  <c r="H996"/>
  <c r="H934"/>
  <c r="H933" s="1"/>
  <c r="H940"/>
  <c r="H938"/>
  <c r="H936"/>
  <c r="H931"/>
  <c r="H929"/>
  <c r="H867"/>
  <c r="H866" s="1"/>
  <c r="H865" s="1"/>
  <c r="H860"/>
  <c r="H859" s="1"/>
  <c r="H846" s="1"/>
  <c r="H832"/>
  <c r="H831" s="1"/>
  <c r="H830" s="1"/>
  <c r="H819"/>
  <c r="H818" s="1"/>
  <c r="H815"/>
  <c r="H813"/>
  <c r="H812" s="1"/>
  <c r="H747"/>
  <c r="H746" s="1"/>
  <c r="H745" s="1"/>
  <c r="H743"/>
  <c r="H742" s="1"/>
  <c r="H741" s="1"/>
  <c r="H570" s="1"/>
  <c r="H733"/>
  <c r="H732" s="1"/>
  <c r="H676"/>
  <c r="H675" s="1"/>
  <c r="H736"/>
  <c r="H735" s="1"/>
  <c r="H627"/>
  <c r="H626" s="1"/>
  <c r="H587"/>
  <c r="H584" s="1"/>
  <c r="H582"/>
  <c r="H581" s="1"/>
  <c r="H578"/>
  <c r="H576"/>
  <c r="H575" s="1"/>
  <c r="H559"/>
  <c r="H558" s="1"/>
  <c r="H557" s="1"/>
  <c r="H543"/>
  <c r="H542" s="1"/>
  <c r="H540"/>
  <c r="H538"/>
  <c r="H537" s="1"/>
  <c r="H535"/>
  <c r="H534" s="1"/>
  <c r="H532"/>
  <c r="H531" s="1"/>
  <c r="H496"/>
  <c r="H495" s="1"/>
  <c r="H493"/>
  <c r="H492" s="1"/>
  <c r="H490"/>
  <c r="H489" s="1"/>
  <c r="H476"/>
  <c r="H426"/>
  <c r="H425" s="1"/>
  <c r="H423"/>
  <c r="H422" s="1"/>
  <c r="H406"/>
  <c r="H401"/>
  <c r="H399"/>
  <c r="H397"/>
  <c r="H365"/>
  <c r="H364" s="1"/>
  <c r="H1766"/>
  <c r="H1765" s="1"/>
  <c r="H357"/>
  <c r="H354" s="1"/>
  <c r="H353" s="1"/>
  <c r="H352" s="1"/>
  <c r="H241"/>
  <c r="H240" s="1"/>
  <c r="H237"/>
  <c r="H236" s="1"/>
  <c r="H234"/>
  <c r="H232"/>
  <c r="H231" s="1"/>
  <c r="H223"/>
  <c r="H218"/>
  <c r="H217" s="1"/>
  <c r="H170"/>
  <c r="H169" s="1"/>
  <c r="H122"/>
  <c r="H113" s="1"/>
  <c r="H99"/>
  <c r="H98" s="1"/>
  <c r="H39"/>
  <c r="H38" s="1"/>
  <c r="H34" s="1"/>
  <c r="H27"/>
  <c r="G609" i="3"/>
  <c r="G2056" i="1"/>
  <c r="G2055" s="1"/>
  <c r="G1485" i="3"/>
  <c r="G2263" i="1"/>
  <c r="G605" i="3"/>
  <c r="G518" s="1"/>
  <c r="G540" i="1"/>
  <c r="G703" i="3"/>
  <c r="G27" i="1"/>
  <c r="G2067"/>
  <c r="G2066" s="1"/>
  <c r="G25" i="3"/>
  <c r="G450" i="1" l="1"/>
  <c r="G449" s="1"/>
  <c r="H565"/>
  <c r="I1052" i="3"/>
  <c r="H1052"/>
  <c r="I150" i="1"/>
  <c r="I132" s="1"/>
  <c r="H150"/>
  <c r="H132" s="1"/>
  <c r="H1829"/>
  <c r="H2241"/>
  <c r="H2238" s="1"/>
  <c r="H2237" s="1"/>
  <c r="I1829"/>
  <c r="I2241"/>
  <c r="I2238" s="1"/>
  <c r="I2237" s="1"/>
  <c r="I2262"/>
  <c r="I2260" s="1"/>
  <c r="I2258" s="1"/>
  <c r="H1742"/>
  <c r="H1716" s="1"/>
  <c r="G59" i="2" s="1"/>
  <c r="I1742" i="1"/>
  <c r="I1716" s="1"/>
  <c r="H59" i="2" s="1"/>
  <c r="I1345" i="3"/>
  <c r="H1345"/>
  <c r="H1156" i="1"/>
  <c r="I1156"/>
  <c r="G1102" i="3"/>
  <c r="G1101" s="1"/>
  <c r="I142"/>
  <c r="I143"/>
  <c r="H142"/>
  <c r="H143"/>
  <c r="I811" i="1"/>
  <c r="I810" s="1"/>
  <c r="I809" s="1"/>
  <c r="H811"/>
  <c r="H810" s="1"/>
  <c r="H809" s="1"/>
  <c r="H995"/>
  <c r="I995"/>
  <c r="I1204"/>
  <c r="H1204"/>
  <c r="H633" i="3"/>
  <c r="I633"/>
  <c r="I488" i="1"/>
  <c r="I487" s="1"/>
  <c r="I486" s="1"/>
  <c r="H488"/>
  <c r="H487" s="1"/>
  <c r="H486" s="1"/>
  <c r="H1189"/>
  <c r="H1188" s="1"/>
  <c r="G25" i="2" s="1"/>
  <c r="I1189" i="1"/>
  <c r="I1188" s="1"/>
  <c r="H25" i="2" s="1"/>
  <c r="H405" i="1"/>
  <c r="H404" s="1"/>
  <c r="H403" s="1"/>
  <c r="H22" i="2"/>
  <c r="G22"/>
  <c r="I1977" i="1"/>
  <c r="I1976" s="1"/>
  <c r="H43" i="2" s="1"/>
  <c r="H34"/>
  <c r="I1386" i="1"/>
  <c r="I1385" s="1"/>
  <c r="H1386"/>
  <c r="H1385" s="1"/>
  <c r="H2106"/>
  <c r="I2106"/>
  <c r="I1024"/>
  <c r="I1023" s="1"/>
  <c r="I1022" s="1"/>
  <c r="H1360"/>
  <c r="I1360"/>
  <c r="I1359" s="1"/>
  <c r="I1358" s="1"/>
  <c r="H35" i="2" s="1"/>
  <c r="I421" i="1"/>
  <c r="M1211" i="3"/>
  <c r="I1854" i="1"/>
  <c r="I1853" s="1"/>
  <c r="I1852" s="1"/>
  <c r="H1024"/>
  <c r="H1023" s="1"/>
  <c r="H1022" s="1"/>
  <c r="H1854"/>
  <c r="H1853" s="1"/>
  <c r="H1852" s="1"/>
  <c r="I209" i="3"/>
  <c r="H209"/>
  <c r="I123" i="1"/>
  <c r="I122" s="1"/>
  <c r="I113" s="1"/>
  <c r="I24"/>
  <c r="I23" s="1"/>
  <c r="I22" s="1"/>
  <c r="H24"/>
  <c r="H23" s="1"/>
  <c r="H22" s="1"/>
  <c r="G24"/>
  <c r="G23" s="1"/>
  <c r="G22" s="1"/>
  <c r="H699" i="3"/>
  <c r="H698" s="1"/>
  <c r="I699"/>
  <c r="I698" s="1"/>
  <c r="H59"/>
  <c r="H58" s="1"/>
  <c r="I59"/>
  <c r="I58" s="1"/>
  <c r="I1470"/>
  <c r="H1470"/>
  <c r="H1100"/>
  <c r="I1100"/>
  <c r="I1089"/>
  <c r="I1088" s="1"/>
  <c r="H1089"/>
  <c r="H1088" s="1"/>
  <c r="H1948" i="1"/>
  <c r="H1947" s="1"/>
  <c r="G42" i="2" s="1"/>
  <c r="I1948" i="1"/>
  <c r="I1947" s="1"/>
  <c r="H42" i="2" s="1"/>
  <c r="I1939" i="1"/>
  <c r="I1938" s="1"/>
  <c r="I1937" s="1"/>
  <c r="H1939"/>
  <c r="H1938" s="1"/>
  <c r="I1838"/>
  <c r="I1837" s="1"/>
  <c r="H2262"/>
  <c r="H2260" s="1"/>
  <c r="H2258" s="1"/>
  <c r="H1838"/>
  <c r="H1837" s="1"/>
  <c r="H1768"/>
  <c r="I1768"/>
  <c r="H1448"/>
  <c r="H1444" s="1"/>
  <c r="I1448"/>
  <c r="I1444" s="1"/>
  <c r="H1481" i="3"/>
  <c r="H1480" s="1"/>
  <c r="H1253" i="1"/>
  <c r="I1481" i="3"/>
  <c r="I1480" s="1"/>
  <c r="I1253" i="1"/>
  <c r="H1077"/>
  <c r="H1076" s="1"/>
  <c r="H1075" s="1"/>
  <c r="H1069" s="1"/>
  <c r="I1077"/>
  <c r="I1076" s="1"/>
  <c r="I1075" s="1"/>
  <c r="I1069" s="1"/>
  <c r="G371"/>
  <c r="G369" s="1"/>
  <c r="G368" s="1"/>
  <c r="F62" i="2" s="1"/>
  <c r="H475" i="1"/>
  <c r="H474" s="1"/>
  <c r="H473" s="1"/>
  <c r="H472" s="1"/>
  <c r="I1082" i="3"/>
  <c r="I475" i="1"/>
  <c r="I474" s="1"/>
  <c r="I473" s="1"/>
  <c r="I472" s="1"/>
  <c r="H1082" i="3"/>
  <c r="I138"/>
  <c r="H138"/>
  <c r="I1463"/>
  <c r="I1462" s="1"/>
  <c r="H1463"/>
  <c r="H1462" s="1"/>
  <c r="I1513"/>
  <c r="H1513"/>
  <c r="I1259" i="1"/>
  <c r="I369"/>
  <c r="I368" s="1"/>
  <c r="H62" i="2" s="1"/>
  <c r="H899" i="3"/>
  <c r="H782" s="1"/>
  <c r="I899"/>
  <c r="I782" s="1"/>
  <c r="I22"/>
  <c r="H22"/>
  <c r="H1764" i="1"/>
  <c r="I1764"/>
  <c r="H444" i="3"/>
  <c r="I444"/>
  <c r="I48"/>
  <c r="I32" s="1"/>
  <c r="H1294" i="1"/>
  <c r="H1293" s="1"/>
  <c r="H1259"/>
  <c r="I1294"/>
  <c r="I1293" s="1"/>
  <c r="H48" i="3"/>
  <c r="H32" s="1"/>
  <c r="G34" i="2"/>
  <c r="H1107" i="1"/>
  <c r="G65" i="2"/>
  <c r="G64" s="1"/>
  <c r="I1107" i="1"/>
  <c r="H65" i="2"/>
  <c r="H64" s="1"/>
  <c r="I1546" i="3"/>
  <c r="I1545" s="1"/>
  <c r="H1124"/>
  <c r="I1124"/>
  <c r="H1130" i="1"/>
  <c r="H1129" s="1"/>
  <c r="G69" i="2" s="1"/>
  <c r="I1130" i="1"/>
  <c r="I1129" s="1"/>
  <c r="H69" i="2" s="1"/>
  <c r="I1437" i="3"/>
  <c r="H1019" i="1"/>
  <c r="H1018" s="1"/>
  <c r="H1017" s="1"/>
  <c r="G58" i="2" s="1"/>
  <c r="I1019" i="1"/>
  <c r="I1018" s="1"/>
  <c r="I1017" s="1"/>
  <c r="H58" i="2" s="1"/>
  <c r="I1156" i="3"/>
  <c r="I1461"/>
  <c r="I1460" s="1"/>
  <c r="I1459" s="1"/>
  <c r="I1458" s="1"/>
  <c r="H239" i="1"/>
  <c r="H1156" i="3"/>
  <c r="H1461"/>
  <c r="H1460" s="1"/>
  <c r="H1459" s="1"/>
  <c r="H1458" s="1"/>
  <c r="I1484"/>
  <c r="I1461" i="1"/>
  <c r="I1465"/>
  <c r="H1559" i="3"/>
  <c r="H1562" s="1"/>
  <c r="I1559"/>
  <c r="I1562" s="1"/>
  <c r="I928" i="1"/>
  <c r="I927" s="1"/>
  <c r="H1165"/>
  <c r="I396"/>
  <c r="I395" s="1"/>
  <c r="I394" s="1"/>
  <c r="H1076" i="3"/>
  <c r="H1075" s="1"/>
  <c r="I1076"/>
  <c r="I1075" s="1"/>
  <c r="H1484"/>
  <c r="H729"/>
  <c r="H396" i="1"/>
  <c r="H395" s="1"/>
  <c r="H394" s="1"/>
  <c r="H1461"/>
  <c r="H2058"/>
  <c r="H2054" s="1"/>
  <c r="H2053" s="1"/>
  <c r="G44" i="2" s="1"/>
  <c r="H1442" i="3"/>
  <c r="I729"/>
  <c r="I1442"/>
  <c r="H1437"/>
  <c r="H1544"/>
  <c r="H1177" i="1"/>
  <c r="I1177"/>
  <c r="H1170"/>
  <c r="I239"/>
  <c r="H1091"/>
  <c r="H1090" s="1"/>
  <c r="H928"/>
  <c r="H927" s="1"/>
  <c r="H1465"/>
  <c r="I1165"/>
  <c r="H1989"/>
  <c r="H1977" s="1"/>
  <c r="I403"/>
  <c r="I1170"/>
  <c r="I2058"/>
  <c r="I2054" s="1"/>
  <c r="I2053" s="1"/>
  <c r="H44" i="2" s="1"/>
  <c r="I96" i="1"/>
  <c r="I33" s="1"/>
  <c r="I97"/>
  <c r="I1091"/>
  <c r="I1090" s="1"/>
  <c r="H96"/>
  <c r="H33" s="1"/>
  <c r="H97"/>
  <c r="G1215" i="3"/>
  <c r="G1214" s="1"/>
  <c r="G1440"/>
  <c r="G1438"/>
  <c r="G1175" i="1"/>
  <c r="G1171"/>
  <c r="G832"/>
  <c r="G31" i="3"/>
  <c r="G30" s="1"/>
  <c r="G29" s="1"/>
  <c r="G476" i="1"/>
  <c r="G604" i="3"/>
  <c r="G603" s="1"/>
  <c r="G736" i="1"/>
  <c r="G735" s="1"/>
  <c r="G635" i="3"/>
  <c r="G24"/>
  <c r="G23" s="1"/>
  <c r="G1766" i="1"/>
  <c r="G1765" s="1"/>
  <c r="G241"/>
  <c r="G239" s="1"/>
  <c r="G972" i="3"/>
  <c r="G971" s="1"/>
  <c r="G232" i="1"/>
  <c r="G231" s="1"/>
  <c r="G1257"/>
  <c r="H1828" l="1"/>
  <c r="H1827" s="1"/>
  <c r="G23" i="2" s="1"/>
  <c r="H1510" i="3"/>
  <c r="H1506" s="1"/>
  <c r="I1510"/>
  <c r="I1506" s="1"/>
  <c r="I1828" i="1"/>
  <c r="I1827" s="1"/>
  <c r="H23" i="2" s="1"/>
  <c r="I1114" i="1"/>
  <c r="H1114"/>
  <c r="I1762"/>
  <c r="H60" i="2" s="1"/>
  <c r="H1762" i="1"/>
  <c r="G60" i="2" s="1"/>
  <c r="I994" i="1"/>
  <c r="I979" s="1"/>
  <c r="H994"/>
  <c r="H979" s="1"/>
  <c r="H201" i="3"/>
  <c r="I201"/>
  <c r="I1468"/>
  <c r="H1468"/>
  <c r="I2270" i="1"/>
  <c r="H2270"/>
  <c r="H1443"/>
  <c r="I1443"/>
  <c r="H393"/>
  <c r="G22" i="3"/>
  <c r="H1937" i="1"/>
  <c r="H1851" s="1"/>
  <c r="H1359"/>
  <c r="H1358" s="1"/>
  <c r="G35" i="2" s="1"/>
  <c r="H1384" i="1"/>
  <c r="H1383"/>
  <c r="G38" i="2" s="1"/>
  <c r="I1384" i="1"/>
  <c r="I1383"/>
  <c r="H38" i="2" s="1"/>
  <c r="I32" i="1"/>
  <c r="J1130" i="3"/>
  <c r="I730"/>
  <c r="I1068" i="1"/>
  <c r="I1067" s="1"/>
  <c r="H1068"/>
  <c r="H1067" s="1"/>
  <c r="I1074"/>
  <c r="H26" i="2" s="1"/>
  <c r="H1074" i="1"/>
  <c r="G26" i="2" s="1"/>
  <c r="I443" i="3"/>
  <c r="H443"/>
  <c r="I2105" i="1"/>
  <c r="H1976"/>
  <c r="G43" i="2" s="1"/>
  <c r="I1479" i="3"/>
  <c r="I1478" s="1"/>
  <c r="H1479"/>
  <c r="H1478" s="1"/>
  <c r="I1155" i="1"/>
  <c r="I1154" s="1"/>
  <c r="I1149" s="1"/>
  <c r="H1155"/>
  <c r="H1154" s="1"/>
  <c r="H1149" s="1"/>
  <c r="H50" i="2"/>
  <c r="G50"/>
  <c r="H1252" i="1"/>
  <c r="H1251" s="1"/>
  <c r="H1203" s="1"/>
  <c r="I1252"/>
  <c r="I1251" s="1"/>
  <c r="I1203" s="1"/>
  <c r="G475"/>
  <c r="G474" s="1"/>
  <c r="G473" s="1"/>
  <c r="G472" s="1"/>
  <c r="H1422" i="3"/>
  <c r="H1414" s="1"/>
  <c r="I1422"/>
  <c r="I1414" s="1"/>
  <c r="G51" i="2"/>
  <c r="H1487" i="3"/>
  <c r="I1487"/>
  <c r="G33" i="2"/>
  <c r="I393" i="1"/>
  <c r="I926"/>
  <c r="I925" s="1"/>
  <c r="H52" i="2" s="1"/>
  <c r="G56"/>
  <c r="G49"/>
  <c r="H56"/>
  <c r="H420" i="1"/>
  <c r="H414" s="1"/>
  <c r="I1292"/>
  <c r="H1155" i="3"/>
  <c r="H1154" s="1"/>
  <c r="H1150" s="1"/>
  <c r="I1155"/>
  <c r="I1154" s="1"/>
  <c r="H1453"/>
  <c r="I1016" i="1"/>
  <c r="I1089"/>
  <c r="H31" i="2"/>
  <c r="H30" s="1"/>
  <c r="H1016" i="1"/>
  <c r="H1089"/>
  <c r="G31" i="2"/>
  <c r="G30" s="1"/>
  <c r="H21" i="1"/>
  <c r="I21"/>
  <c r="H2105"/>
  <c r="H33" i="2"/>
  <c r="H32" s="1"/>
  <c r="H926" i="1"/>
  <c r="H925" s="1"/>
  <c r="G52" i="2" s="1"/>
  <c r="H49"/>
  <c r="I1453" i="3"/>
  <c r="I420" i="1"/>
  <c r="H1087" i="3"/>
  <c r="H202"/>
  <c r="I1087"/>
  <c r="I1826" i="1"/>
  <c r="I1843" s="1"/>
  <c r="I1115"/>
  <c r="H67" i="2" s="1"/>
  <c r="H66" s="1"/>
  <c r="H1826" i="1"/>
  <c r="H1843" s="1"/>
  <c r="H1115"/>
  <c r="G67" i="2" s="1"/>
  <c r="G66" s="1"/>
  <c r="G365" i="1"/>
  <c r="G364" s="1"/>
  <c r="G1764" s="1"/>
  <c r="G642" i="3"/>
  <c r="G1437"/>
  <c r="G934" i="1"/>
  <c r="G933" s="1"/>
  <c r="G1170"/>
  <c r="G240"/>
  <c r="G1095" i="3"/>
  <c r="G1094" s="1"/>
  <c r="G1082" i="1"/>
  <c r="G1446"/>
  <c r="G1445" s="1"/>
  <c r="G831"/>
  <c r="G830" s="1"/>
  <c r="H20" i="3" l="1"/>
  <c r="H1710" i="1"/>
  <c r="H977"/>
  <c r="G53" i="2" s="1"/>
  <c r="I977" i="1"/>
  <c r="I1150" i="3"/>
  <c r="I20" s="1"/>
  <c r="I1710" i="1"/>
  <c r="H463"/>
  <c r="H2104"/>
  <c r="G47" i="2"/>
  <c r="G46" s="1"/>
  <c r="I2104" i="1"/>
  <c r="H47" i="2"/>
  <c r="H46" s="1"/>
  <c r="H1386" i="3"/>
  <c r="I1386"/>
  <c r="I1139" i="1"/>
  <c r="H1139"/>
  <c r="H1377"/>
  <c r="I1377"/>
  <c r="G32" i="2"/>
  <c r="J1098" i="3"/>
  <c r="H1066" i="1"/>
  <c r="H1137" s="1"/>
  <c r="I1066"/>
  <c r="I1137" s="1"/>
  <c r="H39" i="2"/>
  <c r="G39"/>
  <c r="H55"/>
  <c r="H54" s="1"/>
  <c r="G55"/>
  <c r="G54" s="1"/>
  <c r="G40"/>
  <c r="H1292" i="1"/>
  <c r="H40" i="2"/>
  <c r="H41"/>
  <c r="I1946" i="1"/>
  <c r="G41" i="2"/>
  <c r="H1946" i="1"/>
  <c r="H367"/>
  <c r="G61" i="2"/>
  <c r="I367" i="1"/>
  <c r="H61" i="2"/>
  <c r="G57"/>
  <c r="I202" i="3"/>
  <c r="H57" i="2"/>
  <c r="H51"/>
  <c r="I414" i="1"/>
  <c r="I463" s="1"/>
  <c r="H32"/>
  <c r="G549" i="3"/>
  <c r="G548" s="1"/>
  <c r="H53" i="2" l="1"/>
  <c r="H48" s="1"/>
  <c r="I485" i="1"/>
  <c r="I1064" s="1"/>
  <c r="H485"/>
  <c r="H1064" s="1"/>
  <c r="I1815"/>
  <c r="I1552" i="3"/>
  <c r="H1815" i="1"/>
  <c r="H1552" i="3"/>
  <c r="G36" i="2"/>
  <c r="H36"/>
  <c r="H24"/>
  <c r="G24"/>
  <c r="G29"/>
  <c r="H29"/>
  <c r="I131" i="1"/>
  <c r="H131"/>
  <c r="H388" s="1"/>
  <c r="H2154"/>
  <c r="G48" i="2"/>
  <c r="H2271" i="1" l="1"/>
  <c r="G21" i="2"/>
  <c r="G70" s="1"/>
  <c r="H21"/>
  <c r="H70" s="1"/>
  <c r="I388" i="1"/>
  <c r="I1851"/>
  <c r="I2154" s="1"/>
  <c r="I1557" i="3"/>
  <c r="H1557"/>
  <c r="G204"/>
  <c r="G203" s="1"/>
  <c r="G99" i="1"/>
  <c r="G98" s="1"/>
  <c r="G144" i="3"/>
  <c r="G907"/>
  <c r="G906" s="1"/>
  <c r="G223" i="1"/>
  <c r="G1210" i="3"/>
  <c r="G2061" i="1"/>
  <c r="G1989"/>
  <c r="G1990"/>
  <c r="H2276" l="1"/>
  <c r="G94" i="2"/>
  <c r="H1580" i="3"/>
  <c r="G74" i="2"/>
  <c r="I2271" i="1"/>
  <c r="G142" i="3"/>
  <c r="G143"/>
  <c r="H72" i="2"/>
  <c r="G72"/>
  <c r="H1561" i="3"/>
  <c r="G97" i="1"/>
  <c r="G96"/>
  <c r="I2276" l="1"/>
  <c r="I1580" i="3"/>
  <c r="H74" i="2"/>
  <c r="H94"/>
  <c r="I1561" i="3"/>
  <c r="G1080"/>
  <c r="G747" i="1"/>
  <c r="G746" s="1"/>
  <c r="G745" s="1"/>
  <c r="G1436" i="3" l="1"/>
  <c r="G1435" s="1"/>
  <c r="G1434"/>
  <c r="G1433" s="1"/>
  <c r="G1446"/>
  <c r="G1445" s="1"/>
  <c r="G1444"/>
  <c r="G1443" s="1"/>
  <c r="G1178" i="1"/>
  <c r="G1177" s="1"/>
  <c r="G447" i="3"/>
  <c r="G446" s="1"/>
  <c r="G627" i="1"/>
  <c r="G54" i="3"/>
  <c r="G53" s="1"/>
  <c r="G50"/>
  <c r="G49" s="1"/>
  <c r="G1219" i="1"/>
  <c r="G1218" s="1"/>
  <c r="G1168"/>
  <c r="G1166"/>
  <c r="G237"/>
  <c r="G236" s="1"/>
  <c r="G235" s="1"/>
  <c r="G1486" i="3"/>
  <c r="G1484" s="1"/>
  <c r="G48" l="1"/>
  <c r="G626" i="1"/>
  <c r="G1442" i="3"/>
  <c r="G1432"/>
  <c r="G1165" i="1"/>
  <c r="G1087"/>
  <c r="G1086" s="1"/>
  <c r="G1085" s="1"/>
  <c r="G1084" s="1"/>
  <c r="G532"/>
  <c r="G531" s="1"/>
  <c r="G543"/>
  <c r="G542" s="1"/>
  <c r="G860"/>
  <c r="G859" s="1"/>
  <c r="G846" s="1"/>
  <c r="G35" i="3"/>
  <c r="G34" s="1"/>
  <c r="G33" s="1"/>
  <c r="G32" l="1"/>
  <c r="G1206" i="1"/>
  <c r="G1205" s="1"/>
  <c r="G1204" s="1"/>
  <c r="G1236" i="3" l="1"/>
  <c r="G1235" s="1"/>
  <c r="G1469" i="1"/>
  <c r="G1468" s="1"/>
  <c r="G1467" s="1"/>
  <c r="G1466" s="1"/>
  <c r="G734" i="3"/>
  <c r="G732" s="1"/>
  <c r="G737"/>
  <c r="G736" s="1"/>
  <c r="G2117" i="1"/>
  <c r="G2116" s="1"/>
  <c r="G2114"/>
  <c r="G2113" s="1"/>
  <c r="G217" l="1"/>
  <c r="G39"/>
  <c r="G38" s="1"/>
  <c r="G34" s="1"/>
  <c r="G386" i="3"/>
  <c r="G678"/>
  <c r="G1091"/>
  <c r="G1090" s="1"/>
  <c r="G218"/>
  <c r="G217" s="1"/>
  <c r="G244"/>
  <c r="G243" s="1"/>
  <c r="G240" s="1"/>
  <c r="G239" s="1"/>
  <c r="G215"/>
  <c r="G1421"/>
  <c r="G1420" s="1"/>
  <c r="G1419" s="1"/>
  <c r="G1415" s="1"/>
  <c r="G1425"/>
  <c r="G1424" s="1"/>
  <c r="G1427"/>
  <c r="G1426" s="1"/>
  <c r="G1431"/>
  <c r="G1430" s="1"/>
  <c r="G1449"/>
  <c r="G1448" s="1"/>
  <c r="G1447" s="1"/>
  <c r="G1457"/>
  <c r="G1456" s="1"/>
  <c r="G1455" s="1"/>
  <c r="G1454" s="1"/>
  <c r="G1461"/>
  <c r="G1460" s="1"/>
  <c r="G1459" s="1"/>
  <c r="G1458" s="1"/>
  <c r="G1465"/>
  <c r="G1464" s="1"/>
  <c r="G1467"/>
  <c r="G1466" s="1"/>
  <c r="G1477"/>
  <c r="G1476" s="1"/>
  <c r="G1475" s="1"/>
  <c r="G1468" s="1"/>
  <c r="G1481"/>
  <c r="G1480" s="1"/>
  <c r="G1483"/>
  <c r="G1482" s="1"/>
  <c r="G1491"/>
  <c r="G1488" s="1"/>
  <c r="G1547"/>
  <c r="G1544" s="1"/>
  <c r="G220"/>
  <c r="G194"/>
  <c r="G61"/>
  <c r="G60" s="1"/>
  <c r="G63"/>
  <c r="G62" s="1"/>
  <c r="G65"/>
  <c r="G64" s="1"/>
  <c r="G68"/>
  <c r="G67" s="1"/>
  <c r="G66" s="1"/>
  <c r="G74"/>
  <c r="G73" s="1"/>
  <c r="G72" s="1"/>
  <c r="G77"/>
  <c r="G76" s="1"/>
  <c r="G75" s="1"/>
  <c r="G141"/>
  <c r="G140" s="1"/>
  <c r="G139" s="1"/>
  <c r="G147"/>
  <c r="G373"/>
  <c r="G392"/>
  <c r="G398"/>
  <c r="G397" s="1"/>
  <c r="G396" s="1"/>
  <c r="G441"/>
  <c r="G440" s="1"/>
  <c r="G559"/>
  <c r="G558" s="1"/>
  <c r="G867" i="1"/>
  <c r="G866" s="1"/>
  <c r="G865" s="1"/>
  <c r="G680" i="3"/>
  <c r="G679" s="1"/>
  <c r="G622"/>
  <c r="G621" s="1"/>
  <c r="G634"/>
  <c r="G641"/>
  <c r="G640" s="1"/>
  <c r="G636"/>
  <c r="G702"/>
  <c r="G1000"/>
  <c r="G999" s="1"/>
  <c r="G998" s="1"/>
  <c r="G818"/>
  <c r="G817" s="1"/>
  <c r="G816" s="1"/>
  <c r="G785"/>
  <c r="G784" s="1"/>
  <c r="G783" s="1"/>
  <c r="G807"/>
  <c r="G806" s="1"/>
  <c r="G805" s="1"/>
  <c r="G814"/>
  <c r="G813" s="1"/>
  <c r="G901"/>
  <c r="G900" s="1"/>
  <c r="G905"/>
  <c r="G904" s="1"/>
  <c r="G357" i="1"/>
  <c r="G354" s="1"/>
  <c r="G353" s="1"/>
  <c r="G352" s="1"/>
  <c r="G345" s="1"/>
  <c r="G1030" i="3"/>
  <c r="G1029" s="1"/>
  <c r="G1028" s="1"/>
  <c r="G1051"/>
  <c r="G1050" s="1"/>
  <c r="G1057"/>
  <c r="G1056" s="1"/>
  <c r="G1052" s="1"/>
  <c r="G1068"/>
  <c r="G1078"/>
  <c r="G1077" s="1"/>
  <c r="G1079"/>
  <c r="G1093"/>
  <c r="G1092" s="1"/>
  <c r="G1813" i="1"/>
  <c r="G1812" s="1"/>
  <c r="G1811" s="1"/>
  <c r="G1113" i="3"/>
  <c r="G1116"/>
  <c r="G1115" s="1"/>
  <c r="G1114" s="1"/>
  <c r="G1127"/>
  <c r="G1190"/>
  <c r="G1189" s="1"/>
  <c r="G1207"/>
  <c r="G1209"/>
  <c r="G1221"/>
  <c r="G1220" s="1"/>
  <c r="G1227"/>
  <c r="G1226" s="1"/>
  <c r="G1233"/>
  <c r="G1232" s="1"/>
  <c r="G1169"/>
  <c r="G1168" s="1"/>
  <c r="G1171"/>
  <c r="G1170" s="1"/>
  <c r="G1173"/>
  <c r="G1172" s="1"/>
  <c r="G1212"/>
  <c r="G1184"/>
  <c r="G1181" s="1"/>
  <c r="G1347"/>
  <c r="G1346" s="1"/>
  <c r="G1351"/>
  <c r="G1350" s="1"/>
  <c r="G1349" s="1"/>
  <c r="G1354"/>
  <c r="G1353" s="1"/>
  <c r="G1352" s="1"/>
  <c r="G1360"/>
  <c r="G1369"/>
  <c r="G1368" s="1"/>
  <c r="G1367" s="1"/>
  <c r="G1363"/>
  <c r="G1362" s="1"/>
  <c r="G1361" s="1"/>
  <c r="G1156"/>
  <c r="G1162"/>
  <c r="G1161" s="1"/>
  <c r="G1160" s="1"/>
  <c r="G815" i="1"/>
  <c r="G813"/>
  <c r="G812" s="1"/>
  <c r="G167"/>
  <c r="G166" s="1"/>
  <c r="G170"/>
  <c r="G169" s="1"/>
  <c r="G582"/>
  <c r="G581" s="1"/>
  <c r="G587"/>
  <c r="G584" s="1"/>
  <c r="G743"/>
  <c r="G742" s="1"/>
  <c r="G741" s="1"/>
  <c r="G570" s="1"/>
  <c r="G565" s="1"/>
  <c r="G676"/>
  <c r="G675" s="1"/>
  <c r="G733"/>
  <c r="G776" s="1"/>
  <c r="G775" s="1"/>
  <c r="G490"/>
  <c r="G489" s="1"/>
  <c r="G493"/>
  <c r="G492" s="1"/>
  <c r="G535"/>
  <c r="G534" s="1"/>
  <c r="G538"/>
  <c r="G537" s="1"/>
  <c r="G1255"/>
  <c r="G1944"/>
  <c r="G1449"/>
  <c r="G1463"/>
  <c r="G1462" s="1"/>
  <c r="G423"/>
  <c r="G422" s="1"/>
  <c r="G426"/>
  <c r="G425" s="1"/>
  <c r="G1361"/>
  <c r="G1360" s="1"/>
  <c r="G1359" s="1"/>
  <c r="G1371"/>
  <c r="G1370" s="1"/>
  <c r="G1369" s="1"/>
  <c r="G1157"/>
  <c r="G1159"/>
  <c r="G1078"/>
  <c r="G1080"/>
  <c r="G1094"/>
  <c r="G1093" s="1"/>
  <c r="G1112"/>
  <c r="G1111" s="1"/>
  <c r="G1110" s="1"/>
  <c r="G1109" s="1"/>
  <c r="G1108" s="1"/>
  <c r="G1107" s="1"/>
  <c r="G1119"/>
  <c r="G1118" s="1"/>
  <c r="G1117" s="1"/>
  <c r="G1116" s="1"/>
  <c r="G1133"/>
  <c r="G1132" s="1"/>
  <c r="G1191"/>
  <c r="G1190" s="1"/>
  <c r="G1859"/>
  <c r="G1858" s="1"/>
  <c r="G1862"/>
  <c r="G1861" s="1"/>
  <c r="G1979"/>
  <c r="G1950"/>
  <c r="G1949" s="1"/>
  <c r="G1953"/>
  <c r="G1952" s="1"/>
  <c r="G1956"/>
  <c r="G1955" s="1"/>
  <c r="G2059"/>
  <c r="G2064"/>
  <c r="G2063" s="1"/>
  <c r="G2119"/>
  <c r="G2106" s="1"/>
  <c r="G1747"/>
  <c r="G1746" s="1"/>
  <c r="G1740"/>
  <c r="G1739" s="1"/>
  <c r="G1738" s="1"/>
  <c r="G1753"/>
  <c r="G1752" s="1"/>
  <c r="G1779"/>
  <c r="G1778" s="1"/>
  <c r="G1147"/>
  <c r="G1146" s="1"/>
  <c r="G1183"/>
  <c r="G1182" s="1"/>
  <c r="G1150"/>
  <c r="G1201"/>
  <c r="G1200" s="1"/>
  <c r="G1199" s="1"/>
  <c r="G1198" s="1"/>
  <c r="F28" i="2" s="1"/>
  <c r="G1243" i="1"/>
  <c r="G1242" s="1"/>
  <c r="G1235" s="1"/>
  <c r="G1386"/>
  <c r="G1385" s="1"/>
  <c r="G397"/>
  <c r="G399"/>
  <c r="G406"/>
  <c r="G405" s="1"/>
  <c r="G404" s="1"/>
  <c r="G403" s="1"/>
  <c r="G559"/>
  <c r="G929"/>
  <c r="G931"/>
  <c r="G936"/>
  <c r="G940"/>
  <c r="G939" s="1"/>
  <c r="G639" i="3" s="1"/>
  <c r="G638" s="1"/>
  <c r="G996" i="1"/>
  <c r="G998"/>
  <c r="G1020"/>
  <c r="G1019" s="1"/>
  <c r="G1018" s="1"/>
  <c r="G1017" s="1"/>
  <c r="G1029"/>
  <c r="G1028" s="1"/>
  <c r="G1026"/>
  <c r="G1025" s="1"/>
  <c r="G1831"/>
  <c r="G1830" s="1"/>
  <c r="G1835"/>
  <c r="G1839"/>
  <c r="G1841"/>
  <c r="G2265"/>
  <c r="G2262" s="1"/>
  <c r="G2260" s="1"/>
  <c r="G1942"/>
  <c r="G1770"/>
  <c r="G1769" s="1"/>
  <c r="G378" i="3"/>
  <c r="G377" s="1"/>
  <c r="G1754" i="1"/>
  <c r="G2120"/>
  <c r="G401"/>
  <c r="G1152"/>
  <c r="G1151" s="1"/>
  <c r="G903" i="3"/>
  <c r="G902" s="1"/>
  <c r="G1744" i="1"/>
  <c r="G1743" s="1"/>
  <c r="G1714"/>
  <c r="G1713" s="1"/>
  <c r="G1712" s="1"/>
  <c r="G1711" s="1"/>
  <c r="G576"/>
  <c r="G575" s="1"/>
  <c r="G819"/>
  <c r="G818" s="1"/>
  <c r="G1834" l="1"/>
  <c r="G1833" s="1"/>
  <c r="G150"/>
  <c r="G132" s="1"/>
  <c r="G1742"/>
  <c r="G1716" s="1"/>
  <c r="G1024"/>
  <c r="G1023" s="1"/>
  <c r="G1022" s="1"/>
  <c r="G1358"/>
  <c r="G1829"/>
  <c r="G2241"/>
  <c r="G2238" s="1"/>
  <c r="G2237" s="1"/>
  <c r="G1142"/>
  <c r="G1141" s="1"/>
  <c r="G1140" s="1"/>
  <c r="F22" i="2" s="1"/>
  <c r="G1423" i="3"/>
  <c r="G1422" s="1"/>
  <c r="G1156" i="1"/>
  <c r="G1155" s="1"/>
  <c r="G784"/>
  <c r="G783" s="1"/>
  <c r="G774"/>
  <c r="G773" s="1"/>
  <c r="G558"/>
  <c r="G557" s="1"/>
  <c r="G811"/>
  <c r="G810" s="1"/>
  <c r="G809" s="1"/>
  <c r="G1211" i="3"/>
  <c r="G1189" i="1"/>
  <c r="G1188" s="1"/>
  <c r="F25" i="2" s="1"/>
  <c r="G1810" i="1"/>
  <c r="G1809" s="1"/>
  <c r="G1808" s="1"/>
  <c r="I64" i="2" s="1"/>
  <c r="G33" i="1"/>
  <c r="G421"/>
  <c r="G146" i="3"/>
  <c r="G145" s="1"/>
  <c r="G138" s="1"/>
  <c r="G1487"/>
  <c r="F58" i="2"/>
  <c r="G1049" i="3"/>
  <c r="G1048" s="1"/>
  <c r="G1047" s="1"/>
  <c r="J1046"/>
  <c r="G1978" i="1"/>
  <c r="G1977" s="1"/>
  <c r="G732"/>
  <c r="G1384"/>
  <c r="G1854"/>
  <c r="G1077"/>
  <c r="G1076" s="1"/>
  <c r="G1075" s="1"/>
  <c r="G699" i="3"/>
  <c r="G698" s="1"/>
  <c r="G1098"/>
  <c r="G1097" s="1"/>
  <c r="G1096" s="1"/>
  <c r="G1167"/>
  <c r="G1100"/>
  <c r="G1089"/>
  <c r="G1088" s="1"/>
  <c r="G1939" i="1"/>
  <c r="G1938" s="1"/>
  <c r="G1937" s="1"/>
  <c r="G1948"/>
  <c r="G1838"/>
  <c r="G1837" s="1"/>
  <c r="G1448"/>
  <c r="G1444" s="1"/>
  <c r="G1131"/>
  <c r="G1130" s="1"/>
  <c r="G1129" s="1"/>
  <c r="G1114" s="1"/>
  <c r="G1463" i="3"/>
  <c r="G1462" s="1"/>
  <c r="G1453" s="1"/>
  <c r="G1479"/>
  <c r="G391"/>
  <c r="G390" s="1"/>
  <c r="G899"/>
  <c r="G782" s="1"/>
  <c r="G2105" i="1"/>
  <c r="G360" i="3"/>
  <c r="G359" s="1"/>
  <c r="G729"/>
  <c r="G219"/>
  <c r="G216" s="1"/>
  <c r="L209"/>
  <c r="G995" i="1"/>
  <c r="G1155" i="3"/>
  <c r="G1154" s="1"/>
  <c r="G1150" s="1"/>
  <c r="G1125"/>
  <c r="G1124" s="1"/>
  <c r="G1117" s="1"/>
  <c r="G1091" i="1"/>
  <c r="G1090" s="1"/>
  <c r="G1089" s="1"/>
  <c r="G1092"/>
  <c r="G1112" i="3"/>
  <c r="G1111" s="1"/>
  <c r="G193"/>
  <c r="G192" s="1"/>
  <c r="G214"/>
  <c r="G213" s="1"/>
  <c r="G1108"/>
  <c r="G1107" s="1"/>
  <c r="G1461" i="1"/>
  <c r="G633" i="3"/>
  <c r="G1076"/>
  <c r="G1075" s="1"/>
  <c r="G677"/>
  <c r="G676" s="1"/>
  <c r="G675" s="1"/>
  <c r="G1546"/>
  <c r="G1545" s="1"/>
  <c r="G372"/>
  <c r="G1559"/>
  <c r="G1562" s="1"/>
  <c r="F65" i="2"/>
  <c r="F64" s="1"/>
  <c r="G1083" i="3"/>
  <c r="G385"/>
  <c r="G384" s="1"/>
  <c r="G730"/>
  <c r="G1359"/>
  <c r="G1358" s="1"/>
  <c r="G1345" s="1"/>
  <c r="G1465" i="1"/>
  <c r="G928"/>
  <c r="G927" s="1"/>
  <c r="G376" i="3"/>
  <c r="G355" s="1"/>
  <c r="G1206"/>
  <c r="G1166" s="1"/>
  <c r="G369"/>
  <c r="G368" s="1"/>
  <c r="G2058" i="1"/>
  <c r="G2054" s="1"/>
  <c r="G2053" s="1"/>
  <c r="F44" i="2" s="1"/>
  <c r="G674" i="3"/>
  <c r="G673" s="1"/>
  <c r="G672" s="1"/>
  <c r="G671" s="1"/>
  <c r="G1067"/>
  <c r="G1066" s="1"/>
  <c r="G1065" s="1"/>
  <c r="G2268" i="1"/>
  <c r="G2267" s="1"/>
  <c r="G2258" s="1"/>
  <c r="G396"/>
  <c r="G395" s="1"/>
  <c r="G394" s="1"/>
  <c r="G579"/>
  <c r="G578" s="1"/>
  <c r="G1886"/>
  <c r="G1883" s="1"/>
  <c r="G1882" s="1"/>
  <c r="G496"/>
  <c r="G495" s="1"/>
  <c r="G59" i="3"/>
  <c r="G58" s="1"/>
  <c r="G1773" i="1"/>
  <c r="G1772" s="1"/>
  <c r="G124"/>
  <c r="G1333"/>
  <c r="G1332" s="1"/>
  <c r="G1326" s="1"/>
  <c r="G1325" s="1"/>
  <c r="G1252"/>
  <c r="G1251" s="1"/>
  <c r="G1203" s="1"/>
  <c r="G1828" l="1"/>
  <c r="G1827" s="1"/>
  <c r="F23" i="2" s="1"/>
  <c r="G2225" i="1"/>
  <c r="G2199" s="1"/>
  <c r="F29" i="2"/>
  <c r="G191" i="3"/>
  <c r="G161" s="1"/>
  <c r="G926" i="1"/>
  <c r="G925" s="1"/>
  <c r="G1768"/>
  <c r="G1762" s="1"/>
  <c r="F60" i="2" s="1"/>
  <c r="F51"/>
  <c r="G354" i="3"/>
  <c r="G994" i="1"/>
  <c r="G979" s="1"/>
  <c r="G488"/>
  <c r="G487" s="1"/>
  <c r="G486" s="1"/>
  <c r="G1443"/>
  <c r="G2104"/>
  <c r="I46" i="2" s="1"/>
  <c r="J1043" i="3"/>
  <c r="J1040"/>
  <c r="G209"/>
  <c r="G1478"/>
  <c r="L1552"/>
  <c r="G2043" i="1"/>
  <c r="F59" i="2"/>
  <c r="G1383" i="1"/>
  <c r="G1947"/>
  <c r="F42" i="2" s="1"/>
  <c r="G123" i="1"/>
  <c r="G375" i="3"/>
  <c r="G374" s="1"/>
  <c r="G371" s="1"/>
  <c r="K971"/>
  <c r="G1087"/>
  <c r="G1074" i="1"/>
  <c r="G1069"/>
  <c r="G1068" s="1"/>
  <c r="F69" i="2"/>
  <c r="I66"/>
  <c r="F35"/>
  <c r="G1082" i="3"/>
  <c r="G393" i="1"/>
  <c r="L58" i="3"/>
  <c r="G420" i="1"/>
  <c r="G414" s="1"/>
  <c r="F31" i="2"/>
  <c r="F30" s="1"/>
  <c r="G1154" i="1"/>
  <c r="G1149" s="1"/>
  <c r="G1139" s="1"/>
  <c r="G1414" i="3"/>
  <c r="G367" i="1"/>
  <c r="G1115"/>
  <c r="F67" i="2" s="1"/>
  <c r="G1016" i="1"/>
  <c r="G1826" l="1"/>
  <c r="G1386" i="3"/>
  <c r="F66" i="2"/>
  <c r="G131" i="1"/>
  <c r="I54" i="2" s="1"/>
  <c r="F55"/>
  <c r="F40"/>
  <c r="G977" i="1"/>
  <c r="G463"/>
  <c r="F49" i="2"/>
  <c r="G201" i="3"/>
  <c r="G2036" i="1"/>
  <c r="G2035" s="1"/>
  <c r="G1976" s="1"/>
  <c r="F43" i="2" s="1"/>
  <c r="G122" i="1"/>
  <c r="G113" s="1"/>
  <c r="G32" s="1"/>
  <c r="G1710"/>
  <c r="F38" i="2"/>
  <c r="G1377" i="1"/>
  <c r="G1292"/>
  <c r="G1853"/>
  <c r="G1852" s="1"/>
  <c r="F39" i="2" s="1"/>
  <c r="G1067" i="1"/>
  <c r="G1081" i="3"/>
  <c r="G20" s="1"/>
  <c r="G202"/>
  <c r="F50" i="2"/>
  <c r="L1572" i="3"/>
  <c r="I61" i="2"/>
  <c r="F56"/>
  <c r="F61"/>
  <c r="F33"/>
  <c r="G1843" i="1"/>
  <c r="G1815" l="1"/>
  <c r="F53" i="2"/>
  <c r="G485" i="1"/>
  <c r="G1064" s="1"/>
  <c r="G1552" i="3"/>
  <c r="I32" i="2"/>
  <c r="F52"/>
  <c r="F26"/>
  <c r="G2270" i="1"/>
  <c r="F41" i="2"/>
  <c r="G1946" i="1"/>
  <c r="I57" i="2"/>
  <c r="F34"/>
  <c r="F32" s="1"/>
  <c r="F57"/>
  <c r="G1066" i="1"/>
  <c r="G1137" s="1"/>
  <c r="F24" i="2"/>
  <c r="F54"/>
  <c r="G21" i="1"/>
  <c r="G388" s="1"/>
  <c r="F48" i="2" l="1"/>
  <c r="F21"/>
  <c r="I41"/>
  <c r="F36"/>
  <c r="I48"/>
  <c r="I21"/>
  <c r="G1851" i="1"/>
  <c r="G2154" s="1"/>
  <c r="I36" i="2" l="1"/>
  <c r="G1557" i="3"/>
  <c r="G2251" i="1"/>
  <c r="F47" i="2" s="1"/>
  <c r="F46" s="1"/>
  <c r="F70" s="1"/>
  <c r="G2250" i="1" l="1"/>
  <c r="F72" i="2"/>
  <c r="G2256" i="1" l="1"/>
  <c r="G2271" s="1"/>
  <c r="F94" i="2" l="1"/>
  <c r="G1561" i="3"/>
  <c r="G1580"/>
  <c r="G2276" i="1"/>
</calcChain>
</file>

<file path=xl/sharedStrings.xml><?xml version="1.0" encoding="utf-8"?>
<sst xmlns="http://schemas.openxmlformats.org/spreadsheetml/2006/main" count="17540" uniqueCount="1148">
  <si>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</si>
  <si>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</si>
  <si>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</si>
  <si>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</si>
  <si>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</si>
  <si>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</si>
  <si>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</si>
  <si>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</si>
  <si>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</si>
  <si>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</si>
  <si>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</si>
  <si>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</si>
  <si>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</si>
  <si>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</si>
  <si>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</si>
  <si>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</si>
  <si>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</si>
  <si>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</si>
  <si>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</si>
  <si>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</si>
  <si>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</si>
  <si>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</si>
  <si>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</si>
  <si>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</si>
  <si>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</si>
  <si>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</si>
  <si>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</si>
  <si>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</si>
  <si>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</si>
  <si>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</si>
  <si>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</si>
  <si>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</si>
  <si>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</si>
  <si>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</si>
  <si>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</si>
  <si>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</si>
  <si>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</si>
  <si>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</si>
  <si>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</si>
  <si>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</si>
  <si>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</si>
  <si>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</si>
  <si>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</si>
  <si>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</si>
  <si>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</si>
  <si>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</si>
  <si>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</si>
  <si>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</si>
  <si>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</si>
  <si>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</si>
  <si>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</si>
  <si>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</si>
  <si>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</si>
  <si>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</si>
  <si>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</si>
  <si>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</si>
  <si>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</si>
  <si>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</si>
  <si>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</si>
  <si>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</si>
  <si>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</si>
  <si>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</si>
  <si>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</si>
  <si>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</si>
  <si>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</si>
  <si>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</si>
  <si>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</si>
  <si>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</si>
  <si>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</si>
  <si>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</si>
  <si>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</si>
  <si>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</si>
  <si>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</si>
  <si>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</si>
  <si>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</si>
  <si>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</si>
  <si>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</si>
  <si>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</si>
  <si>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</si>
  <si>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</si>
  <si>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</si>
  <si>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</si>
  <si>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</si>
  <si>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</si>
  <si>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</si>
  <si>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</si>
  <si>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</si>
  <si>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</si>
  <si>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</si>
  <si>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</si>
  <si>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</si>
  <si>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</si>
  <si>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</si>
  <si>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</si>
  <si>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</si>
  <si>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</si>
  <si>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</si>
  <si>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</si>
  <si>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</si>
  <si>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</si>
  <si>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</si>
  <si>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</si>
  <si>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</si>
  <si>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</si>
  <si>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</si>
  <si>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</si>
  <si>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</si>
  <si>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</si>
  <si>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</si>
  <si>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</si>
  <si>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</si>
  <si>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</si>
  <si>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</si>
  <si>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</si>
  <si>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</si>
  <si>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</si>
  <si>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</si>
  <si>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</si>
  <si>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</si>
  <si>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</si>
  <si>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</si>
  <si>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</si>
  <si>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</si>
  <si>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</si>
  <si>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</si>
  <si>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</si>
  <si>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</si>
  <si>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</si>
  <si>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</si>
  <si>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</si>
  <si>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</si>
  <si>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</si>
  <si>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</si>
  <si>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</si>
  <si>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</si>
  <si>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</si>
  <si>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</si>
  <si>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</si>
  <si>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</si>
  <si>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</si>
  <si>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</si>
  <si>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</si>
  <si>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</si>
  <si>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</si>
  <si>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</si>
  <si>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</si>
  <si>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</si>
  <si>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</si>
  <si>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</si>
  <si>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</si>
  <si>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</si>
  <si>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</si>
  <si>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</si>
  <si>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</si>
  <si>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</si>
  <si>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</si>
  <si>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</si>
  <si>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</si>
  <si>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</si>
  <si>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</si>
  <si>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</si>
  <si>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</si>
  <si>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</si>
  <si>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</si>
  <si>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</si>
  <si>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</si>
  <si>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</si>
  <si>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</si>
  <si>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</si>
  <si>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</si>
  <si>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</si>
  <si>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</si>
  <si>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</si>
  <si>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</si>
  <si>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</si>
  <si>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</si>
  <si>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</si>
  <si>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</si>
  <si>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</si>
  <si>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</si>
  <si>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</si>
  <si>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</si>
  <si>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</si>
  <si>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</si>
  <si>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</si>
  <si>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</si>
  <si>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</si>
  <si>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</si>
  <si>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</si>
  <si>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</si>
  <si>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</si>
  <si>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</si>
  <si>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</si>
  <si>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</si>
  <si>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</si>
  <si>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</si>
  <si>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</si>
  <si>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</si>
  <si>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</si>
  <si>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</si>
  <si>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</si>
  <si>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</si>
  <si>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</si>
  <si>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</si>
  <si>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</si>
  <si>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</si>
  <si>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</si>
  <si>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</si>
  <si>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</si>
  <si>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</si>
  <si>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</si>
  <si>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</si>
  <si>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</si>
  <si>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</si>
  <si>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</si>
  <si>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</si>
  <si>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</si>
  <si>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</si>
  <si>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</si>
  <si>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</si>
  <si>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</si>
  <si>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</si>
  <si>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</si>
  <si>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</si>
  <si>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</si>
  <si>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</si>
  <si>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</si>
  <si>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</si>
  <si>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</si>
  <si>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</si>
  <si>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</si>
  <si>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</si>
  <si>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</si>
  <si>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</si>
  <si>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</si>
  <si>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</si>
  <si>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</si>
  <si>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</si>
  <si>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</si>
  <si>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</si>
  <si>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</si>
  <si>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</si>
  <si>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</si>
  <si>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</si>
  <si>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</si>
  <si>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</si>
  <si>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</si>
  <si>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</si>
  <si>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</si>
  <si>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</si>
  <si>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</si>
  <si>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</si>
  <si>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</si>
  <si>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</si>
  <si>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</si>
  <si>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</si>
  <si>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</si>
  <si>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</si>
  <si>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</si>
  <si>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</si>
  <si>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</si>
  <si>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</si>
  <si>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</si>
  <si>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</si>
  <si>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</si>
  <si>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</si>
  <si>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</si>
  <si>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</si>
  <si>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</si>
  <si>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</si>
  <si>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</si>
  <si>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</si>
  <si>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</si>
  <si>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</si>
  <si>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</si>
  <si>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</si>
  <si>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</si>
  <si>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</si>
  <si>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</si>
  <si>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</si>
  <si>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</si>
  <si>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</si>
  <si>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</si>
  <si>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</si>
  <si>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</si>
  <si>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</si>
  <si>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</si>
  <si>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</si>
  <si>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</si>
  <si>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</si>
  <si>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</si>
  <si>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</si>
  <si>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</si>
  <si>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</si>
  <si>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</si>
  <si>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</si>
  <si>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</si>
  <si>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</si>
  <si>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</si>
  <si>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</si>
  <si>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</si>
  <si>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</si>
  <si>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</si>
  <si>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</si>
  <si>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</si>
  <si>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</si>
  <si>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</si>
  <si>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</si>
  <si>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</si>
  <si>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</si>
  <si>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</si>
  <si>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</si>
  <si>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</si>
  <si>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</si>
  <si>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</si>
  <si>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</si>
  <si>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</si>
  <si>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</si>
  <si>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</si>
  <si>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</si>
  <si>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</si>
  <si>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</si>
  <si>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</si>
  <si>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</si>
  <si>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</si>
  <si>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</si>
  <si>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</si>
  <si>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</si>
  <si>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</si>
  <si>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</si>
  <si>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</si>
  <si>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</si>
  <si>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</si>
  <si>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</si>
  <si>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</si>
  <si>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</si>
  <si>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</si>
  <si>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</si>
  <si>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</si>
  <si>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</si>
  <si>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</si>
  <si>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</si>
  <si>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</si>
  <si>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</si>
  <si>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</si>
  <si>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</si>
  <si>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</si>
  <si>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</si>
  <si>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</si>
  <si>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</si>
  <si>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</si>
  <si>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</si>
  <si>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</si>
  <si>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</si>
  <si>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</si>
  <si>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</si>
  <si>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</si>
  <si>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</si>
  <si>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</si>
  <si>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</si>
  <si>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</si>
  <si>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</si>
  <si>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</si>
  <si>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</si>
  <si>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</si>
  <si>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</si>
  <si>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</si>
  <si>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</si>
  <si>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</si>
  <si>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</si>
  <si>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</si>
  <si>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</si>
  <si>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</si>
  <si>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</si>
  <si>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</si>
  <si>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</si>
  <si>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</si>
  <si>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</si>
  <si>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</si>
  <si>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</si>
  <si>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</si>
  <si>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</si>
  <si>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</si>
  <si>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</si>
  <si>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</si>
  <si>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</si>
  <si>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</si>
  <si>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</si>
  <si>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</si>
  <si>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</si>
  <si>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</si>
  <si>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</si>
  <si>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</si>
  <si>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</si>
  <si>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</si>
  <si>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</si>
  <si>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</si>
  <si>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</si>
  <si>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</si>
  <si>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</si>
  <si>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</si>
  <si>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</si>
  <si>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</si>
  <si>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</si>
  <si>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</si>
  <si>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</si>
  <si>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</si>
  <si>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</si>
  <si>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</si>
  <si>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</si>
  <si>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</si>
  <si>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</si>
  <si>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</si>
  <si>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</si>
  <si>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</si>
  <si>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</si>
  <si>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</si>
  <si>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</si>
  <si>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</si>
  <si>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</si>
  <si>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</si>
  <si>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</si>
  <si>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</si>
  <si>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</si>
  <si>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</si>
  <si>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</si>
  <si>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</si>
  <si>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</si>
  <si>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</si>
  <si>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</si>
  <si>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</si>
  <si>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</si>
  <si>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</si>
  <si>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</si>
  <si>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</si>
  <si>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</si>
  <si>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</si>
  <si>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</si>
  <si>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</si>
  <si>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</si>
  <si>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</si>
  <si>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</si>
  <si>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</si>
  <si>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</si>
  <si>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</si>
  <si>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</si>
  <si>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</si>
  <si>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</si>
  <si>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</si>
  <si>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</si>
  <si>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</si>
  <si>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</si>
  <si>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</si>
  <si>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</si>
  <si>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</si>
  <si>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</si>
  <si>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</si>
  <si>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</si>
  <si>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</si>
  <si>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</si>
  <si>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</si>
  <si>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</si>
  <si>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</si>
  <si>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</si>
  <si>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</si>
  <si>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</si>
  <si>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</si>
  <si>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</si>
  <si>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</si>
  <si>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</si>
  <si>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</si>
  <si>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</si>
  <si>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</si>
  <si>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</si>
  <si>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</si>
  <si>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</si>
  <si>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</si>
  <si>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</si>
  <si>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</si>
  <si>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</si>
  <si>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</si>
  <si>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</si>
  <si>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</si>
  <si>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</si>
  <si>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</si>
  <si>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</si>
  <si>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</si>
  <si>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</si>
  <si>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</si>
  <si>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</si>
  <si>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</si>
  <si>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</si>
  <si>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</si>
  <si>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</si>
  <si>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</si>
  <si>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</si>
  <si>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</si>
  <si>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</si>
  <si>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</si>
  <si>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</si>
  <si>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</si>
  <si>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</si>
  <si>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</si>
  <si>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</si>
  <si>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</si>
  <si>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</si>
  <si>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</si>
  <si>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</si>
  <si>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</si>
  <si>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</si>
  <si>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</si>
  <si>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</si>
  <si>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</si>
  <si>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</si>
  <si>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</si>
  <si>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</si>
  <si>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</si>
  <si>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</si>
  <si>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</si>
  <si>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</si>
  <si>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</si>
  <si>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</si>
  <si>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</si>
  <si>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</si>
  <si>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</si>
  <si>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</si>
  <si>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</si>
  <si>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</si>
  <si>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</si>
  <si>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</si>
  <si>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</si>
  <si>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</si>
  <si>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</si>
  <si>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</si>
  <si>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</si>
  <si>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</si>
  <si>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</si>
  <si>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</si>
  <si>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</si>
  <si>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</si>
  <si>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</si>
  <si>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</si>
  <si>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</si>
  <si>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</si>
  <si>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</si>
  <si>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</si>
  <si>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</si>
  <si>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</si>
  <si>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</si>
  <si>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</si>
  <si>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</si>
  <si>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</si>
  <si>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</si>
  <si>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</si>
  <si>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</si>
  <si>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</si>
  <si>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</si>
  <si>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</si>
  <si>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</si>
  <si>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</si>
  <si>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</si>
  <si>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</si>
  <si>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</si>
  <si>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</si>
  <si>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</si>
  <si>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</si>
  <si>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</si>
  <si>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</si>
  <si>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</si>
  <si>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</si>
  <si>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</si>
  <si>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</si>
  <si>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</si>
  <si>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</si>
  <si>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</si>
  <si>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</si>
  <si>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</si>
  <si>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</si>
  <si>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</si>
  <si>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</si>
  <si>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</si>
  <si>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</si>
  <si>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</si>
  <si>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</si>
  <si>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</si>
  <si>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</si>
  <si>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</si>
  <si>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</si>
  <si>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</si>
  <si>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</si>
  <si>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</si>
  <si>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</si>
  <si>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</si>
  <si>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</si>
  <si>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</si>
  <si>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</si>
  <si>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</si>
  <si>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</si>
  <si>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</si>
  <si>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</si>
  <si>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</si>
  <si>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</si>
  <si>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</si>
  <si>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</si>
  <si>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</si>
  <si>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</si>
  <si>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</si>
  <si>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</si>
  <si>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</si>
  <si>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</si>
  <si>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</si>
  <si>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</si>
  <si>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</si>
  <si>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</si>
  <si>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</si>
  <si>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</si>
  <si>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</si>
  <si>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</si>
  <si>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</si>
  <si>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</si>
  <si>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</si>
  <si>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</si>
  <si>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</si>
  <si>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</si>
  <si>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</si>
  <si>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</si>
  <si>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</si>
  <si>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</si>
  <si>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</si>
  <si>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</si>
  <si>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</si>
  <si>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</si>
  <si>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</si>
  <si>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</si>
  <si>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</si>
  <si>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</si>
  <si>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</si>
  <si>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</si>
  <si>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</si>
  <si>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</si>
  <si>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</si>
  <si>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</si>
  <si>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</si>
  <si>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</si>
  <si>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</si>
  <si>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</si>
  <si>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</si>
  <si>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</si>
  <si>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</si>
  <si>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</si>
  <si>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</si>
  <si>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</si>
  <si>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</si>
  <si>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</si>
  <si>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</si>
  <si>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</si>
  <si>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</si>
  <si>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</si>
  <si>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</si>
  <si>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</si>
  <si>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</si>
  <si>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</si>
  <si>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</si>
  <si>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</si>
  <si>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</si>
  <si>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</si>
  <si>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</si>
  <si>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</si>
  <si>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</si>
  <si>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</si>
  <si>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</si>
  <si>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</si>
  <si>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</si>
  <si>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</si>
  <si>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</si>
  <si>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</si>
  <si>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</si>
  <si>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</si>
  <si>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</si>
  <si>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</si>
  <si>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</si>
  <si>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</si>
  <si>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</si>
  <si>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</si>
  <si>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</si>
  <si>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</si>
  <si>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</si>
  <si>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</si>
  <si>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</si>
  <si>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</si>
  <si>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</si>
  <si>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</si>
  <si>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</si>
  <si>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</si>
  <si>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</si>
  <si>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</si>
  <si>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</si>
  <si>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</si>
  <si>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</si>
  <si>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</si>
  <si>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</si>
  <si>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</si>
  <si>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</si>
  <si>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</si>
  <si>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</si>
  <si>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</si>
  <si>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</si>
  <si>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</si>
  <si>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</si>
  <si>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</si>
  <si>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</si>
  <si>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</si>
  <si>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</si>
  <si>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</si>
  <si>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</si>
  <si>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</si>
  <si>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</si>
  <si>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</si>
  <si>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</si>
  <si>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</si>
  <si>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</si>
  <si>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</si>
  <si>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</si>
  <si>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</si>
  <si>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</si>
  <si>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</si>
  <si>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</si>
  <si>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</si>
  <si>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</si>
  <si>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</si>
  <si>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</si>
  <si>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</si>
  <si>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</si>
  <si>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</si>
  <si>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</si>
  <si>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</si>
  <si>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</si>
  <si>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</si>
  <si>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</si>
  <si>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</si>
  <si>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</si>
  <si>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</si>
  <si>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</si>
  <si>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</si>
  <si>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</si>
  <si>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</si>
  <si>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</si>
  <si>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</si>
  <si>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</si>
  <si>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</si>
  <si>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</si>
  <si>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</si>
  <si>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</si>
  <si>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</si>
  <si>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</si>
  <si>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</si>
  <si>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</si>
  <si>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</si>
  <si>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</si>
  <si>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</si>
  <si>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</si>
  <si>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</si>
  <si>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</si>
  <si>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</si>
  <si>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</si>
  <si>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</si>
  <si>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</si>
  <si>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</si>
  <si>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</si>
  <si>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</si>
  <si>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</si>
  <si>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</si>
  <si>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</si>
  <si>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</si>
  <si>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</si>
  <si>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</si>
  <si>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</si>
  <si>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</si>
  <si>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</si>
  <si>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</si>
  <si>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</si>
  <si>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</si>
  <si>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</si>
  <si>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</si>
  <si>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</si>
  <si>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</si>
  <si>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</si>
  <si>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</si>
  <si>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</si>
  <si>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</si>
  <si>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</si>
  <si>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</si>
  <si>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</si>
  <si>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</si>
  <si>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</si>
  <si>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</si>
  <si>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</si>
  <si>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</si>
  <si>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</si>
  <si>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</si>
  <si>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</si>
  <si>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</si>
  <si>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</si>
  <si>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</si>
  <si>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</si>
  <si>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</si>
  <si>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</si>
  <si>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</si>
  <si>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</si>
  <si>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</si>
  <si>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</si>
  <si>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</si>
  <si>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</si>
  <si>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</si>
  <si>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</si>
  <si>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</si>
  <si>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</si>
  <si>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</si>
  <si>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</si>
  <si>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</si>
  <si>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</si>
  <si>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</si>
  <si>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</si>
  <si>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</si>
  <si>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</si>
  <si>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</si>
  <si>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</si>
  <si>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</si>
  <si>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</si>
  <si>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</si>
  <si>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</si>
  <si>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</si>
  <si>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</si>
  <si>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</si>
  <si>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</si>
  <si>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</si>
  <si>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</si>
  <si>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</si>
  <si>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</si>
  <si>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</si>
  <si>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</si>
  <si>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</si>
  <si>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</si>
  <si>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</si>
  <si>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</si>
  <si>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</si>
  <si>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</si>
  <si>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</si>
  <si>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</si>
  <si>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</si>
  <si>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</si>
  <si>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</si>
  <si>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</si>
  <si>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</si>
  <si>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</si>
  <si>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</si>
  <si>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</si>
  <si>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</si>
  <si>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</si>
  <si>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</si>
  <si>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</si>
  <si>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</si>
  <si>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</si>
  <si>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</si>
  <si>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</si>
  <si>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</si>
  <si>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</si>
  <si>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</si>
  <si>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</si>
  <si>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</si>
  <si>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</si>
  <si>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</si>
  <si>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</si>
  <si>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</si>
  <si>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</si>
  <si>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</si>
  <si>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</si>
  <si>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</si>
  <si>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</si>
  <si>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</si>
  <si>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</si>
  <si>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</si>
  <si>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</si>
  <si>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</si>
  <si>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</si>
  <si>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</si>
  <si>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</si>
  <si>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</si>
  <si>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</si>
  <si>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</si>
  <si>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</si>
  <si>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</si>
  <si>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</si>
  <si>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</si>
  <si>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</si>
  <si>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</si>
  <si>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</si>
  <si>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</si>
  <si>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</si>
  <si>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</si>
  <si>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</si>
  <si>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</si>
  <si>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</si>
  <si>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</si>
  <si>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</si>
  <si>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</si>
  <si>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</si>
  <si>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</si>
  <si>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</si>
  <si>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</si>
  <si>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</si>
  <si>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</si>
  <si>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</si>
  <si>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</si>
  <si>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</si>
  <si>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</si>
  <si>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</si>
  <si>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</si>
  <si>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</si>
  <si>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</si>
  <si>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</si>
  <si>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</si>
  <si>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к  решению сессии шестого созыва Собрания депутатов № 439 от 24 декабря 2021 года</t>
  </si>
  <si>
    <t>Приложение № 6</t>
  </si>
  <si>
    <t>Приложение № 7</t>
  </si>
  <si>
    <t>к  решению сессии шестого созыва Собрания депутатов                                  № 439 от 24 декабря 2021 года</t>
  </si>
  <si>
    <t>к  решению сессии шестого созыва Собрания депутатов  № 439 от 24 декабря 2021 года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</si>
  <si>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</si>
  <si>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</si>
  <si>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</si>
  <si>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</si>
  <si>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</si>
  <si>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</si>
  <si>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</si>
  <si>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</si>
  <si>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муниципальный библиотек)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</si>
  <si>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</si>
  <si>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</si>
  <si>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</si>
  <si>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</si>
  <si>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</si>
  <si>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</si>
  <si>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</si>
  <si>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</si>
  <si>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</si>
  <si>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</si>
  <si>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</si>
  <si>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</si>
  <si>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</si>
  <si>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</si>
  <si>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</si>
  <si>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</si>
  <si>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</si>
  <si>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</si>
  <si>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</si>
  <si>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</si>
  <si>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</si>
  <si>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</si>
  <si>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</si>
  <si>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</si>
  <si>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</si>
  <si>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</si>
  <si>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</si>
  <si>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</si>
  <si>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</si>
  <si>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</si>
  <si>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</si>
  <si>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</si>
  <si>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</si>
  <si>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</si>
  <si>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</si>
  <si>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</si>
  <si>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</si>
  <si>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</si>
  <si>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района на 2022 год и плановый период 2023 и 2024 годов</t>
  </si>
  <si>
    <t xml:space="preserve">Ведомственная структура расходов бюджета Устьянского муниципального района на 2022 год и на плановый период 2023 и 2024 годов </t>
  </si>
  <si>
    <t xml:space="preserve">Распределение бюджетных ассигнований по разделам и подразделам классификации расходов бюджета Устьянского муниципального района на 2022 год и на плановый период 2023 и 2024 годов 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</si>
  <si>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</si>
  <si>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</si>
  <si>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</si>
  <si>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</si>
  <si>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</si>
  <si>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</si>
  <si>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</si>
  <si>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</si>
  <si>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культуры и туризма администрации Устьянского муниципального района Архангельской области</t>
  </si>
  <si>
    <t>Комитет по управлению муниципальным имуществом  администрации Устьянского муниципального района Архангельской области</t>
  </si>
  <si>
    <t>Управление образования администрации Устьянского муниципального района Архангельской области</t>
  </si>
  <si>
    <t>Финансовое управление администрации Устьянского муниципального района Архангельской области</t>
  </si>
  <si>
    <t>Администрация  Устьянского муниципального района Архангельской области</t>
  </si>
  <si>
    <t>Собрание депутатов Устьянского муниципального района Архангельской области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</si>
  <si>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</si>
  <si>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</si>
  <si>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</si>
  <si>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</si>
  <si>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</si>
  <si>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</si>
  <si>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</si>
  <si>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</si>
  <si>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</si>
  <si>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</si>
  <si>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</si>
  <si>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</si>
  <si>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</si>
  <si>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</si>
  <si>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№ 453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</si>
  <si>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</si>
  <si>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</si>
  <si>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</si>
  <si>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</si>
  <si>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</si>
  <si>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</si>
  <si>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</si>
  <si>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</si>
  <si>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</si>
  <si>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</si>
  <si>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</si>
  <si>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</si>
  <si>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</si>
  <si>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</si>
  <si>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</si>
  <si>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 xml:space="preserve">Приобретение техники по содержанию улично-дорожной сети </t>
  </si>
  <si>
    <t>Приобретение техники для выполнения работ по дорожной деятельности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</si>
  <si>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</si>
  <si>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</si>
  <si>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</si>
  <si>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</si>
  <si>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</si>
  <si>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</si>
  <si>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</si>
  <si>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Содержание, 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</si>
  <si>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</si>
  <si>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</si>
  <si>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</si>
  <si>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</si>
  <si>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</si>
  <si>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</si>
  <si>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</si>
  <si>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</si>
  <si>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</si>
  <si>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</si>
  <si>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</si>
  <si>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</si>
  <si>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</si>
  <si>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</si>
  <si>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</si>
  <si>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</si>
  <si>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</si>
  <si>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</si>
  <si>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</si>
  <si>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</si>
  <si>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</si>
  <si>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№499   от 20 мая 2022 года</t>
  </si>
  <si>
    <t>к  решению сессии шестого созыва Собрания депутатов № 499 от 20 мая 2022 года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</si>
  <si>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бюджетов субъектов Российской Федерации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</si>
  <si>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</si>
  <si>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</si>
  <si>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</si>
  <si>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</si>
  <si>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</si>
  <si>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Социальные выплаты гражданам</t>
  </si>
  <si>
    <t>Организация транспортного обслуживания населения на пассажирских муниципальных маршрутах автомобильного транспорта</t>
  </si>
  <si>
    <t>06 4 00 S6360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</si>
  <si>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</si>
  <si>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</si>
  <si>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</si>
  <si>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</si>
  <si>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</si>
  <si>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</si>
  <si>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</si>
  <si>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</si>
  <si>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</si>
  <si>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</si>
  <si>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</si>
  <si>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</si>
  <si>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</si>
  <si>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к решению сессии шестого созыва Собрания депутатов № 515 от 24 июня 2022 года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</si>
  <si>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</si>
  <si>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</si>
  <si>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</si>
  <si>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</si>
  <si>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</si>
  <si>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</si>
  <si>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</si>
  <si>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</si>
  <si>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</si>
  <si>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</si>
  <si>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</si>
  <si>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</si>
  <si>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</si>
  <si>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</si>
  <si>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</si>
  <si>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</si>
  <si>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</si>
  <si>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</si>
  <si>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</si>
  <si>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</si>
  <si>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</si>
  <si>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</si>
  <si>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</si>
  <si>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</si>
  <si>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</si>
  <si>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</si>
  <si>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</si>
  <si>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</t>
  </si>
  <si>
    <t>06 1 00 83101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</si>
  <si>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поступивших от государственной корпорации - Фонда содействия реформированию ЖКХ</t>
  </si>
  <si>
    <t>Субсидия на установку септика в рамках капитального ремонта МБОУ "Киземская СОШ"</t>
  </si>
  <si>
    <t>к  решению сессии шестого созыва Собрания депутатов № 525 от 23 сентября 2022 года</t>
  </si>
  <si>
    <t>к решению сессии шестого созыва Собрания депутатов № 525 от 23 сентября 2022 года</t>
  </si>
  <si>
    <t>08 1 00 74660</t>
  </si>
  <si>
    <t>08 1 00 78660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</si>
  <si>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</si>
  <si>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Иные дотации</t>
  </si>
  <si>
    <t>96 0 00 78030</t>
  </si>
  <si>
    <t>Поддержка мер по обеспечению сбалансированности местных бюджетов</t>
  </si>
  <si>
    <t>90 0 00 81110</t>
  </si>
  <si>
    <t>90 0 00 00000</t>
  </si>
  <si>
    <t>Непрограммные расходы в сфере жилищно-коммунального хозяйства</t>
  </si>
  <si>
    <t>13 0 00 85414</t>
  </si>
  <si>
    <t>Субсидия на капитальный ремонт крытых спортивных объектов муниципальных образований</t>
  </si>
  <si>
    <t>Субсидия на проведение строительного контроля в рамках мероприятия капитальный ремонт крытых спортивных объектов муниципальных образований</t>
  </si>
  <si>
    <t>13 0 00 85415</t>
  </si>
  <si>
    <t>Субсидия на выполнение проекта перепланировки помещения Центральной районной библиотеки п. Октябрьский</t>
  </si>
  <si>
    <t>12 0  00 85063</t>
  </si>
  <si>
    <t>Субсидия на проведение экспертизы проектно-сметной документации учреждений культуры</t>
  </si>
  <si>
    <t>12 0  00 85064</t>
  </si>
  <si>
    <t>Субсидия на проведение военно-спортивной эстафеты "Внуки Маргелова"и учебных сборов юношей 10-х классов в центре "Авангард"</t>
  </si>
  <si>
    <t>15 0 00 88321</t>
  </si>
  <si>
    <t>Уплата иных платежей</t>
  </si>
  <si>
    <t>07 0 00 88292</t>
  </si>
  <si>
    <t>Субсидия на корректировку проектно-сметной и рабочей документации для строительства по объекту "Спортивный зал МБОУ "ОСОШ № 1"</t>
  </si>
  <si>
    <t>Субсидия на приобретение и установку системы очистки воды для приготовления пищи</t>
  </si>
  <si>
    <t>08 2 00 80144</t>
  </si>
  <si>
    <t>22 0 00 83141</t>
  </si>
  <si>
    <t>Строительство участка теплосети, расположенного по адресу: рп.Октябрьский, ул.Магистральная, д.26</t>
  </si>
  <si>
    <t>12 0  00 85062</t>
  </si>
  <si>
    <t>Субсидия на установку пожарной сигнализации и огнезащитную обработку</t>
  </si>
  <si>
    <t>04 0 00 88877</t>
  </si>
  <si>
    <t>Разработка проектной документации на строительство детской спортивной площадки</t>
  </si>
  <si>
    <t>06 8 00 00000</t>
  </si>
  <si>
    <t>06 8 00 83062</t>
  </si>
  <si>
    <t>06 9 00 00000</t>
  </si>
  <si>
    <t>06 9 00 83061</t>
  </si>
  <si>
    <t>22 0 00 87158</t>
  </si>
  <si>
    <t>Плата за ограниченное пользование частями земельного участка (плата за сервитут) по соглашению с ОАО "РЖД"</t>
  </si>
  <si>
    <t>к  решению сессии шестого созыва Собрания депутатов № 544 от 25 ноября 2022 года</t>
  </si>
  <si>
    <t>к  решению сессии шестого созыва Собрания депутатов №  544    от 25 ноября 2022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</si>
</sst>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5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top" wrapText="1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10" fillId="2" borderId="0" xfId="0" applyNumberFormat="1" applyFont="1" applyFill="1"/>
    <xf numFmtId="49" fontId="8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94"/>
  <sheetViews>
    <sheetView view="pageBreakPreview" zoomScaleSheetLayoutView="100" workbookViewId="0">
      <selection activeCell="F8" sqref="F8:G8"/>
    </sheetView>
  </sheetViews>
  <sheetFormatPr defaultColWidth="9.140625" defaultRowHeight="12.75"/>
  <cols>
    <col min="1" max="1" width="1.85546875" style="62" customWidth="1"/>
    <col min="2" max="2" width="61.28515625" style="62" customWidth="1"/>
    <col min="3" max="3" width="6.85546875" style="65" hidden="1" customWidth="1"/>
    <col min="4" max="4" width="6.5703125" style="65" customWidth="1"/>
    <col min="5" max="5" width="8" style="65" customWidth="1"/>
    <col min="6" max="8" width="22.140625" style="64" customWidth="1"/>
    <col min="9" max="9" width="13.85546875" style="62" hidden="1" customWidth="1"/>
    <col min="10" max="10" width="2" style="62" customWidth="1"/>
    <col min="11" max="11" width="13.85546875" style="62" hidden="1" customWidth="1"/>
    <col min="12" max="16384" width="9.140625" style="62"/>
  </cols>
  <sheetData>
    <row r="1" spans="2:18" s="1" customFormat="1" ht="12.75" customHeight="1">
      <c r="B1" s="59"/>
      <c r="C1" s="59"/>
      <c r="D1" s="59"/>
      <c r="E1" s="313"/>
      <c r="F1" s="329" t="s">
        <v>973</v>
      </c>
      <c r="G1" s="329"/>
      <c r="H1" s="313"/>
      <c r="I1" s="60"/>
      <c r="J1" s="179"/>
      <c r="K1" s="186"/>
      <c r="L1" s="186"/>
      <c r="M1" s="186"/>
      <c r="N1" s="186"/>
      <c r="O1" s="186"/>
      <c r="P1" s="186"/>
      <c r="Q1" s="186"/>
      <c r="R1" s="186"/>
    </row>
    <row r="2" spans="2:18" s="1" customFormat="1" ht="30" customHeight="1">
      <c r="B2" s="59"/>
      <c r="C2" s="59"/>
      <c r="D2" s="59"/>
      <c r="F2" s="330" t="s">
        <v>1146</v>
      </c>
      <c r="G2" s="330"/>
      <c r="H2" s="312"/>
      <c r="I2" s="60"/>
      <c r="J2" s="179"/>
      <c r="K2" s="186"/>
      <c r="L2" s="186"/>
      <c r="M2" s="186"/>
      <c r="N2" s="186"/>
      <c r="O2" s="186"/>
      <c r="P2" s="186"/>
      <c r="Q2" s="186"/>
      <c r="R2" s="186"/>
    </row>
    <row r="3" spans="2:18" customFormat="1" ht="19.5" customHeight="1">
      <c r="B3" s="62"/>
      <c r="C3" s="65"/>
      <c r="D3" s="65"/>
      <c r="E3" s="65"/>
      <c r="F3" s="331" t="s">
        <v>973</v>
      </c>
      <c r="G3" s="331"/>
      <c r="H3" s="331"/>
      <c r="I3" s="331"/>
      <c r="J3" s="331"/>
      <c r="K3" s="331"/>
    </row>
    <row r="4" spans="2:18" customFormat="1" ht="33" customHeight="1">
      <c r="B4" s="62"/>
      <c r="C4" s="296"/>
      <c r="D4" s="65"/>
      <c r="E4" s="65"/>
      <c r="F4" s="331" t="s">
        <v>1108</v>
      </c>
      <c r="G4" s="331"/>
      <c r="H4" s="97"/>
      <c r="I4" s="97"/>
      <c r="J4" s="99"/>
    </row>
    <row r="5" spans="2:18" customFormat="1" ht="19.5" customHeight="1">
      <c r="B5" s="62"/>
      <c r="C5" s="65"/>
      <c r="D5" s="65"/>
      <c r="E5" s="65"/>
      <c r="F5" s="331" t="s">
        <v>973</v>
      </c>
      <c r="G5" s="331"/>
      <c r="H5" s="331"/>
      <c r="I5" s="331"/>
      <c r="J5" s="331"/>
      <c r="K5" s="331"/>
    </row>
    <row r="6" spans="2:18" customFormat="1" ht="33" customHeight="1">
      <c r="B6" s="62"/>
      <c r="C6" s="258"/>
      <c r="D6" s="65"/>
      <c r="E6" s="65"/>
      <c r="F6" s="331" t="s">
        <v>1075</v>
      </c>
      <c r="G6" s="331"/>
      <c r="H6" s="97"/>
      <c r="I6" s="97"/>
      <c r="J6" s="99"/>
    </row>
    <row r="7" spans="2:18" customFormat="1" ht="19.5" customHeight="1">
      <c r="B7" s="62"/>
      <c r="C7" s="65"/>
      <c r="D7" s="65"/>
      <c r="E7" s="65"/>
      <c r="F7" s="331" t="s">
        <v>973</v>
      </c>
      <c r="G7" s="331"/>
      <c r="H7" s="331"/>
      <c r="I7" s="331"/>
      <c r="J7" s="331"/>
      <c r="K7" s="331"/>
    </row>
    <row r="8" spans="2:18" customFormat="1" ht="33" customHeight="1">
      <c r="B8" s="62"/>
      <c r="C8" s="256"/>
      <c r="D8" s="65"/>
      <c r="E8" s="65"/>
      <c r="F8" s="331" t="s">
        <v>1053</v>
      </c>
      <c r="G8" s="331"/>
      <c r="H8" s="97"/>
      <c r="I8" s="97"/>
      <c r="J8" s="99"/>
    </row>
    <row r="9" spans="2:18" customFormat="1" ht="19.5" customHeight="1">
      <c r="B9" s="62"/>
      <c r="C9" s="65"/>
      <c r="D9" s="65"/>
      <c r="E9" s="65"/>
      <c r="F9" s="331" t="s">
        <v>973</v>
      </c>
      <c r="G9" s="331"/>
      <c r="H9" s="331"/>
      <c r="I9" s="331"/>
      <c r="J9" s="331"/>
      <c r="K9" s="331"/>
    </row>
    <row r="10" spans="2:18" customFormat="1" ht="33" customHeight="1">
      <c r="B10" s="62"/>
      <c r="C10" s="254"/>
      <c r="D10" s="65"/>
      <c r="E10" s="65"/>
      <c r="F10" s="331" t="s">
        <v>1036</v>
      </c>
      <c r="G10" s="331"/>
      <c r="H10" s="97"/>
      <c r="I10" s="97"/>
      <c r="J10" s="99"/>
    </row>
    <row r="11" spans="2:18" customFormat="1" ht="19.5" customHeight="1">
      <c r="B11" s="62"/>
      <c r="C11" s="65"/>
      <c r="D11" s="65"/>
      <c r="E11" s="65"/>
      <c r="F11" s="331" t="s">
        <v>973</v>
      </c>
      <c r="G11" s="331"/>
      <c r="H11" s="331"/>
      <c r="I11" s="331"/>
      <c r="J11" s="331"/>
      <c r="K11" s="331"/>
    </row>
    <row r="12" spans="2:18" customFormat="1" ht="33" customHeight="1">
      <c r="B12" s="62"/>
      <c r="C12" s="183"/>
      <c r="D12" s="65"/>
      <c r="E12" s="65"/>
      <c r="F12" s="331" t="s">
        <v>1004</v>
      </c>
      <c r="G12" s="331"/>
      <c r="H12" s="97"/>
      <c r="I12" s="97"/>
      <c r="J12" s="99"/>
    </row>
    <row r="13" spans="2:18" customFormat="1" ht="17.25" customHeight="1">
      <c r="B13" s="62"/>
      <c r="C13" s="65"/>
      <c r="D13" s="65"/>
      <c r="E13" s="65"/>
      <c r="F13" s="331" t="s">
        <v>758</v>
      </c>
      <c r="G13" s="331"/>
      <c r="H13" s="331"/>
      <c r="I13" s="331"/>
      <c r="J13" s="331"/>
      <c r="K13" s="331"/>
    </row>
    <row r="14" spans="2:18" customFormat="1" ht="32.25" customHeight="1">
      <c r="B14" s="62"/>
      <c r="C14" s="170"/>
      <c r="D14" s="65"/>
      <c r="E14" s="65"/>
      <c r="F14" s="331" t="s">
        <v>922</v>
      </c>
      <c r="G14" s="331"/>
      <c r="H14" s="97"/>
      <c r="I14" s="97"/>
      <c r="J14" s="99"/>
    </row>
    <row r="15" spans="2:18" s="61" customFormat="1" ht="51" customHeight="1">
      <c r="B15" s="334" t="s">
        <v>976</v>
      </c>
      <c r="C15" s="334"/>
      <c r="D15" s="334"/>
      <c r="E15" s="334"/>
      <c r="F15" s="334"/>
      <c r="G15" s="335"/>
      <c r="H15" s="335"/>
    </row>
    <row r="16" spans="2:18" s="61" customFormat="1" ht="16.5" customHeight="1">
      <c r="B16" s="332" t="s">
        <v>12</v>
      </c>
      <c r="C16" s="98"/>
      <c r="D16" s="336" t="s">
        <v>14</v>
      </c>
      <c r="E16" s="336" t="s">
        <v>15</v>
      </c>
      <c r="F16" s="338" t="s">
        <v>371</v>
      </c>
      <c r="G16" s="332"/>
      <c r="H16" s="332"/>
    </row>
    <row r="17" spans="2:10" s="3" customFormat="1" ht="12.75" customHeight="1">
      <c r="B17" s="333"/>
      <c r="C17" s="336" t="s">
        <v>13</v>
      </c>
      <c r="D17" s="333"/>
      <c r="E17" s="333"/>
      <c r="F17" s="337" t="s">
        <v>433</v>
      </c>
      <c r="G17" s="337" t="s">
        <v>660</v>
      </c>
      <c r="H17" s="337" t="s">
        <v>910</v>
      </c>
      <c r="I17" s="62"/>
      <c r="J17" s="62"/>
    </row>
    <row r="18" spans="2:10" s="3" customFormat="1" ht="35.25" customHeight="1">
      <c r="B18" s="333"/>
      <c r="C18" s="336"/>
      <c r="D18" s="333"/>
      <c r="E18" s="333"/>
      <c r="F18" s="337"/>
      <c r="G18" s="337"/>
      <c r="H18" s="337"/>
      <c r="I18" s="62"/>
      <c r="J18" s="62"/>
    </row>
    <row r="19" spans="2:10" s="3" customFormat="1">
      <c r="B19" s="100">
        <v>1</v>
      </c>
      <c r="C19" s="100">
        <v>2</v>
      </c>
      <c r="D19" s="100">
        <v>2</v>
      </c>
      <c r="E19" s="100">
        <v>3</v>
      </c>
      <c r="F19" s="101">
        <v>4</v>
      </c>
      <c r="G19" s="101">
        <v>5</v>
      </c>
      <c r="H19" s="101">
        <v>6</v>
      </c>
      <c r="I19" s="62"/>
      <c r="J19" s="62"/>
    </row>
    <row r="20" spans="2:10" ht="16.5">
      <c r="B20" s="68"/>
      <c r="C20" s="68"/>
      <c r="D20" s="68"/>
      <c r="E20" s="68"/>
      <c r="F20" s="68"/>
      <c r="G20" s="68"/>
      <c r="H20" s="68"/>
    </row>
    <row r="21" spans="2:10" s="3" customFormat="1">
      <c r="B21" s="5" t="s">
        <v>18</v>
      </c>
      <c r="C21" s="45">
        <v>793</v>
      </c>
      <c r="D21" s="7" t="s">
        <v>19</v>
      </c>
      <c r="E21" s="7"/>
      <c r="F21" s="38">
        <f>F22+F23+F24+F26+F28+F29+F25+F27</f>
        <v>112444301.08</v>
      </c>
      <c r="G21" s="38">
        <f t="shared" ref="G21:H21" si="0">G22+G23+G24+G26+G28+G29+G25+G27</f>
        <v>105378761.24000001</v>
      </c>
      <c r="H21" s="38">
        <f t="shared" si="0"/>
        <v>108079440.67</v>
      </c>
      <c r="I21" s="63">
        <f>'прил 5,'!G393+'прил 5,'!G1066+'прил 5,'!G1139+'прил 5,'!G1826</f>
        <v>109960064.29000001</v>
      </c>
      <c r="J21" s="62"/>
    </row>
    <row r="22" spans="2:10" s="3" customFormat="1" ht="25.5">
      <c r="B22" s="53" t="s">
        <v>316</v>
      </c>
      <c r="C22" s="79">
        <v>793</v>
      </c>
      <c r="D22" s="10" t="s">
        <v>19</v>
      </c>
      <c r="E22" s="10" t="s">
        <v>28</v>
      </c>
      <c r="F22" s="27">
        <f>'прил 5,'!G1140</f>
        <v>2484412.7399999998</v>
      </c>
      <c r="G22" s="27">
        <f>'прил 5,'!H1140</f>
        <v>1889447.4</v>
      </c>
      <c r="H22" s="27">
        <f>'прил 5,'!I1140</f>
        <v>1908341.87</v>
      </c>
      <c r="I22" s="62"/>
      <c r="J22" s="62"/>
    </row>
    <row r="23" spans="2:10" s="3" customFormat="1" ht="38.25">
      <c r="B23" s="51" t="s">
        <v>361</v>
      </c>
      <c r="C23" s="79">
        <v>794</v>
      </c>
      <c r="D23" s="52" t="s">
        <v>19</v>
      </c>
      <c r="E23" s="52" t="s">
        <v>70</v>
      </c>
      <c r="F23" s="27">
        <f>'прил 5,'!G1827</f>
        <v>3254488.71</v>
      </c>
      <c r="G23" s="27">
        <f>'прил 5,'!H1827</f>
        <v>3280281.71</v>
      </c>
      <c r="H23" s="27">
        <f>'прил 5,'!I1827</f>
        <v>3306331.71</v>
      </c>
      <c r="I23" s="62"/>
      <c r="J23" s="62"/>
    </row>
    <row r="24" spans="2:10" s="3" customFormat="1" ht="38.25">
      <c r="B24" s="53" t="s">
        <v>75</v>
      </c>
      <c r="C24" s="79">
        <v>793</v>
      </c>
      <c r="D24" s="10" t="s">
        <v>19</v>
      </c>
      <c r="E24" s="10" t="s">
        <v>54</v>
      </c>
      <c r="F24" s="27">
        <f>'прил 5,'!G394+'прил 5,'!G1067+'прил 5,'!G1149</f>
        <v>61622211.07</v>
      </c>
      <c r="G24" s="27">
        <f>'прил 5,'!H394+'прил 5,'!H1067+'прил 5,'!H1149</f>
        <v>62450326.160000004</v>
      </c>
      <c r="H24" s="27">
        <f>'прил 5,'!I394+'прил 5,'!I1067+'прил 5,'!I1149</f>
        <v>63196535.560000002</v>
      </c>
      <c r="I24" s="62"/>
      <c r="J24" s="62"/>
    </row>
    <row r="25" spans="2:10" s="3" customFormat="1">
      <c r="B25" s="16" t="s">
        <v>276</v>
      </c>
      <c r="C25" s="79"/>
      <c r="D25" s="10" t="s">
        <v>19</v>
      </c>
      <c r="E25" s="10" t="s">
        <v>173</v>
      </c>
      <c r="F25" s="25">
        <f>'прил 5,'!G1188</f>
        <v>124287.62999999999</v>
      </c>
      <c r="G25" s="25">
        <f>'прил 5,'!H1188</f>
        <v>4134.4299999999994</v>
      </c>
      <c r="H25" s="25">
        <f>'прил 5,'!I1188</f>
        <v>3685.6099999999997</v>
      </c>
      <c r="I25" s="62"/>
      <c r="J25" s="62"/>
    </row>
    <row r="26" spans="2:10" s="3" customFormat="1" ht="25.5">
      <c r="B26" s="53" t="s">
        <v>160</v>
      </c>
      <c r="C26" s="45">
        <v>792</v>
      </c>
      <c r="D26" s="10" t="s">
        <v>19</v>
      </c>
      <c r="E26" s="10" t="s">
        <v>161</v>
      </c>
      <c r="F26" s="25">
        <f>'прил 5,'!G1074+'прил 5,'!G2258</f>
        <v>14415015.789999999</v>
      </c>
      <c r="G26" s="25">
        <f>'прил 5,'!H1074+'прил 5,'!H2258</f>
        <v>14549467.289999999</v>
      </c>
      <c r="H26" s="25">
        <f>'прил 5,'!I1074+'прил 5,'!I2258</f>
        <v>14737161.289999999</v>
      </c>
      <c r="I26" s="62"/>
      <c r="J26" s="62"/>
    </row>
    <row r="27" spans="2:10" s="3" customFormat="1" hidden="1">
      <c r="B27" s="53" t="s">
        <v>811</v>
      </c>
      <c r="C27" s="45"/>
      <c r="D27" s="10" t="s">
        <v>19</v>
      </c>
      <c r="E27" s="10" t="s">
        <v>26</v>
      </c>
      <c r="F27" s="25">
        <f>'прил 5,'!G1193</f>
        <v>4829049.2</v>
      </c>
      <c r="G27" s="25">
        <f>'прил 5,'!H1193</f>
        <v>0</v>
      </c>
      <c r="H27" s="25">
        <f>'прил 5,'!I1193</f>
        <v>0</v>
      </c>
      <c r="I27" s="62"/>
      <c r="J27" s="62"/>
    </row>
    <row r="28" spans="2:10" s="3" customFormat="1">
      <c r="B28" s="51" t="s">
        <v>331</v>
      </c>
      <c r="C28" s="79">
        <v>793</v>
      </c>
      <c r="D28" s="52" t="s">
        <v>19</v>
      </c>
      <c r="E28" s="52" t="s">
        <v>72</v>
      </c>
      <c r="F28" s="27">
        <f>'прил 5,'!G1198</f>
        <v>395008.06</v>
      </c>
      <c r="G28" s="27">
        <f>'прил 5,'!H1198</f>
        <v>1000000</v>
      </c>
      <c r="H28" s="27">
        <f>'прил 5,'!I1198</f>
        <v>1000000</v>
      </c>
      <c r="I28" s="62"/>
      <c r="J28" s="62"/>
    </row>
    <row r="29" spans="2:10" s="3" customFormat="1">
      <c r="B29" s="9" t="s">
        <v>22</v>
      </c>
      <c r="C29" s="79">
        <v>793</v>
      </c>
      <c r="D29" s="10" t="s">
        <v>19</v>
      </c>
      <c r="E29" s="10" t="s">
        <v>23</v>
      </c>
      <c r="F29" s="27">
        <f>'прил 5,'!G1203+'прил 5,'!G403+'прил 5,'!G1084+'прил 5,'!G466+'прил 5,'!G1850+'прил 5,'!G2157</f>
        <v>25319827.880000003</v>
      </c>
      <c r="G29" s="27">
        <f>'прил 5,'!H1203+'прил 5,'!H403+'прил 5,'!H1084</f>
        <v>22205104.25</v>
      </c>
      <c r="H29" s="27">
        <f>'прил 5,'!I1203+'прил 5,'!I403+'прил 5,'!I1084</f>
        <v>23927384.629999999</v>
      </c>
      <c r="I29" s="62"/>
      <c r="J29" s="62"/>
    </row>
    <row r="30" spans="2:10" s="3" customFormat="1">
      <c r="B30" s="47" t="s">
        <v>165</v>
      </c>
      <c r="C30" s="45">
        <v>792</v>
      </c>
      <c r="D30" s="20" t="s">
        <v>28</v>
      </c>
      <c r="E30" s="20"/>
      <c r="F30" s="12">
        <f>F31</f>
        <v>3750613.11</v>
      </c>
      <c r="G30" s="12">
        <f t="shared" ref="G30:H30" si="1">G31</f>
        <v>3663447.84</v>
      </c>
      <c r="H30" s="12">
        <f t="shared" si="1"/>
        <v>3793072.21</v>
      </c>
      <c r="I30" s="62"/>
      <c r="J30" s="62"/>
    </row>
    <row r="31" spans="2:10" s="3" customFormat="1">
      <c r="B31" s="9" t="s">
        <v>166</v>
      </c>
      <c r="C31" s="45">
        <v>792</v>
      </c>
      <c r="D31" s="10" t="s">
        <v>28</v>
      </c>
      <c r="E31" s="10" t="s">
        <v>70</v>
      </c>
      <c r="F31" s="25">
        <f>'прил 5,'!G1090</f>
        <v>3750613.11</v>
      </c>
      <c r="G31" s="25">
        <f>'прил 5,'!H1090</f>
        <v>3663447.84</v>
      </c>
      <c r="H31" s="25">
        <f>'прил 5,'!I1090</f>
        <v>3793072.21</v>
      </c>
      <c r="I31" s="62"/>
      <c r="J31" s="62"/>
    </row>
    <row r="32" spans="2:10" s="3" customFormat="1" ht="25.5">
      <c r="B32" s="11" t="s">
        <v>168</v>
      </c>
      <c r="C32" s="6">
        <v>793</v>
      </c>
      <c r="D32" s="7" t="s">
        <v>70</v>
      </c>
      <c r="E32" s="7"/>
      <c r="F32" s="38">
        <f>F33+F35+F34</f>
        <v>6397555.8799999999</v>
      </c>
      <c r="G32" s="38">
        <f t="shared" ref="G32:H32" si="2">G33+G35+G34</f>
        <v>1038000</v>
      </c>
      <c r="H32" s="38">
        <f t="shared" si="2"/>
        <v>998000</v>
      </c>
      <c r="I32" s="63">
        <f>'прил 5,'!G472+'прил 5,'!G1292</f>
        <v>6397555.8799999999</v>
      </c>
      <c r="J32" s="62"/>
    </row>
    <row r="33" spans="2:11" s="3" customFormat="1">
      <c r="B33" s="48" t="s">
        <v>796</v>
      </c>
      <c r="C33" s="45">
        <v>793</v>
      </c>
      <c r="D33" s="52" t="s">
        <v>70</v>
      </c>
      <c r="E33" s="52" t="s">
        <v>123</v>
      </c>
      <c r="F33" s="27">
        <f>'прил 5,'!G1293</f>
        <v>93500</v>
      </c>
      <c r="G33" s="27">
        <f>'прил 5,'!H1293</f>
        <v>67500</v>
      </c>
      <c r="H33" s="27">
        <f>'прил 5,'!I1293</f>
        <v>67500</v>
      </c>
      <c r="I33" s="62"/>
      <c r="J33" s="62"/>
    </row>
    <row r="34" spans="2:11" s="3" customFormat="1" ht="45.75" customHeight="1">
      <c r="B34" s="48" t="s">
        <v>797</v>
      </c>
      <c r="C34" s="45"/>
      <c r="D34" s="52" t="s">
        <v>70</v>
      </c>
      <c r="E34" s="52" t="s">
        <v>69</v>
      </c>
      <c r="F34" s="27">
        <f>'прил 5,'!G1325</f>
        <v>5756765.8799999999</v>
      </c>
      <c r="G34" s="27">
        <f>'прил 5,'!H1325</f>
        <v>532500</v>
      </c>
      <c r="H34" s="27">
        <f>'прил 5,'!I1325</f>
        <v>502500</v>
      </c>
      <c r="I34" s="62"/>
      <c r="J34" s="62"/>
    </row>
    <row r="35" spans="2:11" s="3" customFormat="1" ht="25.5">
      <c r="B35" s="16" t="s">
        <v>335</v>
      </c>
      <c r="C35" s="45"/>
      <c r="D35" s="41" t="s">
        <v>70</v>
      </c>
      <c r="E35" s="41" t="s">
        <v>309</v>
      </c>
      <c r="F35" s="27">
        <f>'прил 5,'!G1358+'прил 5,'!G473</f>
        <v>547290</v>
      </c>
      <c r="G35" s="27">
        <f>'прил 5,'!H1358+'прил 5,'!H477+'прил 5,'!H479</f>
        <v>438000</v>
      </c>
      <c r="H35" s="27">
        <f>'прил 5,'!I1358+'прил 5,'!I477+'прил 5,'!I479</f>
        <v>428000</v>
      </c>
      <c r="I35" s="62"/>
      <c r="J35" s="62"/>
    </row>
    <row r="36" spans="2:11" s="3" customFormat="1">
      <c r="B36" s="11" t="s">
        <v>86</v>
      </c>
      <c r="C36" s="6">
        <v>793</v>
      </c>
      <c r="D36" s="7" t="s">
        <v>54</v>
      </c>
      <c r="E36" s="7"/>
      <c r="F36" s="38">
        <f>F38+F39+F40+F37</f>
        <v>55977592.759999998</v>
      </c>
      <c r="G36" s="38">
        <f t="shared" ref="G36:H36" si="3">G38+G39+G40+G37</f>
        <v>38485008</v>
      </c>
      <c r="H36" s="38">
        <f t="shared" si="3"/>
        <v>39899901</v>
      </c>
      <c r="I36" s="63">
        <f>'прил 5,'!G21+'прил 5,'!G414+'прил 5,'!G1377+'прил 5,'!G1851</f>
        <v>54267328.289999999</v>
      </c>
      <c r="J36" s="62"/>
    </row>
    <row r="37" spans="2:11" s="46" customFormat="1" hidden="1">
      <c r="B37" s="166" t="s">
        <v>790</v>
      </c>
      <c r="C37" s="49"/>
      <c r="D37" s="66" t="s">
        <v>54</v>
      </c>
      <c r="E37" s="66" t="s">
        <v>173</v>
      </c>
      <c r="F37" s="29">
        <f>'прил 5,'!G1378+'прил 5,'!G415</f>
        <v>0</v>
      </c>
      <c r="G37" s="29">
        <f>'прил 5,'!H1378</f>
        <v>0</v>
      </c>
      <c r="H37" s="29">
        <f>'прил 5,'!I1378</f>
        <v>0</v>
      </c>
      <c r="I37" s="167"/>
      <c r="J37" s="58"/>
    </row>
    <row r="38" spans="2:11" s="3" customFormat="1">
      <c r="B38" s="53" t="s">
        <v>342</v>
      </c>
      <c r="C38" s="79"/>
      <c r="D38" s="41" t="s">
        <v>54</v>
      </c>
      <c r="E38" s="41" t="s">
        <v>44</v>
      </c>
      <c r="F38" s="25">
        <f>'прил 5,'!G1383</f>
        <v>7056128.1399999997</v>
      </c>
      <c r="G38" s="25">
        <f>'прил 5,'!H1383</f>
        <v>1929435</v>
      </c>
      <c r="H38" s="25">
        <f>'прил 5,'!I1383</f>
        <v>1929435</v>
      </c>
      <c r="I38" s="62"/>
      <c r="J38" s="62"/>
      <c r="K38" s="111"/>
    </row>
    <row r="39" spans="2:11" s="3" customFormat="1">
      <c r="B39" s="88" t="s">
        <v>172</v>
      </c>
      <c r="C39" s="45">
        <v>792</v>
      </c>
      <c r="D39" s="52" t="s">
        <v>54</v>
      </c>
      <c r="E39" s="52" t="s">
        <v>123</v>
      </c>
      <c r="F39" s="25">
        <f>'прил 5,'!G1852+'прил 5,'!G1398+'прил 5,'!G480+'прил 5,'!G2163</f>
        <v>45676972.259999998</v>
      </c>
      <c r="G39" s="25">
        <f>'прил 5,'!H1852+'прил 5,'!H1398</f>
        <v>34849551</v>
      </c>
      <c r="H39" s="25">
        <f>'прил 5,'!I1852+'прил 5,'!I1398</f>
        <v>36266998</v>
      </c>
      <c r="I39" s="63"/>
      <c r="J39" s="62"/>
      <c r="K39" s="111"/>
    </row>
    <row r="40" spans="2:11" s="3" customFormat="1">
      <c r="B40" s="51" t="s">
        <v>87</v>
      </c>
      <c r="C40" s="79">
        <v>793</v>
      </c>
      <c r="D40" s="52" t="s">
        <v>54</v>
      </c>
      <c r="E40" s="52" t="s">
        <v>88</v>
      </c>
      <c r="F40" s="27">
        <f>'прил 5,'!G1937+'прил 5,'!G1443+'прил 5,'!G420+'прил 5,'!G22+'прил 5,'!G2190</f>
        <v>3244492.36</v>
      </c>
      <c r="G40" s="27">
        <f>'прил 5,'!H1937+'прил 5,'!H1443+'прил 5,'!H420+'прил 5,'!H22</f>
        <v>1706022</v>
      </c>
      <c r="H40" s="27">
        <f>'прил 5,'!I1937+'прил 5,'!I1443+'прил 5,'!I420+'прил 5,'!I22</f>
        <v>1703468</v>
      </c>
      <c r="I40" s="62"/>
      <c r="J40" s="62"/>
    </row>
    <row r="41" spans="2:11" s="3" customFormat="1">
      <c r="B41" s="54" t="s">
        <v>346</v>
      </c>
      <c r="C41" s="45">
        <v>792</v>
      </c>
      <c r="D41" s="7" t="s">
        <v>173</v>
      </c>
      <c r="E41" s="7"/>
      <c r="F41" s="38">
        <f>F43+F42+F44+F45</f>
        <v>86521383.900000006</v>
      </c>
      <c r="G41" s="38">
        <f t="shared" ref="G41:H41" si="4">G43+G42+G44+G45</f>
        <v>14521703.07</v>
      </c>
      <c r="H41" s="38">
        <f t="shared" si="4"/>
        <v>208833024.25</v>
      </c>
      <c r="I41" s="63">
        <f>'прил 5,'!G1465+'прил 5,'!G1946</f>
        <v>0</v>
      </c>
      <c r="J41" s="62"/>
      <c r="K41" s="111"/>
    </row>
    <row r="42" spans="2:11" s="46" customFormat="1">
      <c r="B42" s="67" t="s">
        <v>174</v>
      </c>
      <c r="C42" s="49"/>
      <c r="D42" s="66" t="s">
        <v>173</v>
      </c>
      <c r="E42" s="66" t="s">
        <v>19</v>
      </c>
      <c r="F42" s="29">
        <f>'прил 5,'!G1947+'прил 5,'!G1486+'прил 5,'!G450+'прил 5,'!G2200</f>
        <v>53942238.710000001</v>
      </c>
      <c r="G42" s="29">
        <f>'прил 5,'!H1947+'прил 5,'!H1486+'прил 5,'!H450</f>
        <v>6636000</v>
      </c>
      <c r="H42" s="29">
        <f>'прил 5,'!I1947+'прил 5,'!I1486+'прил 5,'!I450</f>
        <v>204548224.15000001</v>
      </c>
      <c r="I42" s="58"/>
      <c r="J42" s="58"/>
    </row>
    <row r="43" spans="2:11" s="1" customFormat="1">
      <c r="B43" s="55" t="s">
        <v>175</v>
      </c>
      <c r="C43" s="45"/>
      <c r="D43" s="10" t="s">
        <v>173</v>
      </c>
      <c r="E43" s="10" t="s">
        <v>28</v>
      </c>
      <c r="F43" s="25">
        <f>'прил 5,'!G1976+'прил 5,'!G1096+'прил 5,'!G1528+'прил 5,'!G2225</f>
        <v>26564572.520000003</v>
      </c>
      <c r="G43" s="25">
        <f>'прил 5,'!H1976+'прил 5,'!H1096+'прил 5,'!H1528</f>
        <v>6900000</v>
      </c>
      <c r="H43" s="25">
        <f>'прил 5,'!I1976+'прил 5,'!I1096+'прил 5,'!I1528</f>
        <v>3400000</v>
      </c>
      <c r="I43" s="69"/>
      <c r="J43" s="69"/>
    </row>
    <row r="44" spans="2:11" s="3" customFormat="1">
      <c r="B44" s="55" t="s">
        <v>182</v>
      </c>
      <c r="C44" s="45"/>
      <c r="D44" s="10" t="s">
        <v>173</v>
      </c>
      <c r="E44" s="10" t="s">
        <v>70</v>
      </c>
      <c r="F44" s="25">
        <f>'прил 5,'!G1466+'прил 5,'!G2053+'прил 5,'!G1592+'прил 5,'!G2243</f>
        <v>1669829.74</v>
      </c>
      <c r="G44" s="25">
        <f>'прил 5,'!H1466+'прил 5,'!H2053+'прил 5,'!H1592</f>
        <v>884703.07000000007</v>
      </c>
      <c r="H44" s="25">
        <f>'прил 5,'!I1466+'прил 5,'!I2053+'прил 5,'!I1592</f>
        <v>884800.1</v>
      </c>
      <c r="I44" s="62"/>
      <c r="J44" s="62"/>
    </row>
    <row r="45" spans="2:11" s="3" customFormat="1">
      <c r="B45" s="55" t="s">
        <v>587</v>
      </c>
      <c r="C45" s="45"/>
      <c r="D45" s="10" t="s">
        <v>173</v>
      </c>
      <c r="E45" s="10" t="s">
        <v>173</v>
      </c>
      <c r="F45" s="25">
        <f>'прил 5,'!G2076+'прил 5,'!G1625</f>
        <v>4344742.93</v>
      </c>
      <c r="G45" s="25">
        <f>'прил 5,'!H2076+'прил 5,'!H1625</f>
        <v>101000</v>
      </c>
      <c r="H45" s="25">
        <f>'прил 5,'!I2076+'прил 5,'!I1625</f>
        <v>0</v>
      </c>
      <c r="I45" s="62"/>
      <c r="J45" s="62"/>
    </row>
    <row r="46" spans="2:11" s="3" customFormat="1">
      <c r="B46" s="54" t="s">
        <v>2</v>
      </c>
      <c r="C46" s="45">
        <v>792</v>
      </c>
      <c r="D46" s="7" t="s">
        <v>161</v>
      </c>
      <c r="E46" s="7"/>
      <c r="F46" s="38">
        <f>F47</f>
        <v>11019692.26</v>
      </c>
      <c r="G46" s="38">
        <f t="shared" ref="G46:H46" si="5">G47</f>
        <v>2050000</v>
      </c>
      <c r="H46" s="38">
        <f t="shared" si="5"/>
        <v>2050000</v>
      </c>
      <c r="I46" s="63">
        <f>'прил 5,'!G2104</f>
        <v>0</v>
      </c>
      <c r="J46" s="62"/>
    </row>
    <row r="47" spans="2:11" s="3" customFormat="1" ht="21" customHeight="1">
      <c r="B47" s="16" t="s">
        <v>352</v>
      </c>
      <c r="C47" s="45"/>
      <c r="D47" s="10" t="s">
        <v>161</v>
      </c>
      <c r="E47" s="10" t="s">
        <v>173</v>
      </c>
      <c r="F47" s="25">
        <f>'прил 5,'!G2105+'прил 5,'!G1660+'прил 5,'!G2251</f>
        <v>11019692.26</v>
      </c>
      <c r="G47" s="25">
        <f>'прил 5,'!H2105+'прил 5,'!H1660</f>
        <v>2050000</v>
      </c>
      <c r="H47" s="25">
        <f>'прил 5,'!I2105+'прил 5,'!I1660</f>
        <v>2050000</v>
      </c>
      <c r="I47" s="62"/>
      <c r="J47" s="62"/>
    </row>
    <row r="48" spans="2:11" s="3" customFormat="1">
      <c r="B48" s="11" t="s">
        <v>25</v>
      </c>
      <c r="C48" s="6">
        <v>774</v>
      </c>
      <c r="D48" s="7" t="s">
        <v>26</v>
      </c>
      <c r="E48" s="7"/>
      <c r="F48" s="38">
        <f>F49+F50+F52+F53+F51</f>
        <v>1252579657.97</v>
      </c>
      <c r="G48" s="38">
        <f t="shared" ref="G48:H48" si="6">G49+G50+G52+G53+G51</f>
        <v>1067456310.25</v>
      </c>
      <c r="H48" s="38">
        <f t="shared" si="6"/>
        <v>1058878625.15</v>
      </c>
      <c r="I48" s="63">
        <f>'прил 5,'!G32+'прил 5,'!G485</f>
        <v>1252088257.9700003</v>
      </c>
      <c r="J48" s="62"/>
    </row>
    <row r="49" spans="2:10" s="3" customFormat="1">
      <c r="B49" s="53" t="s">
        <v>89</v>
      </c>
      <c r="C49" s="79">
        <v>774</v>
      </c>
      <c r="D49" s="10" t="s">
        <v>26</v>
      </c>
      <c r="E49" s="10" t="s">
        <v>19</v>
      </c>
      <c r="F49" s="27">
        <f>'прил 5,'!G486</f>
        <v>333466206.06999999</v>
      </c>
      <c r="G49" s="27">
        <f>'прил 5,'!H486</f>
        <v>324865367</v>
      </c>
      <c r="H49" s="27">
        <f>'прил 5,'!I486</f>
        <v>334575673</v>
      </c>
      <c r="I49" s="62"/>
      <c r="J49" s="62"/>
    </row>
    <row r="50" spans="2:10" s="3" customFormat="1">
      <c r="B50" s="55" t="s">
        <v>27</v>
      </c>
      <c r="C50" s="79">
        <v>774</v>
      </c>
      <c r="D50" s="10" t="s">
        <v>26</v>
      </c>
      <c r="E50" s="10" t="s">
        <v>28</v>
      </c>
      <c r="F50" s="27">
        <f>'прил 5,'!G565</f>
        <v>764340949.85000002</v>
      </c>
      <c r="G50" s="27">
        <f>'прил 5,'!H565+'прил 5,'!H2141</f>
        <v>594655480.32000005</v>
      </c>
      <c r="H50" s="27">
        <f>'прил 5,'!I565+'прил 5,'!I2141</f>
        <v>574424356</v>
      </c>
      <c r="I50" s="62"/>
      <c r="J50" s="62"/>
    </row>
    <row r="51" spans="2:10" s="3" customFormat="1">
      <c r="B51" s="53" t="s">
        <v>95</v>
      </c>
      <c r="C51" s="79"/>
      <c r="D51" s="10" t="s">
        <v>26</v>
      </c>
      <c r="E51" s="10" t="s">
        <v>70</v>
      </c>
      <c r="F51" s="25">
        <f>'прил 5,'!G33+'прил 5,'!G809</f>
        <v>134176974.81000003</v>
      </c>
      <c r="G51" s="25">
        <f>'прил 5,'!H33+'прил 5,'!H809</f>
        <v>128482624.39</v>
      </c>
      <c r="H51" s="25">
        <f>'прил 5,'!I33+'прил 5,'!I809</f>
        <v>130289803.59</v>
      </c>
      <c r="I51" s="62"/>
      <c r="J51" s="62"/>
    </row>
    <row r="52" spans="2:10" s="3" customFormat="1">
      <c r="B52" s="53" t="s">
        <v>281</v>
      </c>
      <c r="C52" s="79">
        <v>774</v>
      </c>
      <c r="D52" s="10" t="s">
        <v>26</v>
      </c>
      <c r="E52" s="10" t="s">
        <v>26</v>
      </c>
      <c r="F52" s="27">
        <f>'прил 5,'!G925+'прил 5,'!G113+'прил 5,'!G1684</f>
        <v>5591812.5599999996</v>
      </c>
      <c r="G52" s="27">
        <f>'прил 5,'!H925+'прил 5,'!H113+'прил 5,'!H1684</f>
        <v>5058412.54</v>
      </c>
      <c r="H52" s="27">
        <f>'прил 5,'!I925+'прил 5,'!I113+'прил 5,'!I1684</f>
        <v>5058412.5599999996</v>
      </c>
      <c r="I52" s="62"/>
      <c r="J52" s="62"/>
    </row>
    <row r="53" spans="2:10" s="3" customFormat="1">
      <c r="B53" s="53" t="s">
        <v>122</v>
      </c>
      <c r="C53" s="79">
        <v>774</v>
      </c>
      <c r="D53" s="10" t="s">
        <v>26</v>
      </c>
      <c r="E53" s="10" t="s">
        <v>123</v>
      </c>
      <c r="F53" s="27">
        <f>'прил 5,'!G977</f>
        <v>15003714.68</v>
      </c>
      <c r="G53" s="27">
        <f>'прил 5,'!H977</f>
        <v>14394426</v>
      </c>
      <c r="H53" s="27">
        <f>'прил 5,'!I977</f>
        <v>14530380</v>
      </c>
      <c r="I53" s="62"/>
      <c r="J53" s="62"/>
    </row>
    <row r="54" spans="2:10" s="3" customFormat="1">
      <c r="B54" s="11" t="s">
        <v>43</v>
      </c>
      <c r="C54" s="79">
        <v>757</v>
      </c>
      <c r="D54" s="7" t="s">
        <v>44</v>
      </c>
      <c r="E54" s="7"/>
      <c r="F54" s="38">
        <f>F55+F56</f>
        <v>161898203.45000002</v>
      </c>
      <c r="G54" s="38">
        <f t="shared" ref="G54:H54" si="7">G55+G56</f>
        <v>141572118.02000001</v>
      </c>
      <c r="H54" s="38">
        <f t="shared" si="7"/>
        <v>135235621.05000001</v>
      </c>
      <c r="I54" s="63">
        <f>'прил 5,'!G131</f>
        <v>161875117.69000003</v>
      </c>
      <c r="J54" s="62"/>
    </row>
    <row r="55" spans="2:10" s="3" customFormat="1">
      <c r="B55" s="53" t="s">
        <v>45</v>
      </c>
      <c r="C55" s="79">
        <v>757</v>
      </c>
      <c r="D55" s="10" t="s">
        <v>44</v>
      </c>
      <c r="E55" s="10" t="s">
        <v>19</v>
      </c>
      <c r="F55" s="25">
        <f>'прил 5,'!G132+'прил 5,'!G1705</f>
        <v>156562664.45000002</v>
      </c>
      <c r="G55" s="25">
        <f>'прил 5,'!H132</f>
        <v>136173113.02000001</v>
      </c>
      <c r="H55" s="25">
        <f>'прил 5,'!I132</f>
        <v>129785908.05000001</v>
      </c>
      <c r="I55" s="62"/>
      <c r="J55" s="62"/>
    </row>
    <row r="56" spans="2:10" s="3" customFormat="1" ht="13.5" customHeight="1">
      <c r="B56" s="55" t="s">
        <v>53</v>
      </c>
      <c r="C56" s="79">
        <v>757</v>
      </c>
      <c r="D56" s="10" t="s">
        <v>44</v>
      </c>
      <c r="E56" s="10" t="s">
        <v>54</v>
      </c>
      <c r="F56" s="25">
        <f>'прил 5,'!G352</f>
        <v>5335539</v>
      </c>
      <c r="G56" s="25">
        <f>'прил 5,'!H352</f>
        <v>5399005</v>
      </c>
      <c r="H56" s="25">
        <f>'прил 5,'!I352</f>
        <v>5449713</v>
      </c>
      <c r="I56" s="62"/>
      <c r="J56" s="62"/>
    </row>
    <row r="57" spans="2:10" s="3" customFormat="1">
      <c r="B57" s="11" t="s">
        <v>145</v>
      </c>
      <c r="C57" s="79">
        <v>757</v>
      </c>
      <c r="D57" s="7" t="s">
        <v>69</v>
      </c>
      <c r="E57" s="7"/>
      <c r="F57" s="38">
        <f>F58+F59+F60</f>
        <v>132041769.94999999</v>
      </c>
      <c r="G57" s="38">
        <f>G58+G59+G60</f>
        <v>37438056.93</v>
      </c>
      <c r="H57" s="38">
        <f>H58+H59+H60</f>
        <v>64210480.18</v>
      </c>
      <c r="I57" s="63">
        <f>'прил 5,'!G1763+'прил 5,'!G1016+'прил 5,'!G1710</f>
        <v>131897253.94999999</v>
      </c>
      <c r="J57" s="62"/>
    </row>
    <row r="58" spans="2:10" s="3" customFormat="1">
      <c r="B58" s="53" t="s">
        <v>146</v>
      </c>
      <c r="C58" s="79">
        <v>774</v>
      </c>
      <c r="D58" s="10" t="s">
        <v>69</v>
      </c>
      <c r="E58" s="10" t="s">
        <v>19</v>
      </c>
      <c r="F58" s="25">
        <f>'прил 5,'!G1017+'прил 5,'!G1711+'прил 5,'!G1102</f>
        <v>437050.85</v>
      </c>
      <c r="G58" s="25">
        <f>'прил 5,'!H1017+'прил 5,'!H1711+'прил 5,'!H1102</f>
        <v>527669</v>
      </c>
      <c r="H58" s="25">
        <f>'прил 5,'!I1017+'прил 5,'!I1711+'прил 5,'!I1102</f>
        <v>529129</v>
      </c>
      <c r="I58" s="62"/>
      <c r="J58" s="62"/>
    </row>
    <row r="59" spans="2:10" s="3" customFormat="1">
      <c r="B59" s="53" t="s">
        <v>68</v>
      </c>
      <c r="C59" s="79">
        <v>757</v>
      </c>
      <c r="D59" s="10" t="s">
        <v>69</v>
      </c>
      <c r="E59" s="10" t="s">
        <v>70</v>
      </c>
      <c r="F59" s="25">
        <f>'прил 5,'!G1716</f>
        <v>69500700.200000003</v>
      </c>
      <c r="G59" s="25">
        <f>'прил 5,'!H1716</f>
        <v>1867174</v>
      </c>
      <c r="H59" s="25">
        <f>'прил 5,'!I1716</f>
        <v>1895221</v>
      </c>
      <c r="I59" s="63"/>
      <c r="J59" s="62"/>
    </row>
    <row r="60" spans="2:10" s="3" customFormat="1">
      <c r="B60" s="55" t="s">
        <v>153</v>
      </c>
      <c r="C60" s="79">
        <v>774</v>
      </c>
      <c r="D60" s="10" t="s">
        <v>69</v>
      </c>
      <c r="E60" s="10" t="s">
        <v>54</v>
      </c>
      <c r="F60" s="8">
        <f>'прил 5,'!G1022+'прил 5,'!G1762</f>
        <v>62104018.899999999</v>
      </c>
      <c r="G60" s="8">
        <f>'прил 5,'!H1022+'прил 5,'!H1762</f>
        <v>35043213.93</v>
      </c>
      <c r="H60" s="8">
        <f>'прил 5,'!I1022+'прил 5,'!I1762</f>
        <v>61786130.18</v>
      </c>
      <c r="I60" s="62"/>
      <c r="J60" s="62"/>
    </row>
    <row r="61" spans="2:10" s="3" customFormat="1">
      <c r="B61" s="11" t="s">
        <v>360</v>
      </c>
      <c r="C61" s="6">
        <v>757</v>
      </c>
      <c r="D61" s="7" t="s">
        <v>72</v>
      </c>
      <c r="E61" s="7"/>
      <c r="F61" s="38">
        <f>F63+F62</f>
        <v>441360</v>
      </c>
      <c r="G61" s="38">
        <f t="shared" ref="G61:H61" si="8">G63+G62</f>
        <v>445360</v>
      </c>
      <c r="H61" s="38">
        <f t="shared" si="8"/>
        <v>445360</v>
      </c>
      <c r="I61" s="63">
        <f>'прил 5,'!G367</f>
        <v>0</v>
      </c>
      <c r="J61" s="62"/>
    </row>
    <row r="62" spans="2:10" s="3" customFormat="1" hidden="1">
      <c r="B62" s="115" t="s">
        <v>495</v>
      </c>
      <c r="C62" s="6"/>
      <c r="D62" s="66" t="s">
        <v>72</v>
      </c>
      <c r="E62" s="66" t="s">
        <v>19</v>
      </c>
      <c r="F62" s="29">
        <f>'прил 5,'!G368</f>
        <v>0</v>
      </c>
      <c r="G62" s="29">
        <f>'прил 5,'!H368</f>
        <v>0</v>
      </c>
      <c r="H62" s="29">
        <f>'прил 5,'!I368</f>
        <v>0</v>
      </c>
      <c r="I62" s="63"/>
      <c r="J62" s="62"/>
    </row>
    <row r="63" spans="2:10" s="3" customFormat="1">
      <c r="B63" s="51" t="s">
        <v>71</v>
      </c>
      <c r="C63" s="79">
        <v>757</v>
      </c>
      <c r="D63" s="10" t="s">
        <v>72</v>
      </c>
      <c r="E63" s="10" t="s">
        <v>28</v>
      </c>
      <c r="F63" s="25">
        <f>'прил 5,'!G383+'прил 5,'!G1797+'прил 5,'!G1053</f>
        <v>441360</v>
      </c>
      <c r="G63" s="25">
        <f>'прил 5,'!H383+'прил 5,'!H1797+'прил 5,'!H1053</f>
        <v>445360</v>
      </c>
      <c r="H63" s="25">
        <f>'прил 5,'!I383+'прил 5,'!I1797+'прил 5,'!I1053</f>
        <v>445360</v>
      </c>
      <c r="I63" s="62"/>
      <c r="J63" s="62"/>
    </row>
    <row r="64" spans="2:10" s="3" customFormat="1" ht="25.5">
      <c r="B64" s="54" t="s">
        <v>300</v>
      </c>
      <c r="C64" s="45">
        <v>792</v>
      </c>
      <c r="D64" s="7" t="s">
        <v>23</v>
      </c>
      <c r="E64" s="7"/>
      <c r="F64" s="38">
        <f>F65</f>
        <v>390950.79999999981</v>
      </c>
      <c r="G64" s="38">
        <f t="shared" ref="G64:H64" si="9">G65</f>
        <v>5220000</v>
      </c>
      <c r="H64" s="38">
        <f t="shared" si="9"/>
        <v>5220000</v>
      </c>
      <c r="I64" s="63">
        <f>'прил 5,'!G1107+'прил 5,'!G1808</f>
        <v>390950.79999999981</v>
      </c>
      <c r="J64" s="62"/>
    </row>
    <row r="65" spans="2:12" s="3" customFormat="1" ht="25.5">
      <c r="B65" s="55" t="s">
        <v>301</v>
      </c>
      <c r="C65" s="45">
        <v>792</v>
      </c>
      <c r="D65" s="10" t="s">
        <v>23</v>
      </c>
      <c r="E65" s="10" t="s">
        <v>19</v>
      </c>
      <c r="F65" s="25">
        <f>'прил 5,'!G1108+'прил 5,'!G1814</f>
        <v>390950.79999999981</v>
      </c>
      <c r="G65" s="25">
        <f>'прил 5,'!H1108+'прил 5,'!H1814</f>
        <v>5220000</v>
      </c>
      <c r="H65" s="25">
        <f>'прил 5,'!I1108+'прил 5,'!I1814</f>
        <v>5220000</v>
      </c>
      <c r="I65" s="62"/>
      <c r="J65" s="62"/>
    </row>
    <row r="66" spans="2:12" s="3" customFormat="1" ht="38.25">
      <c r="B66" s="54" t="s">
        <v>308</v>
      </c>
      <c r="C66" s="45">
        <v>792</v>
      </c>
      <c r="D66" s="7" t="s">
        <v>309</v>
      </c>
      <c r="E66" s="7"/>
      <c r="F66" s="38">
        <f>F67+F69+F68</f>
        <v>43817170.5</v>
      </c>
      <c r="G66" s="38">
        <f t="shared" ref="G66:H66" si="10">G67+G69</f>
        <v>18649308</v>
      </c>
      <c r="H66" s="38">
        <f t="shared" si="10"/>
        <v>19297922.399999999</v>
      </c>
      <c r="I66" s="63">
        <f>'прил 5,'!G1114</f>
        <v>43817170.5</v>
      </c>
      <c r="J66" s="62"/>
    </row>
    <row r="67" spans="2:12" s="3" customFormat="1" ht="27" customHeight="1">
      <c r="B67" s="132" t="s">
        <v>310</v>
      </c>
      <c r="C67" s="259">
        <v>792</v>
      </c>
      <c r="D67" s="153" t="s">
        <v>309</v>
      </c>
      <c r="E67" s="153" t="s">
        <v>19</v>
      </c>
      <c r="F67" s="95">
        <f>'прил 5,'!G1115</f>
        <v>20147049.5</v>
      </c>
      <c r="G67" s="95">
        <f>'прил 5,'!H1115</f>
        <v>18649308</v>
      </c>
      <c r="H67" s="95">
        <f>'прил 5,'!I1115</f>
        <v>19297922.399999999</v>
      </c>
      <c r="I67" s="199"/>
      <c r="J67" s="199"/>
      <c r="K67" s="151"/>
      <c r="L67" s="151"/>
    </row>
    <row r="68" spans="2:12" s="3" customFormat="1" ht="19.5" customHeight="1">
      <c r="B68" s="132" t="s">
        <v>1113</v>
      </c>
      <c r="C68" s="259"/>
      <c r="D68" s="153" t="s">
        <v>309</v>
      </c>
      <c r="E68" s="153" t="s">
        <v>28</v>
      </c>
      <c r="F68" s="95">
        <f>'прил 5,'!G1124</f>
        <v>449460</v>
      </c>
      <c r="G68" s="95"/>
      <c r="H68" s="95"/>
      <c r="I68" s="199"/>
      <c r="J68" s="199"/>
      <c r="K68" s="151"/>
      <c r="L68" s="151"/>
    </row>
    <row r="69" spans="2:12" s="3" customFormat="1" ht="17.25" customHeight="1">
      <c r="B69" s="132" t="s">
        <v>315</v>
      </c>
      <c r="C69" s="259">
        <v>792</v>
      </c>
      <c r="D69" s="153" t="s">
        <v>309</v>
      </c>
      <c r="E69" s="153" t="s">
        <v>70</v>
      </c>
      <c r="F69" s="95">
        <f>'прил 5,'!G1129</f>
        <v>23220661</v>
      </c>
      <c r="G69" s="95">
        <f>'прил 5,'!H1129</f>
        <v>0</v>
      </c>
      <c r="H69" s="95">
        <f>'прил 5,'!I1129</f>
        <v>0</v>
      </c>
      <c r="I69" s="199"/>
      <c r="J69" s="199"/>
      <c r="K69" s="151"/>
      <c r="L69" s="151"/>
    </row>
    <row r="70" spans="2:12" s="22" customFormat="1" ht="24" customHeight="1">
      <c r="B70" s="260" t="s">
        <v>368</v>
      </c>
      <c r="C70" s="260"/>
      <c r="D70" s="260"/>
      <c r="E70" s="260"/>
      <c r="F70" s="261">
        <f>F21+F36+F54+F57+F66+F30+F64+F48+F41+F46+F61+F32</f>
        <v>1867280251.6600003</v>
      </c>
      <c r="G70" s="261">
        <f>G21+G36+G54+G57+G66+G30+G64+G48+G41+G46+G61+G32</f>
        <v>1435918073.3499999</v>
      </c>
      <c r="H70" s="261">
        <f>H21+H36+H54+H57+H66+H30+H64+H48+H41+H46+H61+H32</f>
        <v>1646941446.9099998</v>
      </c>
      <c r="I70" s="207"/>
      <c r="J70" s="207"/>
      <c r="K70" s="124"/>
      <c r="L70" s="124"/>
    </row>
    <row r="71" spans="2:12" hidden="1">
      <c r="B71" s="262"/>
      <c r="C71" s="263"/>
      <c r="D71" s="264"/>
      <c r="E71" s="264"/>
      <c r="F71" s="179">
        <v>875721795.65999997</v>
      </c>
      <c r="G71" s="179">
        <v>875721795.65999997</v>
      </c>
      <c r="H71" s="179">
        <v>875721795.65999997</v>
      </c>
      <c r="I71" s="199"/>
      <c r="J71" s="199"/>
      <c r="K71" s="199"/>
      <c r="L71" s="199"/>
    </row>
    <row r="72" spans="2:12" hidden="1">
      <c r="B72" s="199"/>
      <c r="C72" s="265"/>
      <c r="D72" s="265"/>
      <c r="E72" s="265"/>
      <c r="F72" s="179">
        <f>F70-F71</f>
        <v>991558456.00000036</v>
      </c>
      <c r="G72" s="179">
        <f>G70-G71</f>
        <v>560196277.68999994</v>
      </c>
      <c r="H72" s="179">
        <f>H70-H71</f>
        <v>771219651.24999988</v>
      </c>
      <c r="I72" s="199"/>
      <c r="J72" s="199"/>
      <c r="K72" s="199"/>
      <c r="L72" s="199"/>
    </row>
    <row r="73" spans="2:12">
      <c r="B73" s="199"/>
      <c r="C73" s="265"/>
      <c r="D73" s="265"/>
      <c r="E73" s="265"/>
      <c r="F73" s="179"/>
      <c r="G73" s="179"/>
      <c r="H73" s="179"/>
      <c r="I73" s="199"/>
      <c r="J73" s="199"/>
      <c r="K73" s="199"/>
      <c r="L73" s="199"/>
    </row>
    <row r="74" spans="2:12">
      <c r="B74" s="199"/>
      <c r="C74" s="265"/>
      <c r="D74" s="265"/>
      <c r="E74" s="265"/>
      <c r="F74" s="179"/>
      <c r="G74" s="179">
        <f>'прил 5,'!H2271-'прил 6.'!H1552</f>
        <v>0</v>
      </c>
      <c r="H74" s="179">
        <f>'прил 5,'!I2271-'прил 6.'!I1552</f>
        <v>0</v>
      </c>
      <c r="I74" s="199"/>
      <c r="J74" s="199"/>
      <c r="K74" s="199"/>
      <c r="L74" s="199"/>
    </row>
    <row r="75" spans="2:12">
      <c r="B75" s="199"/>
      <c r="C75" s="265"/>
      <c r="D75" s="265"/>
      <c r="E75" s="265"/>
      <c r="F75" s="179"/>
      <c r="G75" s="179"/>
      <c r="H75" s="179"/>
      <c r="I75" s="199"/>
      <c r="J75" s="199"/>
      <c r="K75" s="199"/>
      <c r="L75" s="199"/>
    </row>
    <row r="76" spans="2:12" hidden="1"/>
    <row r="77" spans="2:12" hidden="1"/>
    <row r="78" spans="2:12" hidden="1"/>
    <row r="79" spans="2:12" hidden="1"/>
    <row r="80" spans="2:12" hidden="1"/>
    <row r="81" spans="6:10" hidden="1"/>
    <row r="82" spans="6:10" hidden="1"/>
    <row r="83" spans="6:10" hidden="1"/>
    <row r="84" spans="6:10" hidden="1"/>
    <row r="85" spans="6:10" hidden="1"/>
    <row r="86" spans="6:10" hidden="1"/>
    <row r="87" spans="6:10" hidden="1"/>
    <row r="88" spans="6:10" hidden="1"/>
    <row r="89" spans="6:10" hidden="1"/>
    <row r="90" spans="6:10" hidden="1"/>
    <row r="92" spans="6:10">
      <c r="I92" s="64">
        <f t="shared" ref="I92" si="11">I70-I75</f>
        <v>0</v>
      </c>
    </row>
    <row r="94" spans="6:10">
      <c r="F94" s="64">
        <f>'прил 5,'!G2271-'прил 4 '!F70</f>
        <v>0</v>
      </c>
      <c r="G94" s="64">
        <f>'прил 5,'!H2271-'прил 4 '!G70</f>
        <v>0</v>
      </c>
      <c r="H94" s="64">
        <f>'прил 5,'!I2271-'прил 4 '!H70</f>
        <v>0</v>
      </c>
      <c r="I94" s="64">
        <f>'прил 5,'!J2271-'прил 4 '!I70</f>
        <v>0</v>
      </c>
      <c r="J94" s="64">
        <f>'прил 5,'!K2271-'прил 4 '!J70</f>
        <v>0</v>
      </c>
    </row>
  </sheetData>
  <mergeCells count="23">
    <mergeCell ref="F11:K11"/>
    <mergeCell ref="F12:G12"/>
    <mergeCell ref="F13:K13"/>
    <mergeCell ref="F14:G14"/>
    <mergeCell ref="B16:B18"/>
    <mergeCell ref="B15:H15"/>
    <mergeCell ref="C17:C18"/>
    <mergeCell ref="F17:F18"/>
    <mergeCell ref="G17:G18"/>
    <mergeCell ref="H17:H18"/>
    <mergeCell ref="F16:H16"/>
    <mergeCell ref="E16:E18"/>
    <mergeCell ref="D16:D18"/>
    <mergeCell ref="F6:G6"/>
    <mergeCell ref="F7:K7"/>
    <mergeCell ref="F8:G8"/>
    <mergeCell ref="F9:K9"/>
    <mergeCell ref="F10:G10"/>
    <mergeCell ref="F1:G1"/>
    <mergeCell ref="F2:G2"/>
    <mergeCell ref="F3:K3"/>
    <mergeCell ref="F4:G4"/>
    <mergeCell ref="F5:K5"/>
  </mergeCells>
  <phoneticPr fontId="0" type="noConversion"/>
  <pageMargins left="0.61" right="0.2" top="0.35433070866141736" bottom="0.35433070866141736" header="0.23622047244094491" footer="0.19685039370078741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03"/>
  <sheetViews>
    <sheetView zoomScaleSheetLayoutView="100" workbookViewId="0">
      <selection activeCell="C7" sqref="C7"/>
    </sheetView>
  </sheetViews>
  <sheetFormatPr defaultColWidth="9.140625" defaultRowHeight="12.75"/>
  <cols>
    <col min="1" max="1" width="52" style="1" customWidth="1"/>
    <col min="2" max="2" width="6.85546875" style="59" customWidth="1"/>
    <col min="3" max="3" width="4.5703125" style="59" customWidth="1"/>
    <col min="4" max="4" width="4.7109375" style="59" customWidth="1"/>
    <col min="5" max="5" width="13.5703125" style="59" customWidth="1"/>
    <col min="6" max="6" width="7.85546875" style="59" customWidth="1"/>
    <col min="7" max="7" width="19.28515625" style="60" customWidth="1"/>
    <col min="8" max="9" width="17.5703125" style="60" customWidth="1"/>
    <col min="10" max="10" width="17.5703125" style="179" customWidth="1"/>
    <col min="11" max="11" width="19.5703125" style="186" customWidth="1"/>
    <col min="12" max="12" width="17" style="186" customWidth="1"/>
    <col min="13" max="13" width="15" style="186" customWidth="1"/>
    <col min="14" max="14" width="14.5703125" style="186" customWidth="1"/>
    <col min="15" max="15" width="14.85546875" style="186" customWidth="1"/>
    <col min="16" max="16" width="13.85546875" style="186" bestFit="1" customWidth="1"/>
    <col min="17" max="17" width="14.42578125" style="186" bestFit="1" customWidth="1"/>
    <col min="18" max="18" width="15.28515625" style="186" customWidth="1"/>
    <col min="19" max="19" width="16.85546875" style="1" customWidth="1"/>
    <col min="20" max="16384" width="9.140625" style="1"/>
  </cols>
  <sheetData>
    <row r="1" spans="1:18">
      <c r="F1" s="329" t="s">
        <v>758</v>
      </c>
      <c r="G1" s="339"/>
      <c r="H1" s="339"/>
    </row>
    <row r="2" spans="1:18" ht="30" customHeight="1">
      <c r="F2" s="330" t="s">
        <v>1146</v>
      </c>
      <c r="G2" s="330"/>
      <c r="H2" s="330"/>
    </row>
    <row r="3" spans="1:18">
      <c r="F3" s="329" t="s">
        <v>758</v>
      </c>
      <c r="G3" s="339"/>
      <c r="H3" s="339"/>
    </row>
    <row r="4" spans="1:18" ht="30" customHeight="1">
      <c r="F4" s="330" t="s">
        <v>1108</v>
      </c>
      <c r="G4" s="330"/>
      <c r="H4" s="330"/>
    </row>
    <row r="5" spans="1:18">
      <c r="F5" s="329" t="s">
        <v>758</v>
      </c>
      <c r="G5" s="339"/>
      <c r="H5" s="339"/>
    </row>
    <row r="6" spans="1:18" ht="30" customHeight="1">
      <c r="F6" s="330" t="s">
        <v>1075</v>
      </c>
      <c r="G6" s="330"/>
      <c r="H6" s="330"/>
    </row>
    <row r="7" spans="1:18" customFormat="1" ht="19.5" customHeight="1">
      <c r="B7" s="62"/>
      <c r="C7" s="65"/>
      <c r="D7" s="65"/>
      <c r="E7" s="65"/>
      <c r="F7" s="331" t="s">
        <v>758</v>
      </c>
      <c r="G7" s="331"/>
      <c r="H7" s="331"/>
      <c r="I7" s="331"/>
      <c r="J7" s="331"/>
      <c r="K7" s="331"/>
    </row>
    <row r="8" spans="1:18" customFormat="1" ht="33" customHeight="1">
      <c r="B8" s="62"/>
      <c r="C8" s="256"/>
      <c r="D8" s="65"/>
      <c r="E8" s="65"/>
      <c r="F8" s="330" t="s">
        <v>1053</v>
      </c>
      <c r="G8" s="330"/>
      <c r="H8" s="330"/>
      <c r="I8" s="97"/>
      <c r="J8" s="99"/>
    </row>
    <row r="9" spans="1:18" customFormat="1" ht="17.25" customHeight="1">
      <c r="B9" s="62"/>
      <c r="C9" s="65"/>
      <c r="D9" s="65"/>
      <c r="E9" s="65"/>
      <c r="F9" s="330" t="s">
        <v>758</v>
      </c>
      <c r="G9" s="330"/>
      <c r="H9" s="330"/>
      <c r="I9" s="253"/>
      <c r="J9" s="185"/>
      <c r="K9" s="185"/>
      <c r="L9" s="186"/>
      <c r="M9" s="186"/>
      <c r="N9" s="186"/>
      <c r="O9" s="186"/>
      <c r="P9" s="186"/>
      <c r="Q9" s="186"/>
      <c r="R9" s="186"/>
    </row>
    <row r="10" spans="1:18" customFormat="1" ht="38.25" customHeight="1">
      <c r="B10" s="62"/>
      <c r="C10" s="254"/>
      <c r="D10" s="65"/>
      <c r="E10" s="65"/>
      <c r="F10" s="330" t="s">
        <v>1036</v>
      </c>
      <c r="G10" s="330"/>
      <c r="H10" s="330"/>
      <c r="I10" s="97"/>
      <c r="J10" s="186"/>
      <c r="K10" s="186"/>
      <c r="L10" s="186"/>
      <c r="M10" s="186"/>
      <c r="N10" s="186"/>
      <c r="O10" s="186"/>
      <c r="P10" s="186"/>
      <c r="Q10" s="186"/>
      <c r="R10" s="186"/>
    </row>
    <row r="11" spans="1:18" customFormat="1" ht="18.75" customHeight="1">
      <c r="B11" s="62"/>
      <c r="C11" s="65"/>
      <c r="D11" s="65"/>
      <c r="E11" s="65"/>
      <c r="F11" s="330" t="s">
        <v>758</v>
      </c>
      <c r="G11" s="330"/>
      <c r="H11" s="330"/>
      <c r="I11" s="182"/>
      <c r="J11" s="185"/>
      <c r="K11" s="185"/>
      <c r="L11" s="186"/>
      <c r="M11" s="186"/>
      <c r="N11" s="186"/>
      <c r="O11" s="186"/>
      <c r="P11" s="186"/>
      <c r="Q11" s="186"/>
      <c r="R11" s="186"/>
    </row>
    <row r="12" spans="1:18" customFormat="1" ht="38.25" customHeight="1">
      <c r="B12" s="62"/>
      <c r="C12" s="183"/>
      <c r="D12" s="65"/>
      <c r="E12" s="65"/>
      <c r="F12" s="330" t="s">
        <v>1005</v>
      </c>
      <c r="G12" s="330"/>
      <c r="H12" s="330"/>
      <c r="I12" s="97"/>
      <c r="J12" s="186"/>
      <c r="K12" s="186"/>
      <c r="L12" s="186"/>
      <c r="M12" s="186"/>
      <c r="N12" s="186"/>
      <c r="O12" s="186"/>
      <c r="P12" s="186"/>
      <c r="Q12" s="186"/>
      <c r="R12" s="186"/>
    </row>
    <row r="13" spans="1:18" ht="18.75" customHeight="1">
      <c r="B13" s="182"/>
      <c r="C13" s="182"/>
      <c r="D13" s="182"/>
      <c r="E13" s="182"/>
      <c r="F13" s="330" t="s">
        <v>923</v>
      </c>
      <c r="G13" s="330"/>
      <c r="H13" s="330"/>
      <c r="I13" s="330"/>
      <c r="J13" s="186"/>
    </row>
    <row r="14" spans="1:18" ht="43.5" customHeight="1">
      <c r="B14" s="182"/>
      <c r="C14" s="182"/>
      <c r="D14" s="182"/>
      <c r="E14" s="182"/>
      <c r="F14" s="330" t="s">
        <v>926</v>
      </c>
      <c r="G14" s="330"/>
      <c r="H14" s="330"/>
      <c r="I14" s="182"/>
      <c r="J14" s="186"/>
    </row>
    <row r="15" spans="1:18" ht="37.5" customHeight="1">
      <c r="A15" s="334" t="s">
        <v>975</v>
      </c>
      <c r="B15" s="334"/>
      <c r="C15" s="334"/>
      <c r="D15" s="334"/>
      <c r="E15" s="334"/>
      <c r="F15" s="334"/>
      <c r="G15" s="334"/>
      <c r="H15" s="335"/>
      <c r="I15" s="335"/>
      <c r="J15" s="187"/>
    </row>
    <row r="16" spans="1:18" ht="33.75" customHeight="1">
      <c r="A16" s="340" t="s">
        <v>12</v>
      </c>
      <c r="B16" s="342" t="s">
        <v>13</v>
      </c>
      <c r="C16" s="342" t="s">
        <v>14</v>
      </c>
      <c r="D16" s="342" t="s">
        <v>15</v>
      </c>
      <c r="E16" s="342" t="s">
        <v>16</v>
      </c>
      <c r="F16" s="342" t="s">
        <v>17</v>
      </c>
      <c r="G16" s="338" t="s">
        <v>371</v>
      </c>
      <c r="H16" s="332"/>
      <c r="I16" s="332"/>
      <c r="J16" s="188"/>
    </row>
    <row r="17" spans="1:18" s="3" customFormat="1" ht="23.25" customHeight="1">
      <c r="A17" s="341"/>
      <c r="B17" s="341"/>
      <c r="C17" s="341"/>
      <c r="D17" s="341"/>
      <c r="E17" s="341"/>
      <c r="F17" s="341"/>
      <c r="G17" s="337" t="s">
        <v>433</v>
      </c>
      <c r="H17" s="337" t="s">
        <v>660</v>
      </c>
      <c r="I17" s="337" t="s">
        <v>910</v>
      </c>
      <c r="J17" s="189"/>
      <c r="K17" s="199"/>
      <c r="L17" s="199"/>
      <c r="M17" s="199"/>
      <c r="N17" s="199"/>
      <c r="O17" s="199"/>
      <c r="P17" s="199"/>
      <c r="Q17" s="199"/>
      <c r="R17" s="199"/>
    </row>
    <row r="18" spans="1:18" s="3" customFormat="1" ht="49.5" customHeight="1">
      <c r="A18" s="341"/>
      <c r="B18" s="341"/>
      <c r="C18" s="341"/>
      <c r="D18" s="341"/>
      <c r="E18" s="341"/>
      <c r="F18" s="341"/>
      <c r="G18" s="337"/>
      <c r="H18" s="337"/>
      <c r="I18" s="337"/>
      <c r="J18" s="189"/>
      <c r="K18" s="199"/>
      <c r="L18" s="199"/>
      <c r="M18" s="199"/>
      <c r="N18" s="199"/>
      <c r="O18" s="199"/>
      <c r="P18" s="199"/>
      <c r="Q18" s="199"/>
      <c r="R18" s="199"/>
    </row>
    <row r="19" spans="1:18" s="3" customFormat="1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72">
        <v>7</v>
      </c>
      <c r="H19" s="72">
        <v>8</v>
      </c>
      <c r="I19" s="72">
        <v>9</v>
      </c>
      <c r="J19" s="190"/>
      <c r="K19" s="199"/>
      <c r="L19" s="199"/>
      <c r="M19" s="199"/>
      <c r="N19" s="199"/>
      <c r="O19" s="199"/>
      <c r="P19" s="199"/>
      <c r="Q19" s="199"/>
      <c r="R19" s="199"/>
    </row>
    <row r="20" spans="1:18" s="121" customFormat="1" ht="48.75" customHeight="1">
      <c r="A20" s="317" t="s">
        <v>985</v>
      </c>
      <c r="B20" s="318">
        <v>757</v>
      </c>
      <c r="C20" s="318"/>
      <c r="D20" s="318"/>
      <c r="E20" s="319"/>
      <c r="F20" s="318"/>
      <c r="G20" s="320"/>
      <c r="H20" s="320"/>
      <c r="I20" s="320"/>
      <c r="J20" s="191"/>
      <c r="K20" s="202"/>
      <c r="L20" s="202"/>
      <c r="M20" s="202"/>
      <c r="N20" s="202"/>
      <c r="O20" s="202"/>
      <c r="P20" s="202"/>
      <c r="Q20" s="202"/>
      <c r="R20" s="202"/>
    </row>
    <row r="21" spans="1:18">
      <c r="A21" s="268" t="s">
        <v>86</v>
      </c>
      <c r="B21" s="269">
        <v>757</v>
      </c>
      <c r="C21" s="270" t="s">
        <v>54</v>
      </c>
      <c r="D21" s="270"/>
      <c r="E21" s="270"/>
      <c r="F21" s="270"/>
      <c r="G21" s="267">
        <f>SUM(G22)</f>
        <v>161100</v>
      </c>
      <c r="H21" s="267">
        <f>SUM(H22)</f>
        <v>161100</v>
      </c>
      <c r="I21" s="267">
        <f>SUM(I22)</f>
        <v>161100</v>
      </c>
      <c r="J21" s="191"/>
    </row>
    <row r="22" spans="1:18">
      <c r="A22" s="82" t="s">
        <v>87</v>
      </c>
      <c r="B22" s="149">
        <v>757</v>
      </c>
      <c r="C22" s="84" t="s">
        <v>54</v>
      </c>
      <c r="D22" s="84" t="s">
        <v>88</v>
      </c>
      <c r="E22" s="84"/>
      <c r="F22" s="84"/>
      <c r="G22" s="87">
        <f>G23</f>
        <v>161100</v>
      </c>
      <c r="H22" s="87">
        <f>H23</f>
        <v>161100</v>
      </c>
      <c r="I22" s="87">
        <f>I23</f>
        <v>161100</v>
      </c>
      <c r="J22" s="177"/>
    </row>
    <row r="23" spans="1:18" s="32" customFormat="1" ht="29.25" customHeight="1">
      <c r="A23" s="136" t="s">
        <v>467</v>
      </c>
      <c r="B23" s="149">
        <v>757</v>
      </c>
      <c r="C23" s="84" t="s">
        <v>54</v>
      </c>
      <c r="D23" s="84" t="s">
        <v>88</v>
      </c>
      <c r="E23" s="84" t="s">
        <v>202</v>
      </c>
      <c r="F23" s="84"/>
      <c r="G23" s="87">
        <f>G24+G29</f>
        <v>161100</v>
      </c>
      <c r="H23" s="87">
        <f>H24+H29</f>
        <v>161100</v>
      </c>
      <c r="I23" s="87">
        <f>I24+I29</f>
        <v>161100</v>
      </c>
      <c r="J23" s="177"/>
      <c r="K23" s="203"/>
      <c r="L23" s="203"/>
      <c r="M23" s="203"/>
      <c r="N23" s="203"/>
      <c r="O23" s="203"/>
      <c r="P23" s="203"/>
      <c r="Q23" s="203"/>
      <c r="R23" s="203"/>
    </row>
    <row r="24" spans="1:18" s="32" customFormat="1" ht="27.75" customHeight="1">
      <c r="A24" s="136" t="s">
        <v>137</v>
      </c>
      <c r="B24" s="149">
        <v>757</v>
      </c>
      <c r="C24" s="84" t="s">
        <v>54</v>
      </c>
      <c r="D24" s="84" t="s">
        <v>88</v>
      </c>
      <c r="E24" s="84" t="s">
        <v>203</v>
      </c>
      <c r="F24" s="84"/>
      <c r="G24" s="87">
        <f>G27+G25</f>
        <v>161100</v>
      </c>
      <c r="H24" s="87">
        <f>H27+H25</f>
        <v>161100</v>
      </c>
      <c r="I24" s="87">
        <f>I27+I25</f>
        <v>161100</v>
      </c>
      <c r="J24" s="177"/>
      <c r="K24" s="203"/>
      <c r="L24" s="203"/>
      <c r="M24" s="203"/>
      <c r="N24" s="203"/>
      <c r="O24" s="203"/>
      <c r="P24" s="203"/>
      <c r="Q24" s="203"/>
      <c r="R24" s="203"/>
    </row>
    <row r="25" spans="1:18" ht="33.75" customHeight="1">
      <c r="A25" s="82" t="s">
        <v>36</v>
      </c>
      <c r="B25" s="149">
        <v>757</v>
      </c>
      <c r="C25" s="84" t="s">
        <v>54</v>
      </c>
      <c r="D25" s="84" t="s">
        <v>88</v>
      </c>
      <c r="E25" s="84" t="s">
        <v>203</v>
      </c>
      <c r="F25" s="84" t="s">
        <v>37</v>
      </c>
      <c r="G25" s="87">
        <f>G26</f>
        <v>0</v>
      </c>
      <c r="H25" s="87">
        <f t="shared" ref="H25:I25" si="0">H26</f>
        <v>75000</v>
      </c>
      <c r="I25" s="87">
        <f t="shared" si="0"/>
        <v>75000</v>
      </c>
      <c r="J25" s="177"/>
    </row>
    <row r="26" spans="1:18" ht="26.25" customHeight="1">
      <c r="A26" s="82" t="s">
        <v>38</v>
      </c>
      <c r="B26" s="149">
        <v>757</v>
      </c>
      <c r="C26" s="84" t="s">
        <v>54</v>
      </c>
      <c r="D26" s="84" t="s">
        <v>88</v>
      </c>
      <c r="E26" s="84" t="s">
        <v>203</v>
      </c>
      <c r="F26" s="84" t="s">
        <v>39</v>
      </c>
      <c r="G26" s="85">
        <f>75000-75000</f>
        <v>0</v>
      </c>
      <c r="H26" s="85">
        <v>75000</v>
      </c>
      <c r="I26" s="85">
        <v>75000</v>
      </c>
      <c r="J26" s="178"/>
    </row>
    <row r="27" spans="1:18" ht="25.5">
      <c r="A27" s="82" t="s">
        <v>30</v>
      </c>
      <c r="B27" s="149">
        <v>757</v>
      </c>
      <c r="C27" s="84" t="s">
        <v>54</v>
      </c>
      <c r="D27" s="84" t="s">
        <v>88</v>
      </c>
      <c r="E27" s="84" t="s">
        <v>203</v>
      </c>
      <c r="F27" s="84" t="s">
        <v>31</v>
      </c>
      <c r="G27" s="85">
        <f t="shared" ref="G27:I27" si="1">G28</f>
        <v>161100</v>
      </c>
      <c r="H27" s="85">
        <f t="shared" si="1"/>
        <v>86100</v>
      </c>
      <c r="I27" s="85">
        <f t="shared" si="1"/>
        <v>86100</v>
      </c>
      <c r="J27" s="178"/>
    </row>
    <row r="28" spans="1:18" ht="18" customHeight="1">
      <c r="A28" s="82" t="s">
        <v>32</v>
      </c>
      <c r="B28" s="149">
        <v>757</v>
      </c>
      <c r="C28" s="84" t="s">
        <v>54</v>
      </c>
      <c r="D28" s="84" t="s">
        <v>88</v>
      </c>
      <c r="E28" s="84" t="s">
        <v>203</v>
      </c>
      <c r="F28" s="84" t="s">
        <v>33</v>
      </c>
      <c r="G28" s="85">
        <f>86100+75000</f>
        <v>161100</v>
      </c>
      <c r="H28" s="85">
        <v>86100</v>
      </c>
      <c r="I28" s="85">
        <v>86100</v>
      </c>
      <c r="J28" s="178"/>
    </row>
    <row r="29" spans="1:18" ht="15" hidden="1" customHeight="1">
      <c r="A29" s="82" t="s">
        <v>501</v>
      </c>
      <c r="B29" s="149">
        <v>757</v>
      </c>
      <c r="C29" s="84" t="s">
        <v>54</v>
      </c>
      <c r="D29" s="84" t="s">
        <v>88</v>
      </c>
      <c r="E29" s="84" t="s">
        <v>500</v>
      </c>
      <c r="F29" s="84"/>
      <c r="G29" s="87">
        <f>G30</f>
        <v>0</v>
      </c>
      <c r="H29" s="87">
        <f t="shared" ref="H29:I29" si="2">H30</f>
        <v>0</v>
      </c>
      <c r="I29" s="87">
        <f t="shared" si="2"/>
        <v>0</v>
      </c>
      <c r="J29" s="177"/>
    </row>
    <row r="30" spans="1:18" ht="35.25" hidden="1" customHeight="1">
      <c r="A30" s="82" t="s">
        <v>36</v>
      </c>
      <c r="B30" s="149">
        <v>757</v>
      </c>
      <c r="C30" s="84" t="s">
        <v>54</v>
      </c>
      <c r="D30" s="84" t="s">
        <v>88</v>
      </c>
      <c r="E30" s="84" t="s">
        <v>500</v>
      </c>
      <c r="F30" s="84" t="s">
        <v>37</v>
      </c>
      <c r="G30" s="87">
        <f>G31</f>
        <v>0</v>
      </c>
      <c r="H30" s="87">
        <f t="shared" ref="H30:I30" si="3">H31</f>
        <v>0</v>
      </c>
      <c r="I30" s="87">
        <f t="shared" si="3"/>
        <v>0</v>
      </c>
      <c r="J30" s="177"/>
    </row>
    <row r="31" spans="1:18" ht="30" hidden="1" customHeight="1">
      <c r="A31" s="82" t="s">
        <v>38</v>
      </c>
      <c r="B31" s="149">
        <v>757</v>
      </c>
      <c r="C31" s="84" t="s">
        <v>54</v>
      </c>
      <c r="D31" s="84" t="s">
        <v>88</v>
      </c>
      <c r="E31" s="84" t="s">
        <v>500</v>
      </c>
      <c r="F31" s="84" t="s">
        <v>39</v>
      </c>
      <c r="G31" s="87"/>
      <c r="H31" s="87">
        <v>0</v>
      </c>
      <c r="I31" s="87">
        <v>0</v>
      </c>
      <c r="J31" s="177"/>
    </row>
    <row r="32" spans="1:18" ht="16.5" customHeight="1">
      <c r="A32" s="268" t="s">
        <v>25</v>
      </c>
      <c r="B32" s="270">
        <v>757</v>
      </c>
      <c r="C32" s="270" t="s">
        <v>26</v>
      </c>
      <c r="D32" s="270"/>
      <c r="E32" s="270"/>
      <c r="F32" s="270"/>
      <c r="G32" s="96">
        <f>G113+G33</f>
        <v>30800821.18</v>
      </c>
      <c r="H32" s="96">
        <f>H113+H33</f>
        <v>29947653.109999999</v>
      </c>
      <c r="I32" s="96">
        <f>I113+I33</f>
        <v>31523727.059999999</v>
      </c>
      <c r="J32" s="192"/>
    </row>
    <row r="33" spans="1:17" ht="18.75" customHeight="1">
      <c r="A33" s="82" t="s">
        <v>95</v>
      </c>
      <c r="B33" s="149">
        <v>757</v>
      </c>
      <c r="C33" s="84" t="s">
        <v>26</v>
      </c>
      <c r="D33" s="84" t="s">
        <v>70</v>
      </c>
      <c r="E33" s="84"/>
      <c r="F33" s="149"/>
      <c r="G33" s="87">
        <f>G34+G96+G71+G92+G101</f>
        <v>30800821.18</v>
      </c>
      <c r="H33" s="87">
        <f>H34+H96+H71</f>
        <v>29947653.109999999</v>
      </c>
      <c r="I33" s="87">
        <f>I34+I96+I71</f>
        <v>31523727.059999999</v>
      </c>
      <c r="J33" s="177"/>
    </row>
    <row r="34" spans="1:17" ht="35.25" customHeight="1">
      <c r="A34" s="82" t="s">
        <v>487</v>
      </c>
      <c r="B34" s="149">
        <v>757</v>
      </c>
      <c r="C34" s="84" t="s">
        <v>26</v>
      </c>
      <c r="D34" s="84" t="s">
        <v>70</v>
      </c>
      <c r="E34" s="84" t="s">
        <v>193</v>
      </c>
      <c r="F34" s="84"/>
      <c r="G34" s="87">
        <f>+G38+G68+G65+G53+G59+G56+G62+G86+G89+G50+G75+G78+G81+G41+G35+G47+G44</f>
        <v>28025836.18</v>
      </c>
      <c r="H34" s="87">
        <f>+H38+H68+H65+H53+H59+H56+H62+H86+H89+H50+H75+H78+H81+H41+H35+H47+H44</f>
        <v>28303675.109999999</v>
      </c>
      <c r="I34" s="87">
        <f>+I38+I68+I65+I53+I59+I56+I62+I86+I89+I50+I75+I78+I81+I41+I35+I47+I44</f>
        <v>29433199.059999999</v>
      </c>
      <c r="J34" s="177"/>
      <c r="Q34" s="209"/>
    </row>
    <row r="35" spans="1:17" ht="38.25">
      <c r="A35" s="82" t="s">
        <v>669</v>
      </c>
      <c r="B35" s="149">
        <v>757</v>
      </c>
      <c r="C35" s="84" t="s">
        <v>26</v>
      </c>
      <c r="D35" s="84" t="s">
        <v>70</v>
      </c>
      <c r="E35" s="84" t="s">
        <v>855</v>
      </c>
      <c r="F35" s="84"/>
      <c r="G35" s="87">
        <f>G36</f>
        <v>0</v>
      </c>
      <c r="H35" s="87">
        <f t="shared" ref="H35:I35" si="4">H36</f>
        <v>300000</v>
      </c>
      <c r="I35" s="87">
        <f t="shared" si="4"/>
        <v>0</v>
      </c>
      <c r="J35" s="177"/>
    </row>
    <row r="36" spans="1:17" ht="25.5">
      <c r="A36" s="82" t="s">
        <v>30</v>
      </c>
      <c r="B36" s="149">
        <v>757</v>
      </c>
      <c r="C36" s="84" t="s">
        <v>26</v>
      </c>
      <c r="D36" s="84" t="s">
        <v>70</v>
      </c>
      <c r="E36" s="84" t="s">
        <v>855</v>
      </c>
      <c r="F36" s="84" t="s">
        <v>31</v>
      </c>
      <c r="G36" s="87">
        <f>G37</f>
        <v>0</v>
      </c>
      <c r="H36" s="87">
        <f>H37</f>
        <v>300000</v>
      </c>
      <c r="I36" s="87">
        <f>I37</f>
        <v>0</v>
      </c>
      <c r="J36" s="177"/>
    </row>
    <row r="37" spans="1:17" ht="19.5" customHeight="1">
      <c r="A37" s="82" t="s">
        <v>32</v>
      </c>
      <c r="B37" s="149">
        <v>757</v>
      </c>
      <c r="C37" s="84" t="s">
        <v>26</v>
      </c>
      <c r="D37" s="84" t="s">
        <v>70</v>
      </c>
      <c r="E37" s="84" t="s">
        <v>855</v>
      </c>
      <c r="F37" s="84" t="s">
        <v>33</v>
      </c>
      <c r="G37" s="87">
        <v>0</v>
      </c>
      <c r="H37" s="87">
        <v>300000</v>
      </c>
      <c r="I37" s="87">
        <v>0</v>
      </c>
      <c r="J37" s="177"/>
    </row>
    <row r="38" spans="1:17" ht="25.5">
      <c r="A38" s="82" t="s">
        <v>29</v>
      </c>
      <c r="B38" s="149">
        <v>757</v>
      </c>
      <c r="C38" s="84" t="s">
        <v>26</v>
      </c>
      <c r="D38" s="84" t="s">
        <v>70</v>
      </c>
      <c r="E38" s="84" t="s">
        <v>194</v>
      </c>
      <c r="F38" s="84"/>
      <c r="G38" s="87">
        <f>G39</f>
        <v>27684755.579999998</v>
      </c>
      <c r="H38" s="87">
        <f t="shared" ref="H38:I38" si="5">H39</f>
        <v>27590675.109999999</v>
      </c>
      <c r="I38" s="87">
        <f t="shared" si="5"/>
        <v>29065199.059999999</v>
      </c>
      <c r="J38" s="177"/>
    </row>
    <row r="39" spans="1:17" ht="25.5">
      <c r="A39" s="82" t="s">
        <v>30</v>
      </c>
      <c r="B39" s="149">
        <v>757</v>
      </c>
      <c r="C39" s="84" t="s">
        <v>26</v>
      </c>
      <c r="D39" s="84" t="s">
        <v>70</v>
      </c>
      <c r="E39" s="84" t="s">
        <v>194</v>
      </c>
      <c r="F39" s="84" t="s">
        <v>31</v>
      </c>
      <c r="G39" s="87">
        <f>G40</f>
        <v>27684755.579999998</v>
      </c>
      <c r="H39" s="87">
        <f>H40</f>
        <v>27590675.109999999</v>
      </c>
      <c r="I39" s="87">
        <f>I40</f>
        <v>29065199.059999999</v>
      </c>
      <c r="J39" s="177"/>
    </row>
    <row r="40" spans="1:17" ht="19.5" customHeight="1">
      <c r="A40" s="82" t="s">
        <v>32</v>
      </c>
      <c r="B40" s="149">
        <v>757</v>
      </c>
      <c r="C40" s="84" t="s">
        <v>26</v>
      </c>
      <c r="D40" s="84" t="s">
        <v>70</v>
      </c>
      <c r="E40" s="84" t="s">
        <v>194</v>
      </c>
      <c r="F40" s="84" t="s">
        <v>33</v>
      </c>
      <c r="G40" s="87">
        <f>27703550.58-18795</f>
        <v>27684755.579999998</v>
      </c>
      <c r="H40" s="87">
        <v>27590675.109999999</v>
      </c>
      <c r="I40" s="87">
        <v>29065199.059999999</v>
      </c>
      <c r="J40" s="177"/>
    </row>
    <row r="41" spans="1:17" ht="25.5">
      <c r="A41" s="82" t="s">
        <v>853</v>
      </c>
      <c r="B41" s="149">
        <v>757</v>
      </c>
      <c r="C41" s="84" t="s">
        <v>26</v>
      </c>
      <c r="D41" s="84" t="s">
        <v>70</v>
      </c>
      <c r="E41" s="84" t="s">
        <v>852</v>
      </c>
      <c r="F41" s="84"/>
      <c r="G41" s="87">
        <f>G42</f>
        <v>106780.6</v>
      </c>
      <c r="H41" s="87">
        <f t="shared" ref="H41:I41" si="6">H42</f>
        <v>100000</v>
      </c>
      <c r="I41" s="87">
        <f t="shared" si="6"/>
        <v>100000</v>
      </c>
      <c r="J41" s="177"/>
    </row>
    <row r="42" spans="1:17" ht="25.5">
      <c r="A42" s="82" t="s">
        <v>30</v>
      </c>
      <c r="B42" s="149">
        <v>757</v>
      </c>
      <c r="C42" s="84" t="s">
        <v>26</v>
      </c>
      <c r="D42" s="84" t="s">
        <v>70</v>
      </c>
      <c r="E42" s="84" t="s">
        <v>852</v>
      </c>
      <c r="F42" s="84" t="s">
        <v>31</v>
      </c>
      <c r="G42" s="87">
        <f>G43</f>
        <v>106780.6</v>
      </c>
      <c r="H42" s="87">
        <f>H43</f>
        <v>100000</v>
      </c>
      <c r="I42" s="87">
        <f>I43</f>
        <v>100000</v>
      </c>
      <c r="J42" s="177"/>
    </row>
    <row r="43" spans="1:17" ht="19.5" customHeight="1">
      <c r="A43" s="82" t="s">
        <v>32</v>
      </c>
      <c r="B43" s="149">
        <v>757</v>
      </c>
      <c r="C43" s="84" t="s">
        <v>26</v>
      </c>
      <c r="D43" s="84" t="s">
        <v>70</v>
      </c>
      <c r="E43" s="84" t="s">
        <v>852</v>
      </c>
      <c r="F43" s="84" t="s">
        <v>33</v>
      </c>
      <c r="G43" s="87">
        <f>100000+6780.6</f>
        <v>106780.6</v>
      </c>
      <c r="H43" s="87">
        <v>100000</v>
      </c>
      <c r="I43" s="87">
        <v>100000</v>
      </c>
      <c r="J43" s="177"/>
    </row>
    <row r="44" spans="1:17">
      <c r="A44" s="82" t="s">
        <v>858</v>
      </c>
      <c r="B44" s="149">
        <v>757</v>
      </c>
      <c r="C44" s="84" t="s">
        <v>26</v>
      </c>
      <c r="D44" s="84" t="s">
        <v>70</v>
      </c>
      <c r="E44" s="84" t="s">
        <v>857</v>
      </c>
      <c r="F44" s="84"/>
      <c r="G44" s="87">
        <f>G45</f>
        <v>54000</v>
      </c>
      <c r="H44" s="87">
        <f t="shared" ref="H44:I44" si="7">H45</f>
        <v>261000</v>
      </c>
      <c r="I44" s="87">
        <f t="shared" si="7"/>
        <v>216000</v>
      </c>
      <c r="J44" s="177"/>
    </row>
    <row r="45" spans="1:17" ht="25.5">
      <c r="A45" s="82" t="s">
        <v>30</v>
      </c>
      <c r="B45" s="149">
        <v>757</v>
      </c>
      <c r="C45" s="84" t="s">
        <v>26</v>
      </c>
      <c r="D45" s="84" t="s">
        <v>70</v>
      </c>
      <c r="E45" s="84" t="s">
        <v>857</v>
      </c>
      <c r="F45" s="84" t="s">
        <v>31</v>
      </c>
      <c r="G45" s="87">
        <f>G46</f>
        <v>54000</v>
      </c>
      <c r="H45" s="87">
        <f>H46</f>
        <v>261000</v>
      </c>
      <c r="I45" s="87">
        <f>I46</f>
        <v>216000</v>
      </c>
      <c r="J45" s="177"/>
    </row>
    <row r="46" spans="1:17" ht="19.5" customHeight="1">
      <c r="A46" s="82" t="s">
        <v>32</v>
      </c>
      <c r="B46" s="149">
        <v>757</v>
      </c>
      <c r="C46" s="84" t="s">
        <v>26</v>
      </c>
      <c r="D46" s="84" t="s">
        <v>70</v>
      </c>
      <c r="E46" s="84" t="s">
        <v>857</v>
      </c>
      <c r="F46" s="84" t="s">
        <v>33</v>
      </c>
      <c r="G46" s="87">
        <f>72000-18000</f>
        <v>54000</v>
      </c>
      <c r="H46" s="87">
        <v>261000</v>
      </c>
      <c r="I46" s="87">
        <v>216000</v>
      </c>
      <c r="J46" s="177"/>
    </row>
    <row r="47" spans="1:17" ht="25.5">
      <c r="A47" s="82" t="s">
        <v>856</v>
      </c>
      <c r="B47" s="149">
        <v>757</v>
      </c>
      <c r="C47" s="84" t="s">
        <v>26</v>
      </c>
      <c r="D47" s="84" t="s">
        <v>70</v>
      </c>
      <c r="E47" s="84" t="s">
        <v>868</v>
      </c>
      <c r="F47" s="84"/>
      <c r="G47" s="87">
        <f>G48</f>
        <v>55000</v>
      </c>
      <c r="H47" s="87">
        <f t="shared" ref="H47:I47" si="8">H48</f>
        <v>52000</v>
      </c>
      <c r="I47" s="87">
        <f t="shared" si="8"/>
        <v>52000</v>
      </c>
      <c r="J47" s="177"/>
    </row>
    <row r="48" spans="1:17" ht="25.5">
      <c r="A48" s="82" t="s">
        <v>30</v>
      </c>
      <c r="B48" s="149">
        <v>757</v>
      </c>
      <c r="C48" s="84" t="s">
        <v>26</v>
      </c>
      <c r="D48" s="84" t="s">
        <v>70</v>
      </c>
      <c r="E48" s="84" t="s">
        <v>868</v>
      </c>
      <c r="F48" s="84" t="s">
        <v>31</v>
      </c>
      <c r="G48" s="87">
        <f>G49</f>
        <v>55000</v>
      </c>
      <c r="H48" s="87">
        <f>H49</f>
        <v>52000</v>
      </c>
      <c r="I48" s="87">
        <f>I49</f>
        <v>52000</v>
      </c>
      <c r="J48" s="177"/>
    </row>
    <row r="49" spans="1:12" ht="19.5" customHeight="1">
      <c r="A49" s="82" t="s">
        <v>32</v>
      </c>
      <c r="B49" s="149">
        <v>757</v>
      </c>
      <c r="C49" s="84" t="s">
        <v>26</v>
      </c>
      <c r="D49" s="84" t="s">
        <v>70</v>
      </c>
      <c r="E49" s="84" t="s">
        <v>868</v>
      </c>
      <c r="F49" s="84" t="s">
        <v>33</v>
      </c>
      <c r="G49" s="87">
        <v>55000</v>
      </c>
      <c r="H49" s="87">
        <v>52000</v>
      </c>
      <c r="I49" s="87">
        <v>52000</v>
      </c>
      <c r="J49" s="177"/>
    </row>
    <row r="50" spans="1:12" ht="60" hidden="1" customHeight="1">
      <c r="A50" s="82" t="s">
        <v>669</v>
      </c>
      <c r="B50" s="149">
        <v>757</v>
      </c>
      <c r="C50" s="84" t="s">
        <v>26</v>
      </c>
      <c r="D50" s="84" t="s">
        <v>70</v>
      </c>
      <c r="E50" s="84" t="s">
        <v>670</v>
      </c>
      <c r="F50" s="84"/>
      <c r="G50" s="87">
        <f>G51</f>
        <v>0</v>
      </c>
      <c r="H50" s="87">
        <f t="shared" ref="H50:I51" si="9">H51</f>
        <v>0</v>
      </c>
      <c r="I50" s="87">
        <f t="shared" si="9"/>
        <v>0</v>
      </c>
      <c r="J50" s="177"/>
    </row>
    <row r="51" spans="1:12" ht="47.25" hidden="1" customHeight="1">
      <c r="A51" s="82" t="s">
        <v>30</v>
      </c>
      <c r="B51" s="149">
        <v>757</v>
      </c>
      <c r="C51" s="84" t="s">
        <v>26</v>
      </c>
      <c r="D51" s="84" t="s">
        <v>70</v>
      </c>
      <c r="E51" s="84" t="s">
        <v>670</v>
      </c>
      <c r="F51" s="84" t="s">
        <v>31</v>
      </c>
      <c r="G51" s="87">
        <f>G52</f>
        <v>0</v>
      </c>
      <c r="H51" s="87">
        <f t="shared" si="9"/>
        <v>0</v>
      </c>
      <c r="I51" s="87">
        <f t="shared" si="9"/>
        <v>0</v>
      </c>
      <c r="J51" s="177"/>
      <c r="K51" s="177"/>
      <c r="L51" s="177"/>
    </row>
    <row r="52" spans="1:12" ht="41.25" hidden="1" customHeight="1">
      <c r="A52" s="82" t="s">
        <v>32</v>
      </c>
      <c r="B52" s="149">
        <v>757</v>
      </c>
      <c r="C52" s="84" t="s">
        <v>26</v>
      </c>
      <c r="D52" s="84" t="s">
        <v>70</v>
      </c>
      <c r="E52" s="84" t="s">
        <v>670</v>
      </c>
      <c r="F52" s="84" t="s">
        <v>33</v>
      </c>
      <c r="G52" s="87"/>
      <c r="H52" s="87"/>
      <c r="I52" s="87"/>
      <c r="J52" s="177"/>
    </row>
    <row r="53" spans="1:12" ht="36" hidden="1" customHeight="1">
      <c r="A53" s="82" t="s">
        <v>544</v>
      </c>
      <c r="B53" s="149">
        <v>757</v>
      </c>
      <c r="C53" s="84" t="s">
        <v>26</v>
      </c>
      <c r="D53" s="84" t="s">
        <v>70</v>
      </c>
      <c r="E53" s="84" t="s">
        <v>545</v>
      </c>
      <c r="F53" s="84"/>
      <c r="G53" s="87">
        <f>G55</f>
        <v>0</v>
      </c>
      <c r="H53" s="87">
        <v>0</v>
      </c>
      <c r="I53" s="87">
        <v>0</v>
      </c>
      <c r="J53" s="177"/>
    </row>
    <row r="54" spans="1:12" ht="36" hidden="1" customHeight="1">
      <c r="A54" s="82" t="s">
        <v>30</v>
      </c>
      <c r="B54" s="149">
        <v>757</v>
      </c>
      <c r="C54" s="84" t="s">
        <v>26</v>
      </c>
      <c r="D54" s="84" t="s">
        <v>70</v>
      </c>
      <c r="E54" s="84" t="s">
        <v>545</v>
      </c>
      <c r="F54" s="84" t="s">
        <v>31</v>
      </c>
      <c r="G54" s="87">
        <f>G55</f>
        <v>0</v>
      </c>
      <c r="H54" s="87">
        <v>0</v>
      </c>
      <c r="I54" s="87">
        <v>0</v>
      </c>
      <c r="J54" s="177"/>
    </row>
    <row r="55" spans="1:12" ht="19.5" hidden="1" customHeight="1">
      <c r="A55" s="82" t="s">
        <v>32</v>
      </c>
      <c r="B55" s="149">
        <v>757</v>
      </c>
      <c r="C55" s="84" t="s">
        <v>26</v>
      </c>
      <c r="D55" s="84" t="s">
        <v>70</v>
      </c>
      <c r="E55" s="84" t="s">
        <v>545</v>
      </c>
      <c r="F55" s="84" t="s">
        <v>33</v>
      </c>
      <c r="G55" s="87"/>
      <c r="H55" s="87">
        <v>0</v>
      </c>
      <c r="I55" s="87">
        <v>0</v>
      </c>
      <c r="J55" s="177"/>
    </row>
    <row r="56" spans="1:12" ht="66" hidden="1" customHeight="1">
      <c r="A56" s="82" t="s">
        <v>540</v>
      </c>
      <c r="B56" s="149">
        <v>757</v>
      </c>
      <c r="C56" s="84" t="s">
        <v>26</v>
      </c>
      <c r="D56" s="84" t="s">
        <v>70</v>
      </c>
      <c r="E56" s="84" t="s">
        <v>628</v>
      </c>
      <c r="F56" s="84"/>
      <c r="G56" s="87">
        <f>G57</f>
        <v>0</v>
      </c>
      <c r="H56" s="87">
        <f t="shared" ref="H56:I57" si="10">H57</f>
        <v>0</v>
      </c>
      <c r="I56" s="87">
        <f t="shared" si="10"/>
        <v>0</v>
      </c>
      <c r="J56" s="177"/>
    </row>
    <row r="57" spans="1:12" ht="33.75" hidden="1" customHeight="1">
      <c r="A57" s="82" t="s">
        <v>30</v>
      </c>
      <c r="B57" s="149">
        <v>757</v>
      </c>
      <c r="C57" s="84" t="s">
        <v>26</v>
      </c>
      <c r="D57" s="84" t="s">
        <v>70</v>
      </c>
      <c r="E57" s="84" t="s">
        <v>628</v>
      </c>
      <c r="F57" s="84" t="s">
        <v>31</v>
      </c>
      <c r="G57" s="87">
        <f>G58</f>
        <v>0</v>
      </c>
      <c r="H57" s="87">
        <f t="shared" si="10"/>
        <v>0</v>
      </c>
      <c r="I57" s="87">
        <f t="shared" si="10"/>
        <v>0</v>
      </c>
      <c r="J57" s="177"/>
    </row>
    <row r="58" spans="1:12" ht="27.75" hidden="1" customHeight="1">
      <c r="A58" s="82" t="s">
        <v>32</v>
      </c>
      <c r="B58" s="149">
        <v>757</v>
      </c>
      <c r="C58" s="84" t="s">
        <v>26</v>
      </c>
      <c r="D58" s="84" t="s">
        <v>70</v>
      </c>
      <c r="E58" s="84" t="s">
        <v>628</v>
      </c>
      <c r="F58" s="84" t="s">
        <v>33</v>
      </c>
      <c r="G58" s="87"/>
      <c r="H58" s="87"/>
      <c r="I58" s="87"/>
      <c r="J58" s="177"/>
    </row>
    <row r="59" spans="1:12" ht="78.75" customHeight="1">
      <c r="A59" s="82" t="s">
        <v>271</v>
      </c>
      <c r="B59" s="149">
        <v>757</v>
      </c>
      <c r="C59" s="84" t="s">
        <v>26</v>
      </c>
      <c r="D59" s="84" t="s">
        <v>70</v>
      </c>
      <c r="E59" s="84" t="s">
        <v>592</v>
      </c>
      <c r="F59" s="84"/>
      <c r="G59" s="87">
        <f>G61</f>
        <v>125300</v>
      </c>
      <c r="H59" s="87">
        <v>0</v>
      </c>
      <c r="I59" s="87">
        <v>0</v>
      </c>
      <c r="J59" s="177"/>
    </row>
    <row r="60" spans="1:12" ht="36" customHeight="1">
      <c r="A60" s="82" t="s">
        <v>30</v>
      </c>
      <c r="B60" s="149">
        <v>757</v>
      </c>
      <c r="C60" s="84" t="s">
        <v>26</v>
      </c>
      <c r="D60" s="84" t="s">
        <v>70</v>
      </c>
      <c r="E60" s="84" t="s">
        <v>592</v>
      </c>
      <c r="F60" s="84" t="s">
        <v>31</v>
      </c>
      <c r="G60" s="87">
        <f>G61</f>
        <v>125300</v>
      </c>
      <c r="H60" s="87">
        <v>0</v>
      </c>
      <c r="I60" s="87">
        <v>0</v>
      </c>
      <c r="J60" s="177"/>
    </row>
    <row r="61" spans="1:12" ht="19.5" customHeight="1">
      <c r="A61" s="82" t="s">
        <v>32</v>
      </c>
      <c r="B61" s="149">
        <v>757</v>
      </c>
      <c r="C61" s="84" t="s">
        <v>26</v>
      </c>
      <c r="D61" s="84" t="s">
        <v>70</v>
      </c>
      <c r="E61" s="84" t="s">
        <v>592</v>
      </c>
      <c r="F61" s="84" t="s">
        <v>33</v>
      </c>
      <c r="G61" s="87">
        <f>106505+18795</f>
        <v>125300</v>
      </c>
      <c r="H61" s="87">
        <v>0</v>
      </c>
      <c r="I61" s="87">
        <v>0</v>
      </c>
      <c r="J61" s="177"/>
    </row>
    <row r="62" spans="1:12" ht="81.75" hidden="1" customHeight="1">
      <c r="A62" s="82" t="s">
        <v>630</v>
      </c>
      <c r="B62" s="149">
        <v>757</v>
      </c>
      <c r="C62" s="84" t="s">
        <v>26</v>
      </c>
      <c r="D62" s="84" t="s">
        <v>70</v>
      </c>
      <c r="E62" s="84" t="s">
        <v>629</v>
      </c>
      <c r="F62" s="84"/>
      <c r="G62" s="87">
        <f>G63</f>
        <v>0</v>
      </c>
      <c r="H62" s="87">
        <f t="shared" ref="H62:I63" si="11">H63</f>
        <v>0</v>
      </c>
      <c r="I62" s="87">
        <f t="shared" si="11"/>
        <v>0</v>
      </c>
      <c r="J62" s="177"/>
    </row>
    <row r="63" spans="1:12" ht="47.25" hidden="1" customHeight="1">
      <c r="A63" s="82" t="s">
        <v>96</v>
      </c>
      <c r="B63" s="149">
        <v>757</v>
      </c>
      <c r="C63" s="84" t="s">
        <v>26</v>
      </c>
      <c r="D63" s="84" t="s">
        <v>70</v>
      </c>
      <c r="E63" s="84" t="s">
        <v>629</v>
      </c>
      <c r="F63" s="84" t="s">
        <v>348</v>
      </c>
      <c r="G63" s="87">
        <f>G64</f>
        <v>0</v>
      </c>
      <c r="H63" s="87">
        <f t="shared" si="11"/>
        <v>0</v>
      </c>
      <c r="I63" s="87"/>
      <c r="J63" s="177"/>
    </row>
    <row r="64" spans="1:12" ht="98.25" hidden="1" customHeight="1">
      <c r="A64" s="133" t="s">
        <v>420</v>
      </c>
      <c r="B64" s="149">
        <v>757</v>
      </c>
      <c r="C64" s="84" t="s">
        <v>26</v>
      </c>
      <c r="D64" s="84" t="s">
        <v>70</v>
      </c>
      <c r="E64" s="84" t="s">
        <v>629</v>
      </c>
      <c r="F64" s="84" t="s">
        <v>419</v>
      </c>
      <c r="G64" s="87"/>
      <c r="H64" s="87">
        <v>0</v>
      </c>
      <c r="I64" s="87"/>
      <c r="J64" s="177"/>
    </row>
    <row r="65" spans="1:18" ht="19.5" hidden="1" customHeight="1">
      <c r="A65" s="82" t="s">
        <v>393</v>
      </c>
      <c r="B65" s="149">
        <v>757</v>
      </c>
      <c r="C65" s="84" t="s">
        <v>26</v>
      </c>
      <c r="D65" s="84" t="s">
        <v>70</v>
      </c>
      <c r="E65" s="84" t="s">
        <v>126</v>
      </c>
      <c r="F65" s="84"/>
      <c r="G65" s="87">
        <f>G66</f>
        <v>0</v>
      </c>
      <c r="H65" s="87">
        <v>0</v>
      </c>
      <c r="I65" s="87">
        <v>0</v>
      </c>
      <c r="J65" s="177"/>
    </row>
    <row r="66" spans="1:18" ht="39.75" hidden="1" customHeight="1">
      <c r="A66" s="82" t="s">
        <v>30</v>
      </c>
      <c r="B66" s="149">
        <v>757</v>
      </c>
      <c r="C66" s="84" t="s">
        <v>26</v>
      </c>
      <c r="D66" s="84" t="s">
        <v>70</v>
      </c>
      <c r="E66" s="84" t="s">
        <v>126</v>
      </c>
      <c r="F66" s="84" t="s">
        <v>31</v>
      </c>
      <c r="G66" s="87">
        <f>G67</f>
        <v>0</v>
      </c>
      <c r="H66" s="87">
        <v>0</v>
      </c>
      <c r="I66" s="87">
        <v>0</v>
      </c>
      <c r="J66" s="177"/>
    </row>
    <row r="67" spans="1:18" ht="20.25" hidden="1" customHeight="1">
      <c r="A67" s="82" t="s">
        <v>32</v>
      </c>
      <c r="B67" s="149">
        <v>757</v>
      </c>
      <c r="C67" s="84" t="s">
        <v>26</v>
      </c>
      <c r="D67" s="84" t="s">
        <v>70</v>
      </c>
      <c r="E67" s="84" t="s">
        <v>126</v>
      </c>
      <c r="F67" s="84" t="s">
        <v>33</v>
      </c>
      <c r="G67" s="87"/>
      <c r="H67" s="87">
        <v>0</v>
      </c>
      <c r="I67" s="87">
        <v>0</v>
      </c>
      <c r="J67" s="177"/>
    </row>
    <row r="68" spans="1:18" ht="87.75" hidden="1" customHeight="1">
      <c r="A68" s="82" t="s">
        <v>511</v>
      </c>
      <c r="B68" s="149">
        <v>757</v>
      </c>
      <c r="C68" s="84" t="s">
        <v>26</v>
      </c>
      <c r="D68" s="84" t="s">
        <v>70</v>
      </c>
      <c r="E68" s="84" t="s">
        <v>512</v>
      </c>
      <c r="F68" s="84"/>
      <c r="G68" s="87">
        <f>G69</f>
        <v>0</v>
      </c>
      <c r="H68" s="87">
        <f t="shared" ref="H68:I68" si="12">H69</f>
        <v>0</v>
      </c>
      <c r="I68" s="87">
        <f t="shared" si="12"/>
        <v>0</v>
      </c>
      <c r="J68" s="177"/>
    </row>
    <row r="69" spans="1:18" ht="45" hidden="1" customHeight="1">
      <c r="A69" s="82" t="s">
        <v>30</v>
      </c>
      <c r="B69" s="149">
        <v>757</v>
      </c>
      <c r="C69" s="84" t="s">
        <v>26</v>
      </c>
      <c r="D69" s="84" t="s">
        <v>70</v>
      </c>
      <c r="E69" s="84" t="s">
        <v>512</v>
      </c>
      <c r="F69" s="84" t="s">
        <v>31</v>
      </c>
      <c r="G69" s="87">
        <f>G70</f>
        <v>0</v>
      </c>
      <c r="H69" s="87">
        <f t="shared" ref="H69:I69" si="13">H70</f>
        <v>0</v>
      </c>
      <c r="I69" s="87">
        <f t="shared" si="13"/>
        <v>0</v>
      </c>
      <c r="J69" s="177"/>
      <c r="K69" s="177"/>
      <c r="L69" s="177"/>
    </row>
    <row r="70" spans="1:18" ht="19.5" hidden="1" customHeight="1">
      <c r="A70" s="82" t="s">
        <v>32</v>
      </c>
      <c r="B70" s="149">
        <v>757</v>
      </c>
      <c r="C70" s="84" t="s">
        <v>26</v>
      </c>
      <c r="D70" s="84" t="s">
        <v>70</v>
      </c>
      <c r="E70" s="84" t="s">
        <v>512</v>
      </c>
      <c r="F70" s="84" t="s">
        <v>33</v>
      </c>
      <c r="G70" s="87">
        <v>0</v>
      </c>
      <c r="H70" s="87"/>
      <c r="I70" s="87">
        <v>0</v>
      </c>
      <c r="J70" s="177"/>
    </row>
    <row r="71" spans="1:18" s="18" customFormat="1" ht="51" hidden="1">
      <c r="A71" s="82" t="s">
        <v>513</v>
      </c>
      <c r="B71" s="149">
        <v>757</v>
      </c>
      <c r="C71" s="84" t="s">
        <v>26</v>
      </c>
      <c r="D71" s="84" t="s">
        <v>70</v>
      </c>
      <c r="E71" s="84" t="s">
        <v>214</v>
      </c>
      <c r="F71" s="84"/>
      <c r="G71" s="87">
        <f>G72</f>
        <v>0</v>
      </c>
      <c r="H71" s="87">
        <f>H72</f>
        <v>0</v>
      </c>
      <c r="I71" s="87">
        <f t="shared" ref="H71:I73" si="14">I72</f>
        <v>0</v>
      </c>
      <c r="J71" s="177"/>
      <c r="K71" s="200"/>
      <c r="L71" s="200"/>
      <c r="M71" s="200"/>
      <c r="N71" s="200"/>
      <c r="O71" s="200"/>
      <c r="P71" s="200"/>
      <c r="Q71" s="200"/>
      <c r="R71" s="200"/>
    </row>
    <row r="72" spans="1:18" s="18" customFormat="1" ht="38.25" hidden="1">
      <c r="A72" s="82" t="s">
        <v>603</v>
      </c>
      <c r="B72" s="149">
        <v>757</v>
      </c>
      <c r="C72" s="84" t="s">
        <v>26</v>
      </c>
      <c r="D72" s="84" t="s">
        <v>70</v>
      </c>
      <c r="E72" s="84" t="s">
        <v>584</v>
      </c>
      <c r="F72" s="84"/>
      <c r="G72" s="87">
        <f>G73</f>
        <v>0</v>
      </c>
      <c r="H72" s="87">
        <f t="shared" si="14"/>
        <v>0</v>
      </c>
      <c r="I72" s="87">
        <f t="shared" si="14"/>
        <v>0</v>
      </c>
      <c r="J72" s="177"/>
      <c r="K72" s="200"/>
      <c r="L72" s="200"/>
      <c r="M72" s="200"/>
      <c r="N72" s="200"/>
      <c r="O72" s="200"/>
      <c r="P72" s="200"/>
      <c r="Q72" s="200"/>
      <c r="R72" s="200"/>
    </row>
    <row r="73" spans="1:18" s="18" customFormat="1" ht="36" hidden="1" customHeight="1">
      <c r="A73" s="82" t="s">
        <v>96</v>
      </c>
      <c r="B73" s="149">
        <v>757</v>
      </c>
      <c r="C73" s="84" t="s">
        <v>26</v>
      </c>
      <c r="D73" s="84" t="s">
        <v>70</v>
      </c>
      <c r="E73" s="84" t="s">
        <v>584</v>
      </c>
      <c r="F73" s="84" t="s">
        <v>348</v>
      </c>
      <c r="G73" s="87">
        <f>G74</f>
        <v>0</v>
      </c>
      <c r="H73" s="87">
        <f t="shared" si="14"/>
        <v>0</v>
      </c>
      <c r="I73" s="87">
        <f t="shared" si="14"/>
        <v>0</v>
      </c>
      <c r="J73" s="177"/>
      <c r="K73" s="200"/>
      <c r="L73" s="200"/>
      <c r="M73" s="200"/>
      <c r="N73" s="200"/>
      <c r="O73" s="200"/>
      <c r="P73" s="200"/>
      <c r="Q73" s="200"/>
      <c r="R73" s="200"/>
    </row>
    <row r="74" spans="1:18" s="18" customFormat="1" ht="99" hidden="1" customHeight="1">
      <c r="A74" s="133" t="s">
        <v>420</v>
      </c>
      <c r="B74" s="149">
        <v>757</v>
      </c>
      <c r="C74" s="84" t="s">
        <v>26</v>
      </c>
      <c r="D74" s="84" t="s">
        <v>70</v>
      </c>
      <c r="E74" s="84" t="s">
        <v>584</v>
      </c>
      <c r="F74" s="84" t="s">
        <v>419</v>
      </c>
      <c r="G74" s="87">
        <v>0</v>
      </c>
      <c r="H74" s="87"/>
      <c r="I74" s="87">
        <v>0</v>
      </c>
      <c r="J74" s="177"/>
      <c r="K74" s="200"/>
      <c r="L74" s="200"/>
      <c r="M74" s="200"/>
      <c r="N74" s="200"/>
      <c r="O74" s="200"/>
      <c r="P74" s="200"/>
      <c r="Q74" s="200"/>
      <c r="R74" s="200"/>
    </row>
    <row r="75" spans="1:18" ht="27.75" hidden="1" customHeight="1">
      <c r="A75" s="82" t="s">
        <v>752</v>
      </c>
      <c r="B75" s="149">
        <v>757</v>
      </c>
      <c r="C75" s="84" t="s">
        <v>26</v>
      </c>
      <c r="D75" s="84" t="s">
        <v>70</v>
      </c>
      <c r="E75" s="84" t="s">
        <v>751</v>
      </c>
      <c r="F75" s="84"/>
      <c r="G75" s="87">
        <f>G76</f>
        <v>0</v>
      </c>
      <c r="H75" s="87">
        <f t="shared" ref="H75:I76" si="15">H76</f>
        <v>0</v>
      </c>
      <c r="I75" s="87">
        <f t="shared" si="15"/>
        <v>0</v>
      </c>
      <c r="J75" s="177"/>
    </row>
    <row r="76" spans="1:18" ht="45.75" hidden="1" customHeight="1">
      <c r="A76" s="82" t="s">
        <v>30</v>
      </c>
      <c r="B76" s="149">
        <v>757</v>
      </c>
      <c r="C76" s="84" t="s">
        <v>26</v>
      </c>
      <c r="D76" s="84" t="s">
        <v>70</v>
      </c>
      <c r="E76" s="84" t="s">
        <v>751</v>
      </c>
      <c r="F76" s="84" t="s">
        <v>31</v>
      </c>
      <c r="G76" s="87">
        <f>G77</f>
        <v>0</v>
      </c>
      <c r="H76" s="87">
        <f t="shared" si="15"/>
        <v>0</v>
      </c>
      <c r="I76" s="87">
        <f t="shared" si="15"/>
        <v>0</v>
      </c>
      <c r="J76" s="177"/>
      <c r="K76" s="177"/>
      <c r="L76" s="177"/>
    </row>
    <row r="77" spans="1:18" ht="45.75" hidden="1" customHeight="1">
      <c r="A77" s="82" t="s">
        <v>32</v>
      </c>
      <c r="B77" s="149">
        <v>757</v>
      </c>
      <c r="C77" s="84" t="s">
        <v>26</v>
      </c>
      <c r="D77" s="84" t="s">
        <v>70</v>
      </c>
      <c r="E77" s="84" t="s">
        <v>751</v>
      </c>
      <c r="F77" s="84" t="s">
        <v>33</v>
      </c>
      <c r="G77" s="87"/>
      <c r="H77" s="87"/>
      <c r="I77" s="87"/>
      <c r="J77" s="177"/>
    </row>
    <row r="78" spans="1:18" ht="101.25" hidden="1" customHeight="1">
      <c r="A78" s="82" t="s">
        <v>271</v>
      </c>
      <c r="B78" s="149">
        <v>757</v>
      </c>
      <c r="C78" s="84" t="s">
        <v>26</v>
      </c>
      <c r="D78" s="84" t="s">
        <v>70</v>
      </c>
      <c r="E78" s="84" t="s">
        <v>772</v>
      </c>
      <c r="F78" s="84"/>
      <c r="G78" s="87">
        <f>G79</f>
        <v>0</v>
      </c>
      <c r="H78" s="87">
        <f t="shared" ref="H78:I84" si="16">H79</f>
        <v>0</v>
      </c>
      <c r="I78" s="87">
        <f t="shared" si="16"/>
        <v>0</v>
      </c>
      <c r="J78" s="177"/>
    </row>
    <row r="79" spans="1:18" ht="47.25" hidden="1" customHeight="1">
      <c r="A79" s="82" t="s">
        <v>30</v>
      </c>
      <c r="B79" s="149">
        <v>757</v>
      </c>
      <c r="C79" s="84" t="s">
        <v>26</v>
      </c>
      <c r="D79" s="84" t="s">
        <v>70</v>
      </c>
      <c r="E79" s="84" t="s">
        <v>772</v>
      </c>
      <c r="F79" s="84" t="s">
        <v>31</v>
      </c>
      <c r="G79" s="87">
        <f>G80</f>
        <v>0</v>
      </c>
      <c r="H79" s="87">
        <f t="shared" si="16"/>
        <v>0</v>
      </c>
      <c r="I79" s="87">
        <f t="shared" si="16"/>
        <v>0</v>
      </c>
      <c r="J79" s="177"/>
      <c r="K79" s="177"/>
      <c r="L79" s="177"/>
    </row>
    <row r="80" spans="1:18" ht="41.25" hidden="1" customHeight="1">
      <c r="A80" s="82" t="s">
        <v>32</v>
      </c>
      <c r="B80" s="149">
        <v>757</v>
      </c>
      <c r="C80" s="84" t="s">
        <v>26</v>
      </c>
      <c r="D80" s="84" t="s">
        <v>70</v>
      </c>
      <c r="E80" s="84" t="s">
        <v>772</v>
      </c>
      <c r="F80" s="84" t="s">
        <v>33</v>
      </c>
      <c r="G80" s="87"/>
      <c r="H80" s="87">
        <v>0</v>
      </c>
      <c r="I80" s="87"/>
      <c r="J80" s="177"/>
    </row>
    <row r="81" spans="1:18" ht="101.25" hidden="1" customHeight="1">
      <c r="A81" s="82" t="s">
        <v>271</v>
      </c>
      <c r="B81" s="149">
        <v>757</v>
      </c>
      <c r="C81" s="84" t="s">
        <v>26</v>
      </c>
      <c r="D81" s="84" t="s">
        <v>70</v>
      </c>
      <c r="E81" s="84" t="s">
        <v>592</v>
      </c>
      <c r="F81" s="84"/>
      <c r="G81" s="87">
        <f>G82+G84</f>
        <v>0</v>
      </c>
      <c r="H81" s="87">
        <f t="shared" si="16"/>
        <v>0</v>
      </c>
      <c r="I81" s="87">
        <f t="shared" si="16"/>
        <v>0</v>
      </c>
      <c r="J81" s="177"/>
    </row>
    <row r="82" spans="1:18" ht="47.25" hidden="1" customHeight="1">
      <c r="A82" s="82" t="s">
        <v>30</v>
      </c>
      <c r="B82" s="149">
        <v>757</v>
      </c>
      <c r="C82" s="84" t="s">
        <v>26</v>
      </c>
      <c r="D82" s="84" t="s">
        <v>70</v>
      </c>
      <c r="E82" s="84" t="s">
        <v>592</v>
      </c>
      <c r="F82" s="84" t="s">
        <v>31</v>
      </c>
      <c r="G82" s="87">
        <f>G83</f>
        <v>0</v>
      </c>
      <c r="H82" s="87">
        <f t="shared" si="16"/>
        <v>0</v>
      </c>
      <c r="I82" s="87">
        <f t="shared" si="16"/>
        <v>0</v>
      </c>
      <c r="J82" s="177"/>
      <c r="K82" s="177"/>
      <c r="L82" s="177"/>
    </row>
    <row r="83" spans="1:18" ht="41.25" hidden="1" customHeight="1">
      <c r="A83" s="82" t="s">
        <v>32</v>
      </c>
      <c r="B83" s="149">
        <v>757</v>
      </c>
      <c r="C83" s="84" t="s">
        <v>26</v>
      </c>
      <c r="D83" s="84" t="s">
        <v>70</v>
      </c>
      <c r="E83" s="84" t="s">
        <v>592</v>
      </c>
      <c r="F83" s="84" t="s">
        <v>33</v>
      </c>
      <c r="G83" s="87"/>
      <c r="H83" s="87"/>
      <c r="I83" s="87"/>
      <c r="J83" s="177"/>
    </row>
    <row r="84" spans="1:18" ht="47.25" hidden="1" customHeight="1">
      <c r="A84" s="82" t="s">
        <v>63</v>
      </c>
      <c r="B84" s="149">
        <v>757</v>
      </c>
      <c r="C84" s="84" t="s">
        <v>26</v>
      </c>
      <c r="D84" s="84" t="s">
        <v>70</v>
      </c>
      <c r="E84" s="84" t="s">
        <v>592</v>
      </c>
      <c r="F84" s="84" t="s">
        <v>64</v>
      </c>
      <c r="G84" s="87">
        <f>G85</f>
        <v>0</v>
      </c>
      <c r="H84" s="87">
        <f t="shared" si="16"/>
        <v>0</v>
      </c>
      <c r="I84" s="87">
        <f t="shared" si="16"/>
        <v>0</v>
      </c>
      <c r="J84" s="177"/>
      <c r="K84" s="177"/>
      <c r="L84" s="177"/>
    </row>
    <row r="85" spans="1:18" ht="41.25" hidden="1" customHeight="1">
      <c r="A85" s="82" t="s">
        <v>180</v>
      </c>
      <c r="B85" s="149">
        <v>757</v>
      </c>
      <c r="C85" s="84" t="s">
        <v>26</v>
      </c>
      <c r="D85" s="84" t="s">
        <v>70</v>
      </c>
      <c r="E85" s="84" t="s">
        <v>592</v>
      </c>
      <c r="F85" s="84" t="s">
        <v>181</v>
      </c>
      <c r="G85" s="87"/>
      <c r="H85" s="87"/>
      <c r="I85" s="87"/>
      <c r="J85" s="177"/>
    </row>
    <row r="86" spans="1:18" ht="84" hidden="1" customHeight="1">
      <c r="A86" s="82" t="s">
        <v>511</v>
      </c>
      <c r="B86" s="149">
        <v>757</v>
      </c>
      <c r="C86" s="84" t="s">
        <v>26</v>
      </c>
      <c r="D86" s="84" t="s">
        <v>70</v>
      </c>
      <c r="E86" s="84" t="s">
        <v>687</v>
      </c>
      <c r="F86" s="84"/>
      <c r="G86" s="87">
        <f>G87</f>
        <v>0</v>
      </c>
      <c r="H86" s="87">
        <v>0</v>
      </c>
      <c r="I86" s="87">
        <v>0</v>
      </c>
      <c r="J86" s="177"/>
    </row>
    <row r="87" spans="1:18" ht="60" hidden="1" customHeight="1">
      <c r="A87" s="82" t="s">
        <v>30</v>
      </c>
      <c r="B87" s="149">
        <v>757</v>
      </c>
      <c r="C87" s="84" t="s">
        <v>26</v>
      </c>
      <c r="D87" s="84" t="s">
        <v>70</v>
      </c>
      <c r="E87" s="84" t="s">
        <v>687</v>
      </c>
      <c r="F87" s="84" t="s">
        <v>31</v>
      </c>
      <c r="G87" s="87">
        <f>G88</f>
        <v>0</v>
      </c>
      <c r="H87" s="87">
        <v>0</v>
      </c>
      <c r="I87" s="87">
        <v>0</v>
      </c>
      <c r="J87" s="177"/>
      <c r="K87" s="177"/>
      <c r="L87" s="177"/>
    </row>
    <row r="88" spans="1:18" ht="60" hidden="1" customHeight="1">
      <c r="A88" s="82" t="s">
        <v>32</v>
      </c>
      <c r="B88" s="149">
        <v>757</v>
      </c>
      <c r="C88" s="84" t="s">
        <v>26</v>
      </c>
      <c r="D88" s="84" t="s">
        <v>70</v>
      </c>
      <c r="E88" s="84" t="s">
        <v>687</v>
      </c>
      <c r="F88" s="84" t="s">
        <v>33</v>
      </c>
      <c r="G88" s="87"/>
      <c r="H88" s="87"/>
      <c r="I88" s="87"/>
      <c r="J88" s="177"/>
    </row>
    <row r="89" spans="1:18" ht="84" hidden="1" customHeight="1">
      <c r="A89" s="82" t="s">
        <v>689</v>
      </c>
      <c r="B89" s="149">
        <v>757</v>
      </c>
      <c r="C89" s="84" t="s">
        <v>26</v>
      </c>
      <c r="D89" s="84" t="s">
        <v>70</v>
      </c>
      <c r="E89" s="84" t="s">
        <v>688</v>
      </c>
      <c r="F89" s="84"/>
      <c r="G89" s="87">
        <f>G90</f>
        <v>0</v>
      </c>
      <c r="H89" s="87">
        <f>H90</f>
        <v>0</v>
      </c>
      <c r="I89" s="87">
        <f>I90</f>
        <v>0</v>
      </c>
      <c r="J89" s="177"/>
    </row>
    <row r="90" spans="1:18" ht="60" hidden="1" customHeight="1">
      <c r="A90" s="82" t="s">
        <v>30</v>
      </c>
      <c r="B90" s="149">
        <v>757</v>
      </c>
      <c r="C90" s="84" t="s">
        <v>26</v>
      </c>
      <c r="D90" s="84" t="s">
        <v>70</v>
      </c>
      <c r="E90" s="84" t="s">
        <v>688</v>
      </c>
      <c r="F90" s="84" t="s">
        <v>31</v>
      </c>
      <c r="G90" s="87">
        <f>G91</f>
        <v>0</v>
      </c>
      <c r="H90" s="87">
        <f t="shared" ref="H90:I90" si="17">H91</f>
        <v>0</v>
      </c>
      <c r="I90" s="87">
        <f t="shared" si="17"/>
        <v>0</v>
      </c>
      <c r="J90" s="177"/>
      <c r="K90" s="177"/>
      <c r="L90" s="177"/>
    </row>
    <row r="91" spans="1:18" ht="60" hidden="1" customHeight="1">
      <c r="A91" s="82" t="s">
        <v>32</v>
      </c>
      <c r="B91" s="149">
        <v>757</v>
      </c>
      <c r="C91" s="84" t="s">
        <v>26</v>
      </c>
      <c r="D91" s="84" t="s">
        <v>70</v>
      </c>
      <c r="E91" s="84" t="s">
        <v>688</v>
      </c>
      <c r="F91" s="84" t="s">
        <v>33</v>
      </c>
      <c r="G91" s="87"/>
      <c r="H91" s="87"/>
      <c r="I91" s="87"/>
      <c r="J91" s="177"/>
    </row>
    <row r="92" spans="1:18" s="28" customFormat="1" ht="28.5" customHeight="1">
      <c r="A92" s="139" t="s">
        <v>484</v>
      </c>
      <c r="B92" s="149">
        <v>757</v>
      </c>
      <c r="C92" s="84" t="s">
        <v>26</v>
      </c>
      <c r="D92" s="84" t="s">
        <v>70</v>
      </c>
      <c r="E92" s="84" t="s">
        <v>195</v>
      </c>
      <c r="F92" s="84"/>
      <c r="G92" s="87">
        <f>G93</f>
        <v>0</v>
      </c>
      <c r="H92" s="87">
        <f>H93</f>
        <v>0</v>
      </c>
      <c r="I92" s="87">
        <f>I93</f>
        <v>0</v>
      </c>
      <c r="J92" s="177"/>
      <c r="K92" s="204"/>
      <c r="L92" s="204"/>
      <c r="M92" s="204"/>
      <c r="N92" s="204"/>
      <c r="O92" s="204"/>
      <c r="P92" s="204"/>
      <c r="Q92" s="204"/>
      <c r="R92" s="204"/>
    </row>
    <row r="93" spans="1:18" s="28" customFormat="1" ht="27.75" customHeight="1">
      <c r="A93" s="139" t="s">
        <v>702</v>
      </c>
      <c r="B93" s="149">
        <v>757</v>
      </c>
      <c r="C93" s="84" t="s">
        <v>26</v>
      </c>
      <c r="D93" s="84" t="s">
        <v>70</v>
      </c>
      <c r="E93" s="84" t="s">
        <v>701</v>
      </c>
      <c r="F93" s="84"/>
      <c r="G93" s="87">
        <f>G94</f>
        <v>0</v>
      </c>
      <c r="H93" s="87">
        <f t="shared" ref="H93:I93" si="18">H94</f>
        <v>0</v>
      </c>
      <c r="I93" s="87">
        <f t="shared" si="18"/>
        <v>0</v>
      </c>
      <c r="J93" s="177"/>
      <c r="K93" s="204"/>
      <c r="L93" s="204"/>
      <c r="M93" s="204"/>
      <c r="N93" s="204"/>
      <c r="O93" s="204"/>
      <c r="P93" s="204"/>
      <c r="Q93" s="204"/>
      <c r="R93" s="204"/>
    </row>
    <row r="94" spans="1:18" s="32" customFormat="1" ht="28.5" customHeight="1">
      <c r="A94" s="82" t="s">
        <v>30</v>
      </c>
      <c r="B94" s="149">
        <v>757</v>
      </c>
      <c r="C94" s="84" t="s">
        <v>26</v>
      </c>
      <c r="D94" s="84" t="s">
        <v>70</v>
      </c>
      <c r="E94" s="84" t="s">
        <v>701</v>
      </c>
      <c r="F94" s="84" t="s">
        <v>31</v>
      </c>
      <c r="G94" s="87">
        <f>G95</f>
        <v>0</v>
      </c>
      <c r="H94" s="87">
        <f>H95</f>
        <v>0</v>
      </c>
      <c r="I94" s="87">
        <f>I95</f>
        <v>0</v>
      </c>
      <c r="J94" s="177"/>
      <c r="K94" s="203"/>
      <c r="L94" s="203"/>
      <c r="M94" s="203"/>
      <c r="N94" s="203"/>
      <c r="O94" s="203"/>
      <c r="P94" s="203"/>
      <c r="Q94" s="203"/>
      <c r="R94" s="203"/>
    </row>
    <row r="95" spans="1:18" s="32" customFormat="1">
      <c r="A95" s="82" t="s">
        <v>32</v>
      </c>
      <c r="B95" s="149">
        <v>757</v>
      </c>
      <c r="C95" s="84" t="s">
        <v>26</v>
      </c>
      <c r="D95" s="84" t="s">
        <v>70</v>
      </c>
      <c r="E95" s="84" t="s">
        <v>701</v>
      </c>
      <c r="F95" s="84" t="s">
        <v>33</v>
      </c>
      <c r="G95" s="87"/>
      <c r="H95" s="87"/>
      <c r="I95" s="87"/>
      <c r="J95" s="177"/>
      <c r="K95" s="205"/>
      <c r="L95" s="203"/>
      <c r="M95" s="203"/>
      <c r="N95" s="203"/>
      <c r="O95" s="203"/>
      <c r="P95" s="203"/>
      <c r="Q95" s="203"/>
      <c r="R95" s="203"/>
    </row>
    <row r="96" spans="1:18" ht="32.25" customHeight="1">
      <c r="A96" s="82" t="s">
        <v>477</v>
      </c>
      <c r="B96" s="149">
        <v>757</v>
      </c>
      <c r="C96" s="84" t="s">
        <v>26</v>
      </c>
      <c r="D96" s="84" t="s">
        <v>70</v>
      </c>
      <c r="E96" s="84" t="s">
        <v>397</v>
      </c>
      <c r="F96" s="84"/>
      <c r="G96" s="87">
        <f>G98</f>
        <v>2774985</v>
      </c>
      <c r="H96" s="87">
        <f>H98</f>
        <v>1643978</v>
      </c>
      <c r="I96" s="87">
        <f>I98</f>
        <v>2090528</v>
      </c>
      <c r="J96" s="177"/>
    </row>
    <row r="97" spans="1:18" ht="32.25" customHeight="1">
      <c r="A97" s="82" t="s">
        <v>90</v>
      </c>
      <c r="B97" s="149">
        <v>757</v>
      </c>
      <c r="C97" s="84" t="s">
        <v>26</v>
      </c>
      <c r="D97" s="84" t="s">
        <v>70</v>
      </c>
      <c r="E97" s="84" t="s">
        <v>911</v>
      </c>
      <c r="F97" s="84"/>
      <c r="G97" s="87">
        <f t="shared" ref="G97:I99" si="19">G98</f>
        <v>2774985</v>
      </c>
      <c r="H97" s="87">
        <f t="shared" si="19"/>
        <v>1643978</v>
      </c>
      <c r="I97" s="87">
        <f t="shared" si="19"/>
        <v>2090528</v>
      </c>
      <c r="J97" s="177"/>
    </row>
    <row r="98" spans="1:18" ht="51">
      <c r="A98" s="82" t="s">
        <v>3</v>
      </c>
      <c r="B98" s="149">
        <v>757</v>
      </c>
      <c r="C98" s="84" t="s">
        <v>26</v>
      </c>
      <c r="D98" s="84" t="s">
        <v>70</v>
      </c>
      <c r="E98" s="84" t="s">
        <v>911</v>
      </c>
      <c r="F98" s="84"/>
      <c r="G98" s="87">
        <f t="shared" si="19"/>
        <v>2774985</v>
      </c>
      <c r="H98" s="87">
        <f t="shared" si="19"/>
        <v>1643978</v>
      </c>
      <c r="I98" s="87">
        <f t="shared" si="19"/>
        <v>2090528</v>
      </c>
      <c r="J98" s="177"/>
    </row>
    <row r="99" spans="1:18" ht="25.5">
      <c r="A99" s="82" t="s">
        <v>30</v>
      </c>
      <c r="B99" s="149">
        <v>757</v>
      </c>
      <c r="C99" s="84" t="s">
        <v>26</v>
      </c>
      <c r="D99" s="84" t="s">
        <v>70</v>
      </c>
      <c r="E99" s="84" t="s">
        <v>911</v>
      </c>
      <c r="F99" s="84" t="s">
        <v>31</v>
      </c>
      <c r="G99" s="87">
        <f t="shared" si="19"/>
        <v>2774985</v>
      </c>
      <c r="H99" s="87">
        <f t="shared" si="19"/>
        <v>1643978</v>
      </c>
      <c r="I99" s="87">
        <f t="shared" si="19"/>
        <v>2090528</v>
      </c>
      <c r="J99" s="177"/>
    </row>
    <row r="100" spans="1:18" ht="19.5" customHeight="1">
      <c r="A100" s="82" t="s">
        <v>32</v>
      </c>
      <c r="B100" s="149">
        <v>757</v>
      </c>
      <c r="C100" s="84" t="s">
        <v>26</v>
      </c>
      <c r="D100" s="84" t="s">
        <v>70</v>
      </c>
      <c r="E100" s="84" t="s">
        <v>911</v>
      </c>
      <c r="F100" s="84" t="s">
        <v>33</v>
      </c>
      <c r="G100" s="87">
        <v>2774985</v>
      </c>
      <c r="H100" s="87">
        <v>1643978</v>
      </c>
      <c r="I100" s="87">
        <v>2090528</v>
      </c>
      <c r="J100" s="177"/>
    </row>
    <row r="101" spans="1:18" s="165" customFormat="1" ht="30.75" hidden="1" customHeight="1">
      <c r="A101" s="139" t="s">
        <v>272</v>
      </c>
      <c r="B101" s="271">
        <v>757</v>
      </c>
      <c r="C101" s="84" t="s">
        <v>26</v>
      </c>
      <c r="D101" s="84" t="s">
        <v>70</v>
      </c>
      <c r="E101" s="84" t="s">
        <v>570</v>
      </c>
      <c r="F101" s="84"/>
      <c r="G101" s="87">
        <f>G102</f>
        <v>0</v>
      </c>
      <c r="H101" s="272">
        <v>0</v>
      </c>
      <c r="I101" s="272">
        <v>0</v>
      </c>
      <c r="J101" s="193"/>
      <c r="K101" s="206"/>
      <c r="L101" s="206"/>
      <c r="M101" s="206"/>
      <c r="N101" s="206"/>
      <c r="O101" s="206"/>
      <c r="P101" s="206"/>
      <c r="Q101" s="206"/>
      <c r="R101" s="206"/>
    </row>
    <row r="102" spans="1:18" ht="30.75" hidden="1" customHeight="1">
      <c r="A102" s="82" t="s">
        <v>272</v>
      </c>
      <c r="B102" s="149">
        <v>793</v>
      </c>
      <c r="C102" s="84" t="s">
        <v>26</v>
      </c>
      <c r="D102" s="84" t="s">
        <v>70</v>
      </c>
      <c r="E102" s="84" t="s">
        <v>571</v>
      </c>
      <c r="F102" s="84"/>
      <c r="G102" s="87"/>
      <c r="H102" s="87"/>
      <c r="I102" s="87"/>
      <c r="J102" s="177"/>
    </row>
    <row r="103" spans="1:18" ht="30.75" hidden="1" customHeight="1">
      <c r="A103" s="82" t="s">
        <v>36</v>
      </c>
      <c r="B103" s="83">
        <v>795</v>
      </c>
      <c r="C103" s="84" t="s">
        <v>26</v>
      </c>
      <c r="D103" s="84" t="s">
        <v>70</v>
      </c>
      <c r="E103" s="84" t="s">
        <v>571</v>
      </c>
      <c r="F103" s="84" t="s">
        <v>37</v>
      </c>
      <c r="G103" s="87">
        <f>G104</f>
        <v>1803468</v>
      </c>
      <c r="H103" s="87">
        <v>0</v>
      </c>
      <c r="I103" s="87">
        <v>0</v>
      </c>
      <c r="J103" s="177"/>
    </row>
    <row r="104" spans="1:18" ht="30.75" hidden="1" customHeight="1">
      <c r="A104" s="82" t="s">
        <v>38</v>
      </c>
      <c r="B104" s="83">
        <v>795</v>
      </c>
      <c r="C104" s="84" t="s">
        <v>26</v>
      </c>
      <c r="D104" s="84" t="s">
        <v>70</v>
      </c>
      <c r="E104" s="84" t="s">
        <v>571</v>
      </c>
      <c r="F104" s="84" t="s">
        <v>39</v>
      </c>
      <c r="G104" s="87">
        <f>'прил 5,'!G612</f>
        <v>1803468</v>
      </c>
      <c r="H104" s="87">
        <v>0</v>
      </c>
      <c r="I104" s="87">
        <v>0</v>
      </c>
      <c r="J104" s="177"/>
    </row>
    <row r="105" spans="1:18" ht="23.25" hidden="1" customHeight="1">
      <c r="A105" s="82" t="s">
        <v>148</v>
      </c>
      <c r="B105" s="149">
        <v>793</v>
      </c>
      <c r="C105" s="84" t="s">
        <v>26</v>
      </c>
      <c r="D105" s="84" t="s">
        <v>70</v>
      </c>
      <c r="E105" s="84" t="s">
        <v>571</v>
      </c>
      <c r="F105" s="84" t="s">
        <v>149</v>
      </c>
      <c r="G105" s="87">
        <f>G106</f>
        <v>0</v>
      </c>
      <c r="H105" s="87">
        <v>0</v>
      </c>
      <c r="I105" s="87">
        <v>0</v>
      </c>
      <c r="J105" s="177"/>
    </row>
    <row r="106" spans="1:18" ht="30.75" hidden="1" customHeight="1">
      <c r="A106" s="82" t="s">
        <v>150</v>
      </c>
      <c r="B106" s="149">
        <v>793</v>
      </c>
      <c r="C106" s="84" t="s">
        <v>26</v>
      </c>
      <c r="D106" s="84" t="s">
        <v>70</v>
      </c>
      <c r="E106" s="84" t="s">
        <v>571</v>
      </c>
      <c r="F106" s="84" t="s">
        <v>151</v>
      </c>
      <c r="G106" s="87">
        <f>'прил 5,'!G72</f>
        <v>0</v>
      </c>
      <c r="H106" s="87">
        <v>0</v>
      </c>
      <c r="I106" s="87">
        <v>0</v>
      </c>
      <c r="J106" s="177"/>
    </row>
    <row r="107" spans="1:18" ht="21.75" hidden="1" customHeight="1">
      <c r="A107" s="82" t="s">
        <v>156</v>
      </c>
      <c r="B107" s="149">
        <v>793</v>
      </c>
      <c r="C107" s="84" t="s">
        <v>26</v>
      </c>
      <c r="D107" s="84" t="s">
        <v>70</v>
      </c>
      <c r="E107" s="84" t="s">
        <v>571</v>
      </c>
      <c r="F107" s="84" t="s">
        <v>157</v>
      </c>
      <c r="G107" s="87">
        <f>G108</f>
        <v>0</v>
      </c>
      <c r="H107" s="87">
        <v>0</v>
      </c>
      <c r="I107" s="87">
        <v>0</v>
      </c>
      <c r="J107" s="177"/>
    </row>
    <row r="108" spans="1:18" ht="22.5" hidden="1" customHeight="1">
      <c r="A108" s="82" t="s">
        <v>178</v>
      </c>
      <c r="B108" s="149">
        <v>793</v>
      </c>
      <c r="C108" s="84" t="s">
        <v>26</v>
      </c>
      <c r="D108" s="84" t="s">
        <v>70</v>
      </c>
      <c r="E108" s="84" t="s">
        <v>571</v>
      </c>
      <c r="F108" s="84" t="s">
        <v>179</v>
      </c>
      <c r="G108" s="87"/>
      <c r="H108" s="87">
        <v>0</v>
      </c>
      <c r="I108" s="87">
        <v>0</v>
      </c>
      <c r="J108" s="177"/>
    </row>
    <row r="109" spans="1:18" hidden="1">
      <c r="A109" s="82"/>
      <c r="B109" s="83"/>
      <c r="C109" s="84"/>
      <c r="D109" s="84"/>
      <c r="E109" s="84"/>
      <c r="F109" s="84"/>
      <c r="G109" s="85"/>
      <c r="H109" s="85"/>
      <c r="I109" s="85"/>
      <c r="J109" s="178"/>
    </row>
    <row r="110" spans="1:18" hidden="1">
      <c r="A110" s="82"/>
      <c r="B110" s="83"/>
      <c r="C110" s="84"/>
      <c r="D110" s="84"/>
      <c r="E110" s="84"/>
      <c r="F110" s="84"/>
      <c r="G110" s="85"/>
      <c r="H110" s="85"/>
      <c r="I110" s="85"/>
      <c r="J110" s="178"/>
    </row>
    <row r="111" spans="1:18" ht="25.5" hidden="1">
      <c r="A111" s="82" t="s">
        <v>30</v>
      </c>
      <c r="B111" s="149">
        <v>757</v>
      </c>
      <c r="C111" s="84" t="s">
        <v>26</v>
      </c>
      <c r="D111" s="84" t="s">
        <v>70</v>
      </c>
      <c r="E111" s="84" t="s">
        <v>571</v>
      </c>
      <c r="F111" s="84" t="s">
        <v>31</v>
      </c>
      <c r="G111" s="85">
        <f t="shared" ref="G111:I111" si="20">G112</f>
        <v>0</v>
      </c>
      <c r="H111" s="85">
        <f t="shared" si="20"/>
        <v>0</v>
      </c>
      <c r="I111" s="85">
        <f t="shared" si="20"/>
        <v>0</v>
      </c>
      <c r="J111" s="178"/>
    </row>
    <row r="112" spans="1:18" hidden="1">
      <c r="A112" s="82" t="s">
        <v>32</v>
      </c>
      <c r="B112" s="149">
        <v>757</v>
      </c>
      <c r="C112" s="84" t="s">
        <v>26</v>
      </c>
      <c r="D112" s="84" t="s">
        <v>70</v>
      </c>
      <c r="E112" s="84" t="s">
        <v>571</v>
      </c>
      <c r="F112" s="84" t="s">
        <v>33</v>
      </c>
      <c r="G112" s="85"/>
      <c r="H112" s="85"/>
      <c r="I112" s="85"/>
      <c r="J112" s="178"/>
    </row>
    <row r="113" spans="1:18" ht="14.25" hidden="1" customHeight="1">
      <c r="A113" s="82" t="s">
        <v>281</v>
      </c>
      <c r="B113" s="149">
        <v>757</v>
      </c>
      <c r="C113" s="84" t="s">
        <v>26</v>
      </c>
      <c r="D113" s="84" t="s">
        <v>26</v>
      </c>
      <c r="E113" s="84"/>
      <c r="F113" s="149"/>
      <c r="G113" s="87">
        <f>G122+G114</f>
        <v>0</v>
      </c>
      <c r="H113" s="87">
        <f t="shared" ref="H113:I113" si="21">H122+H114</f>
        <v>0</v>
      </c>
      <c r="I113" s="87">
        <f t="shared" si="21"/>
        <v>0</v>
      </c>
      <c r="J113" s="177"/>
    </row>
    <row r="114" spans="1:18" ht="32.25" hidden="1" customHeight="1">
      <c r="A114" s="82" t="s">
        <v>477</v>
      </c>
      <c r="B114" s="149">
        <v>757</v>
      </c>
      <c r="C114" s="84" t="s">
        <v>26</v>
      </c>
      <c r="D114" s="84" t="s">
        <v>26</v>
      </c>
      <c r="E114" s="84" t="s">
        <v>397</v>
      </c>
      <c r="F114" s="84"/>
      <c r="G114" s="87">
        <f>G115</f>
        <v>0</v>
      </c>
      <c r="H114" s="87">
        <f>H116</f>
        <v>0</v>
      </c>
      <c r="I114" s="87">
        <f>I116</f>
        <v>0</v>
      </c>
      <c r="J114" s="177"/>
    </row>
    <row r="115" spans="1:18" ht="22.5" hidden="1" customHeight="1">
      <c r="A115" s="82" t="s">
        <v>119</v>
      </c>
      <c r="B115" s="149">
        <v>757</v>
      </c>
      <c r="C115" s="84" t="s">
        <v>26</v>
      </c>
      <c r="D115" s="84" t="s">
        <v>26</v>
      </c>
      <c r="E115" s="84" t="s">
        <v>607</v>
      </c>
      <c r="F115" s="84"/>
      <c r="G115" s="87">
        <f>G116+G119</f>
        <v>0</v>
      </c>
      <c r="H115" s="87">
        <f t="shared" ref="H115:I115" si="22">H116+H119</f>
        <v>0</v>
      </c>
      <c r="I115" s="87">
        <f t="shared" si="22"/>
        <v>0</v>
      </c>
      <c r="J115" s="177"/>
    </row>
    <row r="116" spans="1:18" ht="51" hidden="1">
      <c r="A116" s="82" t="s">
        <v>127</v>
      </c>
      <c r="B116" s="149">
        <v>757</v>
      </c>
      <c r="C116" s="84" t="s">
        <v>26</v>
      </c>
      <c r="D116" s="84" t="s">
        <v>26</v>
      </c>
      <c r="E116" s="84" t="s">
        <v>191</v>
      </c>
      <c r="F116" s="84"/>
      <c r="G116" s="87">
        <f t="shared" ref="G116:I117" si="23">G117</f>
        <v>0</v>
      </c>
      <c r="H116" s="87">
        <f t="shared" si="23"/>
        <v>0</v>
      </c>
      <c r="I116" s="87">
        <f t="shared" si="23"/>
        <v>0</v>
      </c>
      <c r="J116" s="177"/>
    </row>
    <row r="117" spans="1:18" ht="25.5" hidden="1">
      <c r="A117" s="82" t="s">
        <v>30</v>
      </c>
      <c r="B117" s="149">
        <v>757</v>
      </c>
      <c r="C117" s="84" t="s">
        <v>26</v>
      </c>
      <c r="D117" s="84" t="s">
        <v>26</v>
      </c>
      <c r="E117" s="84" t="s">
        <v>191</v>
      </c>
      <c r="F117" s="84" t="s">
        <v>31</v>
      </c>
      <c r="G117" s="87">
        <f t="shared" si="23"/>
        <v>0</v>
      </c>
      <c r="H117" s="87">
        <f t="shared" si="23"/>
        <v>0</v>
      </c>
      <c r="I117" s="87">
        <f t="shared" si="23"/>
        <v>0</v>
      </c>
      <c r="J117" s="177"/>
    </row>
    <row r="118" spans="1:18" ht="19.5" hidden="1" customHeight="1">
      <c r="A118" s="82" t="s">
        <v>32</v>
      </c>
      <c r="B118" s="149">
        <v>757</v>
      </c>
      <c r="C118" s="84" t="s">
        <v>26</v>
      </c>
      <c r="D118" s="84" t="s">
        <v>26</v>
      </c>
      <c r="E118" s="84" t="s">
        <v>191</v>
      </c>
      <c r="F118" s="84" t="s">
        <v>33</v>
      </c>
      <c r="G118" s="87"/>
      <c r="H118" s="87">
        <v>0</v>
      </c>
      <c r="I118" s="87">
        <v>0</v>
      </c>
      <c r="J118" s="177"/>
    </row>
    <row r="119" spans="1:18" s="18" customFormat="1" ht="61.5" hidden="1" customHeight="1">
      <c r="A119" s="135" t="s">
        <v>351</v>
      </c>
      <c r="B119" s="84" t="s">
        <v>51</v>
      </c>
      <c r="C119" s="84" t="s">
        <v>26</v>
      </c>
      <c r="D119" s="84" t="s">
        <v>26</v>
      </c>
      <c r="E119" s="84" t="s">
        <v>192</v>
      </c>
      <c r="F119" s="84"/>
      <c r="G119" s="87">
        <f>G120</f>
        <v>0</v>
      </c>
      <c r="H119" s="87">
        <f t="shared" ref="H119:I119" si="24">H120</f>
        <v>0</v>
      </c>
      <c r="I119" s="87">
        <f t="shared" si="24"/>
        <v>0</v>
      </c>
      <c r="J119" s="177"/>
      <c r="K119" s="200"/>
      <c r="L119" s="200"/>
      <c r="M119" s="200"/>
      <c r="N119" s="200"/>
      <c r="O119" s="200"/>
      <c r="P119" s="200"/>
      <c r="Q119" s="200"/>
      <c r="R119" s="200"/>
    </row>
    <row r="120" spans="1:18" s="18" customFormat="1" ht="25.5" hidden="1">
      <c r="A120" s="82" t="s">
        <v>30</v>
      </c>
      <c r="B120" s="84" t="s">
        <v>51</v>
      </c>
      <c r="C120" s="84" t="s">
        <v>26</v>
      </c>
      <c r="D120" s="84" t="s">
        <v>26</v>
      </c>
      <c r="E120" s="84" t="s">
        <v>192</v>
      </c>
      <c r="F120" s="84" t="s">
        <v>31</v>
      </c>
      <c r="G120" s="87">
        <f>G121</f>
        <v>0</v>
      </c>
      <c r="H120" s="87">
        <f>H121</f>
        <v>0</v>
      </c>
      <c r="I120" s="87">
        <f>I121</f>
        <v>0</v>
      </c>
      <c r="J120" s="177"/>
      <c r="K120" s="200"/>
      <c r="L120" s="200"/>
      <c r="M120" s="200"/>
      <c r="N120" s="200"/>
      <c r="O120" s="200"/>
      <c r="P120" s="200"/>
      <c r="Q120" s="200"/>
      <c r="R120" s="200"/>
    </row>
    <row r="121" spans="1:18" s="18" customFormat="1" hidden="1">
      <c r="A121" s="82" t="s">
        <v>32</v>
      </c>
      <c r="B121" s="84" t="s">
        <v>51</v>
      </c>
      <c r="C121" s="84" t="s">
        <v>26</v>
      </c>
      <c r="D121" s="84" t="s">
        <v>26</v>
      </c>
      <c r="E121" s="84" t="s">
        <v>192</v>
      </c>
      <c r="F121" s="84" t="s">
        <v>33</v>
      </c>
      <c r="G121" s="87"/>
      <c r="H121" s="87"/>
      <c r="I121" s="87"/>
      <c r="J121" s="177"/>
      <c r="K121" s="200"/>
      <c r="L121" s="200"/>
      <c r="M121" s="200"/>
      <c r="N121" s="200"/>
      <c r="O121" s="200"/>
      <c r="P121" s="200"/>
      <c r="Q121" s="200"/>
      <c r="R121" s="200"/>
    </row>
    <row r="122" spans="1:18" s="18" customFormat="1" ht="25.5" hidden="1">
      <c r="A122" s="82" t="s">
        <v>481</v>
      </c>
      <c r="B122" s="149">
        <v>757</v>
      </c>
      <c r="C122" s="84" t="s">
        <v>26</v>
      </c>
      <c r="D122" s="84" t="s">
        <v>26</v>
      </c>
      <c r="E122" s="84" t="s">
        <v>197</v>
      </c>
      <c r="F122" s="84"/>
      <c r="G122" s="87">
        <f>G123+G128</f>
        <v>0</v>
      </c>
      <c r="H122" s="87">
        <f t="shared" ref="H122:I122" si="25">H123</f>
        <v>0</v>
      </c>
      <c r="I122" s="87">
        <f t="shared" si="25"/>
        <v>0</v>
      </c>
      <c r="J122" s="177"/>
      <c r="K122" s="177"/>
      <c r="L122" s="177"/>
      <c r="M122" s="177"/>
      <c r="N122" s="177"/>
      <c r="O122" s="200"/>
      <c r="P122" s="200"/>
      <c r="Q122" s="200"/>
      <c r="R122" s="200"/>
    </row>
    <row r="123" spans="1:18" s="18" customFormat="1" hidden="1">
      <c r="A123" s="82" t="s">
        <v>339</v>
      </c>
      <c r="B123" s="149">
        <v>757</v>
      </c>
      <c r="C123" s="84" t="s">
        <v>26</v>
      </c>
      <c r="D123" s="84" t="s">
        <v>26</v>
      </c>
      <c r="E123" s="84" t="s">
        <v>198</v>
      </c>
      <c r="F123" s="84"/>
      <c r="G123" s="87">
        <f>G124+G126</f>
        <v>0</v>
      </c>
      <c r="H123" s="87">
        <f>H124+H126</f>
        <v>0</v>
      </c>
      <c r="I123" s="87">
        <f>I124+I126</f>
        <v>0</v>
      </c>
      <c r="J123" s="177"/>
      <c r="K123" s="200"/>
      <c r="L123" s="200"/>
      <c r="M123" s="200"/>
      <c r="N123" s="200"/>
      <c r="O123" s="200"/>
      <c r="P123" s="200"/>
      <c r="Q123" s="200"/>
      <c r="R123" s="200"/>
    </row>
    <row r="124" spans="1:18" s="18" customFormat="1" ht="25.5" hidden="1">
      <c r="A124" s="82" t="s">
        <v>36</v>
      </c>
      <c r="B124" s="149">
        <v>757</v>
      </c>
      <c r="C124" s="84" t="s">
        <v>26</v>
      </c>
      <c r="D124" s="84" t="s">
        <v>26</v>
      </c>
      <c r="E124" s="84" t="s">
        <v>198</v>
      </c>
      <c r="F124" s="84" t="s">
        <v>37</v>
      </c>
      <c r="G124" s="87">
        <f>G125</f>
        <v>0</v>
      </c>
      <c r="H124" s="87">
        <f>H125</f>
        <v>0</v>
      </c>
      <c r="I124" s="87">
        <f>I125</f>
        <v>0</v>
      </c>
      <c r="J124" s="177"/>
      <c r="K124" s="200"/>
      <c r="L124" s="200"/>
      <c r="M124" s="200"/>
      <c r="N124" s="200"/>
      <c r="O124" s="200"/>
      <c r="P124" s="200"/>
      <c r="Q124" s="200"/>
      <c r="R124" s="200"/>
    </row>
    <row r="125" spans="1:18" s="18" customFormat="1" ht="25.5" hidden="1">
      <c r="A125" s="82" t="s">
        <v>38</v>
      </c>
      <c r="B125" s="149">
        <v>757</v>
      </c>
      <c r="C125" s="84" t="s">
        <v>26</v>
      </c>
      <c r="D125" s="84" t="s">
        <v>26</v>
      </c>
      <c r="E125" s="84" t="s">
        <v>198</v>
      </c>
      <c r="F125" s="84" t="s">
        <v>39</v>
      </c>
      <c r="G125" s="87"/>
      <c r="H125" s="87"/>
      <c r="I125" s="87"/>
      <c r="J125" s="177"/>
      <c r="K125" s="200"/>
      <c r="L125" s="200"/>
      <c r="M125" s="200"/>
      <c r="N125" s="200"/>
      <c r="O125" s="200"/>
      <c r="P125" s="200"/>
      <c r="Q125" s="200"/>
      <c r="R125" s="200"/>
    </row>
    <row r="126" spans="1:18" s="18" customFormat="1" ht="25.5" hidden="1">
      <c r="A126" s="82" t="s">
        <v>30</v>
      </c>
      <c r="B126" s="84" t="s">
        <v>51</v>
      </c>
      <c r="C126" s="84" t="s">
        <v>26</v>
      </c>
      <c r="D126" s="84" t="s">
        <v>26</v>
      </c>
      <c r="E126" s="84" t="s">
        <v>198</v>
      </c>
      <c r="F126" s="84" t="s">
        <v>31</v>
      </c>
      <c r="G126" s="87">
        <f>G127</f>
        <v>0</v>
      </c>
      <c r="H126" s="87">
        <f>H127</f>
        <v>0</v>
      </c>
      <c r="I126" s="87">
        <f>I127</f>
        <v>0</v>
      </c>
      <c r="J126" s="177"/>
      <c r="K126" s="200"/>
      <c r="L126" s="200"/>
      <c r="M126" s="200"/>
      <c r="N126" s="200"/>
      <c r="O126" s="200"/>
      <c r="P126" s="200"/>
      <c r="Q126" s="200"/>
      <c r="R126" s="200"/>
    </row>
    <row r="127" spans="1:18" s="18" customFormat="1" hidden="1">
      <c r="A127" s="82" t="s">
        <v>32</v>
      </c>
      <c r="B127" s="84" t="s">
        <v>51</v>
      </c>
      <c r="C127" s="84" t="s">
        <v>26</v>
      </c>
      <c r="D127" s="84" t="s">
        <v>26</v>
      </c>
      <c r="E127" s="84" t="s">
        <v>198</v>
      </c>
      <c r="F127" s="84" t="s">
        <v>33</v>
      </c>
      <c r="G127" s="87">
        <v>0</v>
      </c>
      <c r="H127" s="87"/>
      <c r="I127" s="87"/>
      <c r="J127" s="177"/>
      <c r="K127" s="200"/>
      <c r="L127" s="200"/>
      <c r="M127" s="200"/>
      <c r="N127" s="200"/>
      <c r="O127" s="200"/>
      <c r="P127" s="200"/>
      <c r="Q127" s="200"/>
      <c r="R127" s="200"/>
    </row>
    <row r="128" spans="1:18" s="18" customFormat="1" ht="25.5" hidden="1">
      <c r="A128" s="82" t="s">
        <v>298</v>
      </c>
      <c r="B128" s="149">
        <v>757</v>
      </c>
      <c r="C128" s="84" t="s">
        <v>26</v>
      </c>
      <c r="D128" s="84" t="s">
        <v>26</v>
      </c>
      <c r="E128" s="84" t="s">
        <v>803</v>
      </c>
      <c r="F128" s="84"/>
      <c r="G128" s="87">
        <f>G129</f>
        <v>0</v>
      </c>
      <c r="H128" s="87">
        <v>0</v>
      </c>
      <c r="I128" s="87">
        <v>0</v>
      </c>
      <c r="J128" s="177"/>
      <c r="K128" s="200"/>
      <c r="L128" s="200"/>
      <c r="M128" s="200"/>
      <c r="N128" s="200"/>
      <c r="O128" s="200"/>
      <c r="P128" s="200"/>
      <c r="Q128" s="200"/>
      <c r="R128" s="200"/>
    </row>
    <row r="129" spans="1:18" s="18" customFormat="1" ht="25.5" hidden="1">
      <c r="A129" s="82" t="s">
        <v>36</v>
      </c>
      <c r="B129" s="149">
        <v>757</v>
      </c>
      <c r="C129" s="84" t="s">
        <v>26</v>
      </c>
      <c r="D129" s="84" t="s">
        <v>26</v>
      </c>
      <c r="E129" s="84" t="s">
        <v>803</v>
      </c>
      <c r="F129" s="84" t="s">
        <v>37</v>
      </c>
      <c r="G129" s="87">
        <f>G130</f>
        <v>0</v>
      </c>
      <c r="H129" s="87">
        <v>0</v>
      </c>
      <c r="I129" s="87">
        <v>0</v>
      </c>
      <c r="J129" s="177"/>
      <c r="K129" s="200"/>
      <c r="L129" s="200"/>
      <c r="M129" s="200"/>
      <c r="N129" s="200"/>
      <c r="O129" s="200"/>
      <c r="P129" s="200"/>
      <c r="Q129" s="200"/>
      <c r="R129" s="200"/>
    </row>
    <row r="130" spans="1:18" s="18" customFormat="1" ht="25.5" hidden="1">
      <c r="A130" s="82" t="s">
        <v>38</v>
      </c>
      <c r="B130" s="149">
        <v>757</v>
      </c>
      <c r="C130" s="84" t="s">
        <v>26</v>
      </c>
      <c r="D130" s="84" t="s">
        <v>26</v>
      </c>
      <c r="E130" s="84" t="s">
        <v>803</v>
      </c>
      <c r="F130" s="84" t="s">
        <v>39</v>
      </c>
      <c r="G130" s="87"/>
      <c r="H130" s="87"/>
      <c r="I130" s="87"/>
      <c r="J130" s="177"/>
      <c r="K130" s="200"/>
      <c r="L130" s="200"/>
      <c r="M130" s="200"/>
      <c r="N130" s="200"/>
      <c r="O130" s="200"/>
      <c r="P130" s="200"/>
      <c r="Q130" s="200"/>
      <c r="R130" s="200"/>
    </row>
    <row r="131" spans="1:18" s="22" customFormat="1">
      <c r="A131" s="144" t="s">
        <v>43</v>
      </c>
      <c r="B131" s="273">
        <v>757</v>
      </c>
      <c r="C131" s="162" t="s">
        <v>44</v>
      </c>
      <c r="D131" s="162"/>
      <c r="E131" s="162"/>
      <c r="F131" s="162"/>
      <c r="G131" s="96">
        <f>G132+G352</f>
        <v>161875117.69000003</v>
      </c>
      <c r="H131" s="96">
        <f>H132+H352</f>
        <v>141572118.02000001</v>
      </c>
      <c r="I131" s="96">
        <f>I132+I352</f>
        <v>135235621.05000001</v>
      </c>
      <c r="J131" s="192"/>
      <c r="K131" s="207"/>
      <c r="L131" s="207"/>
      <c r="M131" s="208"/>
      <c r="N131" s="207"/>
      <c r="O131" s="207"/>
      <c r="P131" s="207"/>
      <c r="Q131" s="207"/>
      <c r="R131" s="207"/>
    </row>
    <row r="132" spans="1:18">
      <c r="A132" s="82" t="s">
        <v>45</v>
      </c>
      <c r="B132" s="149">
        <v>757</v>
      </c>
      <c r="C132" s="84" t="s">
        <v>44</v>
      </c>
      <c r="D132" s="84" t="s">
        <v>19</v>
      </c>
      <c r="E132" s="84"/>
      <c r="F132" s="84"/>
      <c r="G132" s="87">
        <f>G133+G150+G349+G335</f>
        <v>156539578.69000003</v>
      </c>
      <c r="H132" s="87">
        <f t="shared" ref="H132:I132" si="26">H133+H150</f>
        <v>136173113.02000001</v>
      </c>
      <c r="I132" s="87">
        <f t="shared" si="26"/>
        <v>129785908.05000001</v>
      </c>
      <c r="J132" s="177"/>
      <c r="M132" s="209"/>
    </row>
    <row r="133" spans="1:18" ht="38.25" hidden="1">
      <c r="A133" s="82" t="s">
        <v>830</v>
      </c>
      <c r="B133" s="149">
        <v>757</v>
      </c>
      <c r="C133" s="84" t="s">
        <v>44</v>
      </c>
      <c r="D133" s="84" t="s">
        <v>19</v>
      </c>
      <c r="E133" s="84" t="s">
        <v>262</v>
      </c>
      <c r="F133" s="84"/>
      <c r="G133" s="85">
        <f>G143</f>
        <v>0</v>
      </c>
      <c r="H133" s="85">
        <f t="shared" ref="H133:I133" si="27">H143</f>
        <v>0</v>
      </c>
      <c r="I133" s="85">
        <f t="shared" si="27"/>
        <v>0</v>
      </c>
      <c r="J133" s="178"/>
      <c r="M133" s="209"/>
    </row>
    <row r="134" spans="1:18" ht="40.5" hidden="1" customHeight="1">
      <c r="A134" s="82" t="s">
        <v>599</v>
      </c>
      <c r="B134" s="84" t="s">
        <v>51</v>
      </c>
      <c r="C134" s="84" t="s">
        <v>44</v>
      </c>
      <c r="D134" s="84" t="s">
        <v>19</v>
      </c>
      <c r="E134" s="84" t="s">
        <v>541</v>
      </c>
      <c r="F134" s="84"/>
      <c r="G134" s="85">
        <f>G135</f>
        <v>0</v>
      </c>
      <c r="H134" s="87">
        <v>0</v>
      </c>
      <c r="I134" s="87">
        <v>0</v>
      </c>
      <c r="J134" s="177"/>
    </row>
    <row r="135" spans="1:18" ht="30" hidden="1" customHeight="1">
      <c r="A135" s="82" t="s">
        <v>96</v>
      </c>
      <c r="B135" s="84" t="s">
        <v>51</v>
      </c>
      <c r="C135" s="84" t="s">
        <v>44</v>
      </c>
      <c r="D135" s="84" t="s">
        <v>19</v>
      </c>
      <c r="E135" s="84" t="s">
        <v>541</v>
      </c>
      <c r="F135" s="84" t="s">
        <v>348</v>
      </c>
      <c r="G135" s="85">
        <f>G136</f>
        <v>0</v>
      </c>
      <c r="H135" s="87">
        <v>0</v>
      </c>
      <c r="I135" s="87">
        <v>0</v>
      </c>
      <c r="J135" s="177"/>
    </row>
    <row r="136" spans="1:18" ht="91.5" hidden="1" customHeight="1">
      <c r="A136" s="133" t="s">
        <v>420</v>
      </c>
      <c r="B136" s="84" t="s">
        <v>51</v>
      </c>
      <c r="C136" s="84" t="s">
        <v>44</v>
      </c>
      <c r="D136" s="84" t="s">
        <v>19</v>
      </c>
      <c r="E136" s="84" t="s">
        <v>541</v>
      </c>
      <c r="F136" s="84" t="s">
        <v>419</v>
      </c>
      <c r="G136" s="85"/>
      <c r="H136" s="87">
        <v>0</v>
      </c>
      <c r="I136" s="87">
        <v>0</v>
      </c>
      <c r="J136" s="177"/>
    </row>
    <row r="137" spans="1:18" ht="43.5" hidden="1" customHeight="1">
      <c r="A137" s="133" t="s">
        <v>600</v>
      </c>
      <c r="B137" s="84" t="s">
        <v>51</v>
      </c>
      <c r="C137" s="84" t="s">
        <v>44</v>
      </c>
      <c r="D137" s="84" t="s">
        <v>19</v>
      </c>
      <c r="E137" s="84" t="s">
        <v>543</v>
      </c>
      <c r="F137" s="84"/>
      <c r="G137" s="85">
        <f>G138</f>
        <v>0</v>
      </c>
      <c r="H137" s="87">
        <v>0</v>
      </c>
      <c r="I137" s="87">
        <v>0</v>
      </c>
      <c r="J137" s="177"/>
    </row>
    <row r="138" spans="1:18" ht="39.75" hidden="1" customHeight="1">
      <c r="A138" s="82" t="s">
        <v>96</v>
      </c>
      <c r="B138" s="84" t="s">
        <v>51</v>
      </c>
      <c r="C138" s="84" t="s">
        <v>44</v>
      </c>
      <c r="D138" s="84" t="s">
        <v>19</v>
      </c>
      <c r="E138" s="84" t="s">
        <v>543</v>
      </c>
      <c r="F138" s="84" t="s">
        <v>348</v>
      </c>
      <c r="G138" s="85">
        <f>G139</f>
        <v>0</v>
      </c>
      <c r="H138" s="87">
        <v>0</v>
      </c>
      <c r="I138" s="87">
        <v>0</v>
      </c>
      <c r="J138" s="177"/>
    </row>
    <row r="139" spans="1:18" ht="86.25" hidden="1" customHeight="1">
      <c r="A139" s="133" t="s">
        <v>420</v>
      </c>
      <c r="B139" s="84" t="s">
        <v>51</v>
      </c>
      <c r="C139" s="84" t="s">
        <v>44</v>
      </c>
      <c r="D139" s="84" t="s">
        <v>19</v>
      </c>
      <c r="E139" s="84" t="s">
        <v>543</v>
      </c>
      <c r="F139" s="84" t="s">
        <v>419</v>
      </c>
      <c r="G139" s="85"/>
      <c r="H139" s="87">
        <v>0</v>
      </c>
      <c r="I139" s="87">
        <v>0</v>
      </c>
      <c r="J139" s="177"/>
    </row>
    <row r="140" spans="1:18" ht="48" hidden="1" customHeight="1">
      <c r="A140" s="142" t="s">
        <v>609</v>
      </c>
      <c r="B140" s="149">
        <v>757</v>
      </c>
      <c r="C140" s="84" t="s">
        <v>44</v>
      </c>
      <c r="D140" s="84" t="s">
        <v>19</v>
      </c>
      <c r="E140" s="84" t="s">
        <v>608</v>
      </c>
      <c r="F140" s="149"/>
      <c r="G140" s="87">
        <f t="shared" ref="G140:I141" si="28">G141</f>
        <v>0</v>
      </c>
      <c r="H140" s="87">
        <f t="shared" si="28"/>
        <v>0</v>
      </c>
      <c r="I140" s="87">
        <f t="shared" si="28"/>
        <v>0</v>
      </c>
      <c r="J140" s="177"/>
    </row>
    <row r="141" spans="1:18" ht="25.5" hidden="1">
      <c r="A141" s="82" t="s">
        <v>30</v>
      </c>
      <c r="B141" s="149">
        <v>757</v>
      </c>
      <c r="C141" s="84" t="s">
        <v>44</v>
      </c>
      <c r="D141" s="84" t="s">
        <v>19</v>
      </c>
      <c r="E141" s="84" t="s">
        <v>608</v>
      </c>
      <c r="F141" s="84" t="s">
        <v>31</v>
      </c>
      <c r="G141" s="95">
        <f t="shared" si="28"/>
        <v>0</v>
      </c>
      <c r="H141" s="95">
        <f t="shared" si="28"/>
        <v>0</v>
      </c>
      <c r="I141" s="95">
        <f t="shared" si="28"/>
        <v>0</v>
      </c>
    </row>
    <row r="142" spans="1:18" hidden="1">
      <c r="A142" s="82" t="s">
        <v>32</v>
      </c>
      <c r="B142" s="149">
        <v>757</v>
      </c>
      <c r="C142" s="84" t="s">
        <v>44</v>
      </c>
      <c r="D142" s="84" t="s">
        <v>19</v>
      </c>
      <c r="E142" s="84" t="s">
        <v>608</v>
      </c>
      <c r="F142" s="84" t="s">
        <v>33</v>
      </c>
      <c r="G142" s="95"/>
      <c r="H142" s="95"/>
      <c r="I142" s="95"/>
    </row>
    <row r="143" spans="1:18" s="172" customFormat="1" ht="42.75" hidden="1" customHeight="1">
      <c r="A143" s="142" t="s">
        <v>896</v>
      </c>
      <c r="B143" s="149">
        <v>757</v>
      </c>
      <c r="C143" s="84" t="s">
        <v>44</v>
      </c>
      <c r="D143" s="84" t="s">
        <v>19</v>
      </c>
      <c r="E143" s="84" t="s">
        <v>897</v>
      </c>
      <c r="F143" s="149"/>
      <c r="G143" s="87">
        <f t="shared" ref="G143:I144" si="29">G144</f>
        <v>0</v>
      </c>
      <c r="H143" s="87">
        <f t="shared" si="29"/>
        <v>0</v>
      </c>
      <c r="I143" s="87">
        <f t="shared" si="29"/>
        <v>0</v>
      </c>
      <c r="J143" s="177"/>
      <c r="K143" s="186"/>
      <c r="L143" s="186"/>
      <c r="M143" s="186"/>
      <c r="N143" s="186"/>
      <c r="O143" s="186"/>
      <c r="P143" s="186"/>
      <c r="Q143" s="186"/>
      <c r="R143" s="186"/>
    </row>
    <row r="144" spans="1:18" s="172" customFormat="1" ht="25.5" hidden="1">
      <c r="A144" s="82" t="s">
        <v>30</v>
      </c>
      <c r="B144" s="149">
        <v>757</v>
      </c>
      <c r="C144" s="84" t="s">
        <v>44</v>
      </c>
      <c r="D144" s="84" t="s">
        <v>19</v>
      </c>
      <c r="E144" s="84" t="s">
        <v>897</v>
      </c>
      <c r="F144" s="84" t="s">
        <v>31</v>
      </c>
      <c r="G144" s="95">
        <f t="shared" si="29"/>
        <v>0</v>
      </c>
      <c r="H144" s="95">
        <f t="shared" si="29"/>
        <v>0</v>
      </c>
      <c r="I144" s="95">
        <f t="shared" si="29"/>
        <v>0</v>
      </c>
      <c r="J144" s="179"/>
      <c r="K144" s="186"/>
      <c r="L144" s="186"/>
      <c r="M144" s="186"/>
      <c r="N144" s="186"/>
      <c r="O144" s="186"/>
      <c r="P144" s="186"/>
      <c r="Q144" s="186"/>
      <c r="R144" s="186"/>
    </row>
    <row r="145" spans="1:18" s="172" customFormat="1" hidden="1">
      <c r="A145" s="82" t="s">
        <v>32</v>
      </c>
      <c r="B145" s="149">
        <v>757</v>
      </c>
      <c r="C145" s="84" t="s">
        <v>44</v>
      </c>
      <c r="D145" s="84" t="s">
        <v>19</v>
      </c>
      <c r="E145" s="84" t="s">
        <v>897</v>
      </c>
      <c r="F145" s="84" t="s">
        <v>33</v>
      </c>
      <c r="G145" s="95">
        <f>320000-320000</f>
        <v>0</v>
      </c>
      <c r="H145" s="95">
        <v>0</v>
      </c>
      <c r="I145" s="95">
        <v>0</v>
      </c>
      <c r="J145" s="179"/>
      <c r="K145" s="186"/>
      <c r="L145" s="186"/>
      <c r="M145" s="186"/>
      <c r="N145" s="186"/>
      <c r="O145" s="186"/>
      <c r="P145" s="186"/>
      <c r="Q145" s="186"/>
      <c r="R145" s="186"/>
    </row>
    <row r="146" spans="1:18" ht="27.75" hidden="1" customHeight="1">
      <c r="A146" s="82"/>
      <c r="B146" s="149"/>
      <c r="C146" s="84"/>
      <c r="D146" s="84"/>
      <c r="E146" s="84"/>
      <c r="F146" s="84"/>
      <c r="G146" s="87"/>
      <c r="H146" s="87"/>
      <c r="I146" s="87"/>
      <c r="J146" s="177"/>
    </row>
    <row r="147" spans="1:18" ht="28.5" hidden="1" customHeight="1">
      <c r="A147" s="133"/>
      <c r="B147" s="149">
        <v>757</v>
      </c>
      <c r="C147" s="84" t="s">
        <v>44</v>
      </c>
      <c r="D147" s="84" t="s">
        <v>19</v>
      </c>
      <c r="E147" s="84" t="s">
        <v>521</v>
      </c>
      <c r="F147" s="84"/>
      <c r="G147" s="87">
        <f>G148</f>
        <v>0</v>
      </c>
      <c r="H147" s="87">
        <f t="shared" ref="H147:I148" si="30">H148</f>
        <v>0</v>
      </c>
      <c r="I147" s="87">
        <f t="shared" si="30"/>
        <v>0</v>
      </c>
      <c r="J147" s="177"/>
    </row>
    <row r="148" spans="1:18" ht="21" hidden="1" customHeight="1">
      <c r="A148" s="82" t="s">
        <v>148</v>
      </c>
      <c r="B148" s="149">
        <v>757</v>
      </c>
      <c r="C148" s="84" t="s">
        <v>44</v>
      </c>
      <c r="D148" s="84" t="s">
        <v>19</v>
      </c>
      <c r="E148" s="84" t="s">
        <v>521</v>
      </c>
      <c r="F148" s="84" t="s">
        <v>149</v>
      </c>
      <c r="G148" s="87">
        <f>G149</f>
        <v>0</v>
      </c>
      <c r="H148" s="87">
        <f t="shared" si="30"/>
        <v>0</v>
      </c>
      <c r="I148" s="87">
        <f t="shared" si="30"/>
        <v>0</v>
      </c>
      <c r="J148" s="177"/>
    </row>
    <row r="149" spans="1:18" ht="30.75" hidden="1" customHeight="1">
      <c r="A149" s="82" t="s">
        <v>150</v>
      </c>
      <c r="B149" s="149">
        <v>757</v>
      </c>
      <c r="C149" s="84" t="s">
        <v>44</v>
      </c>
      <c r="D149" s="84" t="s">
        <v>19</v>
      </c>
      <c r="E149" s="84" t="s">
        <v>521</v>
      </c>
      <c r="F149" s="84" t="s">
        <v>151</v>
      </c>
      <c r="G149" s="87"/>
      <c r="H149" s="87"/>
      <c r="I149" s="87"/>
      <c r="J149" s="177"/>
    </row>
    <row r="150" spans="1:18" ht="25.5">
      <c r="A150" s="82" t="s">
        <v>487</v>
      </c>
      <c r="B150" s="149">
        <v>757</v>
      </c>
      <c r="C150" s="84" t="s">
        <v>44</v>
      </c>
      <c r="D150" s="84" t="s">
        <v>19</v>
      </c>
      <c r="E150" s="84" t="s">
        <v>193</v>
      </c>
      <c r="F150" s="84"/>
      <c r="G150" s="85">
        <f>G163+G166+G169+G172+G207+G217+G220+G223+G225+G231+G154+G256+G253+G259+G195+G192+G198+G266+G201+G269+G210+G272+G275+G278+G284+G287++G290+G293+G296+G281+G308+G299+G302+G213+G262+G305+G206+G331+G332+G250++G323+G311+G314+G317+G326+G320</f>
        <v>155794135.89000002</v>
      </c>
      <c r="H150" s="85">
        <f>H163+H166+H169+H172+H207+H217+H220+H223+H225+H231+H154+H256+H253+H259+H195+H192+H198+H266+H201+H269+H210+H272+H275+H278+H284+H287++H290+H293+H296+H281+H308+H299+H302+H213+H262+H305+H206+H331+H332+H250++H323+H311+H314</f>
        <v>136173113.02000001</v>
      </c>
      <c r="I150" s="85">
        <f>I163+I166+I169+I172+I207+I217+I220+I223+I225+I231+I154+I256+I253+I259+I195+I192+I198+I266+I201+I269+I210+I272+I275+I278+I284+I287++I290+I293+I296+I281+I308+I299+I302+I213+I262+I305+I206+I331+I332+I250++I323+I311+I314</f>
        <v>129785908.05000001</v>
      </c>
      <c r="J150" s="178"/>
      <c r="M150" s="209"/>
    </row>
    <row r="151" spans="1:18" ht="40.5" hidden="1" customHeight="1">
      <c r="A151" s="82" t="s">
        <v>599</v>
      </c>
      <c r="B151" s="84" t="s">
        <v>51</v>
      </c>
      <c r="C151" s="84" t="s">
        <v>44</v>
      </c>
      <c r="D151" s="84" t="s">
        <v>19</v>
      </c>
      <c r="E151" s="84" t="s">
        <v>541</v>
      </c>
      <c r="F151" s="84"/>
      <c r="G151" s="85">
        <f>G152</f>
        <v>0</v>
      </c>
      <c r="H151" s="87">
        <v>0</v>
      </c>
      <c r="I151" s="87">
        <v>0</v>
      </c>
      <c r="J151" s="177"/>
    </row>
    <row r="152" spans="1:18" ht="30" hidden="1" customHeight="1">
      <c r="A152" s="82" t="s">
        <v>96</v>
      </c>
      <c r="B152" s="84" t="s">
        <v>51</v>
      </c>
      <c r="C152" s="84" t="s">
        <v>44</v>
      </c>
      <c r="D152" s="84" t="s">
        <v>19</v>
      </c>
      <c r="E152" s="84" t="s">
        <v>541</v>
      </c>
      <c r="F152" s="84" t="s">
        <v>348</v>
      </c>
      <c r="G152" s="85">
        <f>G153</f>
        <v>0</v>
      </c>
      <c r="H152" s="87">
        <v>0</v>
      </c>
      <c r="I152" s="87">
        <v>0</v>
      </c>
      <c r="J152" s="177"/>
    </row>
    <row r="153" spans="1:18" ht="91.5" hidden="1" customHeight="1">
      <c r="A153" s="133" t="s">
        <v>420</v>
      </c>
      <c r="B153" s="84" t="s">
        <v>51</v>
      </c>
      <c r="C153" s="84" t="s">
        <v>44</v>
      </c>
      <c r="D153" s="84" t="s">
        <v>19</v>
      </c>
      <c r="E153" s="84" t="s">
        <v>541</v>
      </c>
      <c r="F153" s="84" t="s">
        <v>419</v>
      </c>
      <c r="G153" s="85"/>
      <c r="H153" s="87">
        <v>0</v>
      </c>
      <c r="I153" s="87">
        <v>0</v>
      </c>
      <c r="J153" s="177"/>
    </row>
    <row r="154" spans="1:18" ht="25.5" customHeight="1">
      <c r="A154" s="142" t="s">
        <v>933</v>
      </c>
      <c r="B154" s="149">
        <v>757</v>
      </c>
      <c r="C154" s="84" t="s">
        <v>44</v>
      </c>
      <c r="D154" s="84" t="s">
        <v>19</v>
      </c>
      <c r="E154" s="84" t="s">
        <v>932</v>
      </c>
      <c r="F154" s="149"/>
      <c r="G154" s="87">
        <f>G157+G160</f>
        <v>12000000</v>
      </c>
      <c r="H154" s="87">
        <f t="shared" ref="H154:I154" si="31">H155</f>
        <v>0</v>
      </c>
      <c r="I154" s="87">
        <f t="shared" si="31"/>
        <v>0</v>
      </c>
      <c r="J154" s="177"/>
    </row>
    <row r="155" spans="1:18" ht="25.5" hidden="1">
      <c r="A155" s="82" t="s">
        <v>30</v>
      </c>
      <c r="B155" s="149">
        <v>757</v>
      </c>
      <c r="C155" s="84" t="s">
        <v>44</v>
      </c>
      <c r="D155" s="84" t="s">
        <v>19</v>
      </c>
      <c r="E155" s="84" t="s">
        <v>932</v>
      </c>
      <c r="F155" s="84" t="s">
        <v>31</v>
      </c>
      <c r="G155" s="95">
        <f>G156</f>
        <v>0</v>
      </c>
      <c r="H155" s="95">
        <f>H156</f>
        <v>0</v>
      </c>
      <c r="I155" s="95">
        <f>I156</f>
        <v>0</v>
      </c>
    </row>
    <row r="156" spans="1:18" hidden="1">
      <c r="A156" s="82" t="s">
        <v>32</v>
      </c>
      <c r="B156" s="149">
        <v>757</v>
      </c>
      <c r="C156" s="84" t="s">
        <v>44</v>
      </c>
      <c r="D156" s="84" t="s">
        <v>19</v>
      </c>
      <c r="E156" s="84" t="s">
        <v>932</v>
      </c>
      <c r="F156" s="84" t="s">
        <v>33</v>
      </c>
      <c r="G156" s="95"/>
      <c r="H156" s="95"/>
      <c r="I156" s="95"/>
    </row>
    <row r="157" spans="1:18" ht="25.5">
      <c r="A157" s="82" t="s">
        <v>980</v>
      </c>
      <c r="B157" s="149">
        <v>757</v>
      </c>
      <c r="C157" s="84" t="s">
        <v>44</v>
      </c>
      <c r="D157" s="84" t="s">
        <v>19</v>
      </c>
      <c r="E157" s="84" t="s">
        <v>979</v>
      </c>
      <c r="F157" s="84"/>
      <c r="G157" s="95">
        <f>G158</f>
        <v>2000000</v>
      </c>
      <c r="H157" s="95">
        <f t="shared" ref="H157:I157" si="32">H158</f>
        <v>0</v>
      </c>
      <c r="I157" s="95">
        <f t="shared" si="32"/>
        <v>0</v>
      </c>
    </row>
    <row r="158" spans="1:18" ht="25.5">
      <c r="A158" s="82" t="s">
        <v>30</v>
      </c>
      <c r="B158" s="149">
        <v>757</v>
      </c>
      <c r="C158" s="84" t="s">
        <v>44</v>
      </c>
      <c r="D158" s="84" t="s">
        <v>19</v>
      </c>
      <c r="E158" s="84" t="s">
        <v>979</v>
      </c>
      <c r="F158" s="84" t="s">
        <v>31</v>
      </c>
      <c r="G158" s="95">
        <f>G159</f>
        <v>2000000</v>
      </c>
      <c r="H158" s="95">
        <f>H159</f>
        <v>0</v>
      </c>
      <c r="I158" s="95">
        <f>I159</f>
        <v>0</v>
      </c>
    </row>
    <row r="159" spans="1:18">
      <c r="A159" s="82" t="s">
        <v>32</v>
      </c>
      <c r="B159" s="149">
        <v>757</v>
      </c>
      <c r="C159" s="84" t="s">
        <v>44</v>
      </c>
      <c r="D159" s="84" t="s">
        <v>19</v>
      </c>
      <c r="E159" s="84" t="s">
        <v>979</v>
      </c>
      <c r="F159" s="84" t="s">
        <v>33</v>
      </c>
      <c r="G159" s="95">
        <v>2000000</v>
      </c>
      <c r="H159" s="95">
        <v>0</v>
      </c>
      <c r="I159" s="95">
        <v>0</v>
      </c>
    </row>
    <row r="160" spans="1:18" ht="25.5">
      <c r="A160" s="82" t="s">
        <v>982</v>
      </c>
      <c r="B160" s="149">
        <v>757</v>
      </c>
      <c r="C160" s="84" t="s">
        <v>44</v>
      </c>
      <c r="D160" s="84" t="s">
        <v>19</v>
      </c>
      <c r="E160" s="84" t="s">
        <v>981</v>
      </c>
      <c r="F160" s="84"/>
      <c r="G160" s="95">
        <f>G161</f>
        <v>10000000</v>
      </c>
      <c r="H160" s="95">
        <f t="shared" ref="H160:I160" si="33">H161</f>
        <v>0</v>
      </c>
      <c r="I160" s="95">
        <f t="shared" si="33"/>
        <v>0</v>
      </c>
    </row>
    <row r="161" spans="1:10" ht="25.5">
      <c r="A161" s="82" t="s">
        <v>30</v>
      </c>
      <c r="B161" s="149">
        <v>757</v>
      </c>
      <c r="C161" s="84" t="s">
        <v>44</v>
      </c>
      <c r="D161" s="84" t="s">
        <v>19</v>
      </c>
      <c r="E161" s="84" t="s">
        <v>981</v>
      </c>
      <c r="F161" s="84" t="s">
        <v>31</v>
      </c>
      <c r="G161" s="95">
        <f>G162</f>
        <v>10000000</v>
      </c>
      <c r="H161" s="95">
        <f>H162</f>
        <v>0</v>
      </c>
      <c r="I161" s="95">
        <f>I162</f>
        <v>0</v>
      </c>
    </row>
    <row r="162" spans="1:10">
      <c r="A162" s="82" t="s">
        <v>32</v>
      </c>
      <c r="B162" s="149">
        <v>757</v>
      </c>
      <c r="C162" s="84" t="s">
        <v>44</v>
      </c>
      <c r="D162" s="84" t="s">
        <v>19</v>
      </c>
      <c r="E162" s="84" t="s">
        <v>981</v>
      </c>
      <c r="F162" s="84" t="s">
        <v>33</v>
      </c>
      <c r="G162" s="95">
        <v>10000000</v>
      </c>
      <c r="H162" s="95">
        <v>0</v>
      </c>
      <c r="I162" s="95">
        <v>0</v>
      </c>
    </row>
    <row r="163" spans="1:10" ht="59.25" customHeight="1">
      <c r="A163" s="133" t="s">
        <v>935</v>
      </c>
      <c r="B163" s="84" t="s">
        <v>51</v>
      </c>
      <c r="C163" s="84" t="s">
        <v>44</v>
      </c>
      <c r="D163" s="84" t="s">
        <v>19</v>
      </c>
      <c r="E163" s="84" t="s">
        <v>934</v>
      </c>
      <c r="F163" s="84"/>
      <c r="G163" s="85">
        <f>G164</f>
        <v>519291.86</v>
      </c>
      <c r="H163" s="85">
        <f t="shared" ref="H163:I163" si="34">H164</f>
        <v>519291.86</v>
      </c>
      <c r="I163" s="85">
        <f t="shared" si="34"/>
        <v>519291.86</v>
      </c>
      <c r="J163" s="177"/>
    </row>
    <row r="164" spans="1:10" ht="39.75" customHeight="1">
      <c r="A164" s="82" t="s">
        <v>30</v>
      </c>
      <c r="B164" s="84" t="s">
        <v>51</v>
      </c>
      <c r="C164" s="84" t="s">
        <v>44</v>
      </c>
      <c r="D164" s="84" t="s">
        <v>19</v>
      </c>
      <c r="E164" s="84" t="s">
        <v>934</v>
      </c>
      <c r="F164" s="84" t="s">
        <v>31</v>
      </c>
      <c r="G164" s="85">
        <f>G165</f>
        <v>519291.86</v>
      </c>
      <c r="H164" s="85">
        <f t="shared" ref="H164:I164" si="35">H165</f>
        <v>519291.86</v>
      </c>
      <c r="I164" s="85">
        <f t="shared" si="35"/>
        <v>519291.86</v>
      </c>
      <c r="J164" s="177"/>
    </row>
    <row r="165" spans="1:10" ht="19.5" customHeight="1">
      <c r="A165" s="133" t="s">
        <v>32</v>
      </c>
      <c r="B165" s="84" t="s">
        <v>51</v>
      </c>
      <c r="C165" s="84" t="s">
        <v>44</v>
      </c>
      <c r="D165" s="84" t="s">
        <v>19</v>
      </c>
      <c r="E165" s="84" t="s">
        <v>934</v>
      </c>
      <c r="F165" s="84" t="s">
        <v>33</v>
      </c>
      <c r="G165" s="85">
        <v>519291.86</v>
      </c>
      <c r="H165" s="87">
        <v>519291.86</v>
      </c>
      <c r="I165" s="87">
        <v>519291.86</v>
      </c>
      <c r="J165" s="177"/>
    </row>
    <row r="166" spans="1:10" ht="92.25" customHeight="1">
      <c r="A166" s="142" t="s">
        <v>372</v>
      </c>
      <c r="B166" s="149">
        <v>757</v>
      </c>
      <c r="C166" s="84" t="s">
        <v>44</v>
      </c>
      <c r="D166" s="84" t="s">
        <v>19</v>
      </c>
      <c r="E166" s="84" t="s">
        <v>665</v>
      </c>
      <c r="F166" s="149"/>
      <c r="G166" s="87">
        <f t="shared" ref="G166:I167" si="36">G167</f>
        <v>1180646</v>
      </c>
      <c r="H166" s="87">
        <f t="shared" si="36"/>
        <v>1157334.79</v>
      </c>
      <c r="I166" s="87">
        <f t="shared" si="36"/>
        <v>1157334.79</v>
      </c>
      <c r="J166" s="177"/>
    </row>
    <row r="167" spans="1:10" ht="25.5">
      <c r="A167" s="82" t="s">
        <v>30</v>
      </c>
      <c r="B167" s="149">
        <v>757</v>
      </c>
      <c r="C167" s="84" t="s">
        <v>44</v>
      </c>
      <c r="D167" s="84" t="s">
        <v>19</v>
      </c>
      <c r="E167" s="84" t="s">
        <v>665</v>
      </c>
      <c r="F167" s="84" t="s">
        <v>31</v>
      </c>
      <c r="G167" s="95">
        <f t="shared" si="36"/>
        <v>1180646</v>
      </c>
      <c r="H167" s="95">
        <f t="shared" si="36"/>
        <v>1157334.79</v>
      </c>
      <c r="I167" s="95">
        <f t="shared" si="36"/>
        <v>1157334.79</v>
      </c>
    </row>
    <row r="168" spans="1:10">
      <c r="A168" s="82" t="s">
        <v>32</v>
      </c>
      <c r="B168" s="149">
        <v>757</v>
      </c>
      <c r="C168" s="84" t="s">
        <v>44</v>
      </c>
      <c r="D168" s="84" t="s">
        <v>19</v>
      </c>
      <c r="E168" s="84" t="s">
        <v>665</v>
      </c>
      <c r="F168" s="84" t="s">
        <v>33</v>
      </c>
      <c r="G168" s="95">
        <f>1156984.27+23661.73</f>
        <v>1180646</v>
      </c>
      <c r="H168" s="95">
        <v>1157334.79</v>
      </c>
      <c r="I168" s="95">
        <v>1157334.79</v>
      </c>
    </row>
    <row r="169" spans="1:10">
      <c r="A169" s="143" t="s">
        <v>47</v>
      </c>
      <c r="B169" s="149">
        <v>757</v>
      </c>
      <c r="C169" s="84" t="s">
        <v>44</v>
      </c>
      <c r="D169" s="84" t="s">
        <v>19</v>
      </c>
      <c r="E169" s="84" t="s">
        <v>199</v>
      </c>
      <c r="F169" s="149"/>
      <c r="G169" s="85">
        <f>G170</f>
        <v>64954166.460000001</v>
      </c>
      <c r="H169" s="85">
        <f t="shared" ref="H169:I169" si="37">H170</f>
        <v>70368222.38000001</v>
      </c>
      <c r="I169" s="85">
        <f t="shared" si="37"/>
        <v>70616774.010000005</v>
      </c>
      <c r="J169" s="178"/>
    </row>
    <row r="170" spans="1:10" ht="37.5" customHeight="1">
      <c r="A170" s="82" t="s">
        <v>30</v>
      </c>
      <c r="B170" s="149">
        <v>757</v>
      </c>
      <c r="C170" s="84" t="s">
        <v>44</v>
      </c>
      <c r="D170" s="84" t="s">
        <v>19</v>
      </c>
      <c r="E170" s="84" t="s">
        <v>199</v>
      </c>
      <c r="F170" s="84" t="s">
        <v>31</v>
      </c>
      <c r="G170" s="85">
        <f>G171</f>
        <v>64954166.460000001</v>
      </c>
      <c r="H170" s="85">
        <f>H171</f>
        <v>70368222.38000001</v>
      </c>
      <c r="I170" s="85">
        <f>I171</f>
        <v>70616774.010000005</v>
      </c>
      <c r="J170" s="178"/>
    </row>
    <row r="171" spans="1:10">
      <c r="A171" s="82" t="s">
        <v>32</v>
      </c>
      <c r="B171" s="149">
        <v>757</v>
      </c>
      <c r="C171" s="84" t="s">
        <v>44</v>
      </c>
      <c r="D171" s="84" t="s">
        <v>19</v>
      </c>
      <c r="E171" s="84" t="s">
        <v>199</v>
      </c>
      <c r="F171" s="84" t="s">
        <v>33</v>
      </c>
      <c r="G171" s="85">
        <v>64954166.460000001</v>
      </c>
      <c r="H171" s="85">
        <f>75078619.59-4264121.21-446276</f>
        <v>70368222.38000001</v>
      </c>
      <c r="I171" s="85">
        <f>79327171.22-8264121.21-446276</f>
        <v>70616774.010000005</v>
      </c>
      <c r="J171" s="178"/>
    </row>
    <row r="172" spans="1:10" ht="82.5" hidden="1" customHeight="1">
      <c r="A172" s="82" t="s">
        <v>575</v>
      </c>
      <c r="B172" s="149">
        <v>757</v>
      </c>
      <c r="C172" s="84" t="s">
        <v>44</v>
      </c>
      <c r="D172" s="84" t="s">
        <v>19</v>
      </c>
      <c r="E172" s="84" t="s">
        <v>574</v>
      </c>
      <c r="F172" s="84"/>
      <c r="G172" s="85">
        <f>G173+G178+G181+G184</f>
        <v>0</v>
      </c>
      <c r="H172" s="85">
        <f t="shared" ref="H172:I172" si="38">H173</f>
        <v>0</v>
      </c>
      <c r="I172" s="85">
        <f t="shared" si="38"/>
        <v>0</v>
      </c>
      <c r="J172" s="178"/>
    </row>
    <row r="173" spans="1:10" ht="91.5" hidden="1" customHeight="1">
      <c r="A173" s="143" t="s">
        <v>573</v>
      </c>
      <c r="B173" s="149">
        <v>757</v>
      </c>
      <c r="C173" s="84" t="s">
        <v>44</v>
      </c>
      <c r="D173" s="84" t="s">
        <v>19</v>
      </c>
      <c r="E173" s="84" t="s">
        <v>572</v>
      </c>
      <c r="F173" s="149"/>
      <c r="G173" s="85">
        <f>G174+G176</f>
        <v>0</v>
      </c>
      <c r="H173" s="87">
        <v>0</v>
      </c>
      <c r="I173" s="87">
        <v>0</v>
      </c>
      <c r="J173" s="177"/>
    </row>
    <row r="174" spans="1:10" ht="25.5" hidden="1" customHeight="1">
      <c r="A174" s="82" t="s">
        <v>30</v>
      </c>
      <c r="B174" s="149">
        <v>757</v>
      </c>
      <c r="C174" s="84" t="s">
        <v>44</v>
      </c>
      <c r="D174" s="84" t="s">
        <v>19</v>
      </c>
      <c r="E174" s="84" t="s">
        <v>572</v>
      </c>
      <c r="F174" s="84" t="s">
        <v>31</v>
      </c>
      <c r="G174" s="85">
        <f>G175</f>
        <v>0</v>
      </c>
      <c r="H174" s="85">
        <f>H175</f>
        <v>0</v>
      </c>
      <c r="I174" s="85">
        <f>I175</f>
        <v>0</v>
      </c>
      <c r="J174" s="178"/>
    </row>
    <row r="175" spans="1:10" ht="12.75" hidden="1" customHeight="1">
      <c r="A175" s="82" t="s">
        <v>32</v>
      </c>
      <c r="B175" s="149">
        <v>757</v>
      </c>
      <c r="C175" s="84" t="s">
        <v>44</v>
      </c>
      <c r="D175" s="84" t="s">
        <v>19</v>
      </c>
      <c r="E175" s="84" t="s">
        <v>572</v>
      </c>
      <c r="F175" s="84" t="s">
        <v>33</v>
      </c>
      <c r="G175" s="85"/>
      <c r="H175" s="87">
        <v>0</v>
      </c>
      <c r="I175" s="87">
        <v>0</v>
      </c>
      <c r="J175" s="177"/>
    </row>
    <row r="176" spans="1:10" ht="12.75" hidden="1" customHeight="1">
      <c r="A176" s="82" t="s">
        <v>156</v>
      </c>
      <c r="B176" s="149">
        <v>757</v>
      </c>
      <c r="C176" s="84" t="s">
        <v>44</v>
      </c>
      <c r="D176" s="84" t="s">
        <v>19</v>
      </c>
      <c r="E176" s="84" t="s">
        <v>572</v>
      </c>
      <c r="F176" s="84" t="s">
        <v>157</v>
      </c>
      <c r="G176" s="85">
        <f>G177</f>
        <v>0</v>
      </c>
      <c r="H176" s="87">
        <v>0</v>
      </c>
      <c r="I176" s="87">
        <v>0</v>
      </c>
      <c r="J176" s="177"/>
    </row>
    <row r="177" spans="1:10" ht="12.75" hidden="1" customHeight="1">
      <c r="A177" s="82" t="s">
        <v>170</v>
      </c>
      <c r="B177" s="149">
        <v>757</v>
      </c>
      <c r="C177" s="84" t="s">
        <v>44</v>
      </c>
      <c r="D177" s="84" t="s">
        <v>19</v>
      </c>
      <c r="E177" s="84" t="s">
        <v>572</v>
      </c>
      <c r="F177" s="84" t="s">
        <v>171</v>
      </c>
      <c r="G177" s="85"/>
      <c r="H177" s="87">
        <v>0</v>
      </c>
      <c r="I177" s="87">
        <v>0</v>
      </c>
      <c r="J177" s="177"/>
    </row>
    <row r="178" spans="1:10" ht="77.25" hidden="1" customHeight="1">
      <c r="A178" s="143" t="s">
        <v>577</v>
      </c>
      <c r="B178" s="149">
        <v>757</v>
      </c>
      <c r="C178" s="84" t="s">
        <v>44</v>
      </c>
      <c r="D178" s="84" t="s">
        <v>19</v>
      </c>
      <c r="E178" s="84" t="s">
        <v>576</v>
      </c>
      <c r="F178" s="149"/>
      <c r="G178" s="85">
        <f>G179</f>
        <v>0</v>
      </c>
      <c r="H178" s="87">
        <v>0</v>
      </c>
      <c r="I178" s="87">
        <v>0</v>
      </c>
      <c r="J178" s="177"/>
    </row>
    <row r="179" spans="1:10" ht="25.5" hidden="1" customHeight="1">
      <c r="A179" s="82" t="s">
        <v>30</v>
      </c>
      <c r="B179" s="149">
        <v>757</v>
      </c>
      <c r="C179" s="84" t="s">
        <v>44</v>
      </c>
      <c r="D179" s="84" t="s">
        <v>19</v>
      </c>
      <c r="E179" s="84" t="s">
        <v>576</v>
      </c>
      <c r="F179" s="84" t="s">
        <v>31</v>
      </c>
      <c r="G179" s="85">
        <f>G180</f>
        <v>0</v>
      </c>
      <c r="H179" s="85">
        <f>H180</f>
        <v>0</v>
      </c>
      <c r="I179" s="85">
        <f>I180</f>
        <v>0</v>
      </c>
      <c r="J179" s="178"/>
    </row>
    <row r="180" spans="1:10" ht="12.75" hidden="1" customHeight="1">
      <c r="A180" s="82" t="s">
        <v>32</v>
      </c>
      <c r="B180" s="149">
        <v>757</v>
      </c>
      <c r="C180" s="84" t="s">
        <v>44</v>
      </c>
      <c r="D180" s="84" t="s">
        <v>19</v>
      </c>
      <c r="E180" s="84" t="s">
        <v>576</v>
      </c>
      <c r="F180" s="84" t="s">
        <v>33</v>
      </c>
      <c r="G180" s="85"/>
      <c r="H180" s="87">
        <v>0</v>
      </c>
      <c r="I180" s="87">
        <v>0</v>
      </c>
      <c r="J180" s="177"/>
    </row>
    <row r="181" spans="1:10" ht="73.5" hidden="1" customHeight="1">
      <c r="A181" s="143" t="s">
        <v>578</v>
      </c>
      <c r="B181" s="149">
        <v>757</v>
      </c>
      <c r="C181" s="84" t="s">
        <v>44</v>
      </c>
      <c r="D181" s="84" t="s">
        <v>19</v>
      </c>
      <c r="E181" s="84" t="s">
        <v>579</v>
      </c>
      <c r="F181" s="149"/>
      <c r="G181" s="85">
        <f>G182</f>
        <v>0</v>
      </c>
      <c r="H181" s="87">
        <v>0</v>
      </c>
      <c r="I181" s="87">
        <v>0</v>
      </c>
      <c r="J181" s="177"/>
    </row>
    <row r="182" spans="1:10" ht="25.5" hidden="1" customHeight="1">
      <c r="A182" s="82" t="s">
        <v>30</v>
      </c>
      <c r="B182" s="149">
        <v>757</v>
      </c>
      <c r="C182" s="84" t="s">
        <v>44</v>
      </c>
      <c r="D182" s="84" t="s">
        <v>19</v>
      </c>
      <c r="E182" s="84" t="s">
        <v>579</v>
      </c>
      <c r="F182" s="84" t="s">
        <v>31</v>
      </c>
      <c r="G182" s="85">
        <f>G183</f>
        <v>0</v>
      </c>
      <c r="H182" s="85">
        <f>H183</f>
        <v>0</v>
      </c>
      <c r="I182" s="85">
        <f>I183</f>
        <v>0</v>
      </c>
      <c r="J182" s="178"/>
    </row>
    <row r="183" spans="1:10" ht="12.75" hidden="1" customHeight="1">
      <c r="A183" s="82" t="s">
        <v>32</v>
      </c>
      <c r="B183" s="149">
        <v>757</v>
      </c>
      <c r="C183" s="84" t="s">
        <v>44</v>
      </c>
      <c r="D183" s="84" t="s">
        <v>19</v>
      </c>
      <c r="E183" s="84" t="s">
        <v>579</v>
      </c>
      <c r="F183" s="84" t="s">
        <v>33</v>
      </c>
      <c r="G183" s="85"/>
      <c r="H183" s="87">
        <v>0</v>
      </c>
      <c r="I183" s="87">
        <v>0</v>
      </c>
      <c r="J183" s="177"/>
    </row>
    <row r="184" spans="1:10" ht="68.25" hidden="1" customHeight="1">
      <c r="A184" s="143" t="s">
        <v>581</v>
      </c>
      <c r="B184" s="149">
        <v>757</v>
      </c>
      <c r="C184" s="84" t="s">
        <v>44</v>
      </c>
      <c r="D184" s="84" t="s">
        <v>19</v>
      </c>
      <c r="E184" s="84" t="s">
        <v>580</v>
      </c>
      <c r="F184" s="149"/>
      <c r="G184" s="85">
        <f>G190+G185</f>
        <v>0</v>
      </c>
      <c r="H184" s="85">
        <f t="shared" ref="H184:I184" si="39">H190+H185</f>
        <v>0</v>
      </c>
      <c r="I184" s="85">
        <f t="shared" si="39"/>
        <v>0</v>
      </c>
      <c r="J184" s="178"/>
    </row>
    <row r="185" spans="1:10" ht="19.5" hidden="1" customHeight="1">
      <c r="A185" s="274" t="s">
        <v>156</v>
      </c>
      <c r="B185" s="149">
        <v>757</v>
      </c>
      <c r="C185" s="84" t="s">
        <v>44</v>
      </c>
      <c r="D185" s="84" t="s">
        <v>19</v>
      </c>
      <c r="E185" s="84" t="s">
        <v>580</v>
      </c>
      <c r="F185" s="149">
        <v>500</v>
      </c>
      <c r="G185" s="85">
        <f>G187</f>
        <v>0</v>
      </c>
      <c r="H185" s="87"/>
      <c r="I185" s="87"/>
      <c r="J185" s="177"/>
    </row>
    <row r="186" spans="1:10" ht="49.5" hidden="1" customHeight="1">
      <c r="A186" s="82"/>
      <c r="B186" s="149"/>
      <c r="C186" s="84"/>
      <c r="D186" s="84"/>
      <c r="E186" s="84"/>
      <c r="F186" s="84"/>
      <c r="G186" s="85"/>
      <c r="H186" s="85"/>
      <c r="I186" s="85"/>
      <c r="J186" s="178"/>
    </row>
    <row r="187" spans="1:10" ht="21.75" hidden="1" customHeight="1">
      <c r="A187" s="274" t="s">
        <v>178</v>
      </c>
      <c r="B187" s="149">
        <v>757</v>
      </c>
      <c r="C187" s="84" t="s">
        <v>44</v>
      </c>
      <c r="D187" s="84" t="s">
        <v>19</v>
      </c>
      <c r="E187" s="84" t="s">
        <v>580</v>
      </c>
      <c r="F187" s="149">
        <v>520</v>
      </c>
      <c r="G187" s="85"/>
      <c r="H187" s="87"/>
      <c r="I187" s="87"/>
      <c r="J187" s="177"/>
    </row>
    <row r="188" spans="1:10" ht="49.5" hidden="1" customHeight="1">
      <c r="A188" s="82"/>
      <c r="B188" s="149"/>
      <c r="C188" s="84"/>
      <c r="D188" s="84"/>
      <c r="E188" s="84"/>
      <c r="F188" s="84"/>
      <c r="G188" s="85"/>
      <c r="H188" s="85"/>
      <c r="I188" s="85"/>
      <c r="J188" s="178"/>
    </row>
    <row r="189" spans="1:10" ht="12.75" hidden="1" customHeight="1">
      <c r="A189" s="82"/>
      <c r="B189" s="149"/>
      <c r="C189" s="84"/>
      <c r="D189" s="84"/>
      <c r="E189" s="84"/>
      <c r="F189" s="84"/>
      <c r="G189" s="85"/>
      <c r="H189" s="85"/>
      <c r="I189" s="85"/>
      <c r="J189" s="178"/>
    </row>
    <row r="190" spans="1:10" ht="12.75" hidden="1" customHeight="1">
      <c r="A190" s="82" t="s">
        <v>63</v>
      </c>
      <c r="B190" s="149">
        <v>757</v>
      </c>
      <c r="C190" s="84" t="s">
        <v>44</v>
      </c>
      <c r="D190" s="84" t="s">
        <v>19</v>
      </c>
      <c r="E190" s="84" t="s">
        <v>580</v>
      </c>
      <c r="F190" s="84" t="s">
        <v>64</v>
      </c>
      <c r="G190" s="85">
        <f>G191</f>
        <v>0</v>
      </c>
      <c r="H190" s="85">
        <f>H191</f>
        <v>0</v>
      </c>
      <c r="I190" s="85">
        <f>I191</f>
        <v>0</v>
      </c>
      <c r="J190" s="178"/>
    </row>
    <row r="191" spans="1:10" ht="12.75" hidden="1" customHeight="1">
      <c r="A191" s="82" t="s">
        <v>180</v>
      </c>
      <c r="B191" s="149">
        <v>757</v>
      </c>
      <c r="C191" s="84" t="s">
        <v>44</v>
      </c>
      <c r="D191" s="84" t="s">
        <v>19</v>
      </c>
      <c r="E191" s="84" t="s">
        <v>580</v>
      </c>
      <c r="F191" s="84" t="s">
        <v>181</v>
      </c>
      <c r="G191" s="85"/>
      <c r="H191" s="87">
        <v>0</v>
      </c>
      <c r="I191" s="87">
        <v>0</v>
      </c>
      <c r="J191" s="177"/>
    </row>
    <row r="192" spans="1:10" ht="31.5" customHeight="1">
      <c r="A192" s="143" t="s">
        <v>820</v>
      </c>
      <c r="B192" s="149">
        <v>757</v>
      </c>
      <c r="C192" s="84" t="s">
        <v>44</v>
      </c>
      <c r="D192" s="84" t="s">
        <v>19</v>
      </c>
      <c r="E192" s="84" t="s">
        <v>750</v>
      </c>
      <c r="F192" s="149"/>
      <c r="G192" s="85">
        <f>G193</f>
        <v>200000</v>
      </c>
      <c r="H192" s="85">
        <f t="shared" ref="H192:I192" si="40">H193</f>
        <v>0</v>
      </c>
      <c r="I192" s="85">
        <f t="shared" si="40"/>
        <v>0</v>
      </c>
      <c r="J192" s="178"/>
    </row>
    <row r="193" spans="1:18" ht="38.25" customHeight="1">
      <c r="A193" s="82" t="s">
        <v>30</v>
      </c>
      <c r="B193" s="149">
        <v>757</v>
      </c>
      <c r="C193" s="84" t="s">
        <v>44</v>
      </c>
      <c r="D193" s="84" t="s">
        <v>19</v>
      </c>
      <c r="E193" s="84" t="s">
        <v>750</v>
      </c>
      <c r="F193" s="84" t="s">
        <v>31</v>
      </c>
      <c r="G193" s="85">
        <f>G194</f>
        <v>200000</v>
      </c>
      <c r="H193" s="85">
        <f>H194</f>
        <v>0</v>
      </c>
      <c r="I193" s="85">
        <f>I194</f>
        <v>0</v>
      </c>
      <c r="J193" s="178"/>
    </row>
    <row r="194" spans="1:18">
      <c r="A194" s="82" t="s">
        <v>32</v>
      </c>
      <c r="B194" s="149">
        <v>757</v>
      </c>
      <c r="C194" s="84" t="s">
        <v>44</v>
      </c>
      <c r="D194" s="84" t="s">
        <v>19</v>
      </c>
      <c r="E194" s="84" t="s">
        <v>750</v>
      </c>
      <c r="F194" s="84" t="s">
        <v>33</v>
      </c>
      <c r="G194" s="85">
        <v>200000</v>
      </c>
      <c r="H194" s="85"/>
      <c r="I194" s="85"/>
      <c r="J194" s="178"/>
    </row>
    <row r="195" spans="1:18" ht="31.5" hidden="1" customHeight="1">
      <c r="A195" s="143" t="s">
        <v>755</v>
      </c>
      <c r="B195" s="149">
        <v>757</v>
      </c>
      <c r="C195" s="84" t="s">
        <v>44</v>
      </c>
      <c r="D195" s="84" t="s">
        <v>19</v>
      </c>
      <c r="E195" s="84" t="s">
        <v>749</v>
      </c>
      <c r="F195" s="149"/>
      <c r="G195" s="85">
        <f>G196</f>
        <v>0</v>
      </c>
      <c r="H195" s="85">
        <f t="shared" ref="H195:I195" si="41">H196</f>
        <v>0</v>
      </c>
      <c r="I195" s="85">
        <f t="shared" si="41"/>
        <v>0</v>
      </c>
      <c r="J195" s="178"/>
    </row>
    <row r="196" spans="1:18" ht="49.5" hidden="1" customHeight="1">
      <c r="A196" s="82" t="s">
        <v>30</v>
      </c>
      <c r="B196" s="149">
        <v>757</v>
      </c>
      <c r="C196" s="84" t="s">
        <v>44</v>
      </c>
      <c r="D196" s="84" t="s">
        <v>19</v>
      </c>
      <c r="E196" s="84" t="s">
        <v>749</v>
      </c>
      <c r="F196" s="84" t="s">
        <v>31</v>
      </c>
      <c r="G196" s="85">
        <f>G197</f>
        <v>0</v>
      </c>
      <c r="H196" s="85">
        <f>H197</f>
        <v>0</v>
      </c>
      <c r="I196" s="85">
        <f>I197</f>
        <v>0</v>
      </c>
      <c r="J196" s="178"/>
    </row>
    <row r="197" spans="1:18" hidden="1">
      <c r="A197" s="82" t="s">
        <v>32</v>
      </c>
      <c r="B197" s="149">
        <v>757</v>
      </c>
      <c r="C197" s="84" t="s">
        <v>44</v>
      </c>
      <c r="D197" s="84" t="s">
        <v>19</v>
      </c>
      <c r="E197" s="84" t="s">
        <v>749</v>
      </c>
      <c r="F197" s="84" t="s">
        <v>33</v>
      </c>
      <c r="G197" s="85"/>
      <c r="H197" s="85"/>
      <c r="I197" s="85"/>
      <c r="J197" s="178"/>
    </row>
    <row r="198" spans="1:18" ht="38.25" customHeight="1">
      <c r="A198" s="143" t="s">
        <v>754</v>
      </c>
      <c r="B198" s="149">
        <v>757</v>
      </c>
      <c r="C198" s="84" t="s">
        <v>44</v>
      </c>
      <c r="D198" s="84" t="s">
        <v>19</v>
      </c>
      <c r="E198" s="84" t="s">
        <v>753</v>
      </c>
      <c r="F198" s="149"/>
      <c r="G198" s="85">
        <f>G199</f>
        <v>0</v>
      </c>
      <c r="H198" s="85">
        <f t="shared" ref="H198:I198" si="42">H199</f>
        <v>150000</v>
      </c>
      <c r="I198" s="85">
        <f t="shared" si="42"/>
        <v>0</v>
      </c>
      <c r="J198" s="178"/>
    </row>
    <row r="199" spans="1:18" ht="37.5" customHeight="1">
      <c r="A199" s="82" t="s">
        <v>30</v>
      </c>
      <c r="B199" s="149">
        <v>757</v>
      </c>
      <c r="C199" s="84" t="s">
        <v>44</v>
      </c>
      <c r="D199" s="84" t="s">
        <v>19</v>
      </c>
      <c r="E199" s="84" t="s">
        <v>753</v>
      </c>
      <c r="F199" s="84" t="s">
        <v>31</v>
      </c>
      <c r="G199" s="85">
        <f>G200</f>
        <v>0</v>
      </c>
      <c r="H199" s="85">
        <f>H200</f>
        <v>150000</v>
      </c>
      <c r="I199" s="85">
        <f>I200</f>
        <v>0</v>
      </c>
      <c r="J199" s="178"/>
    </row>
    <row r="200" spans="1:18">
      <c r="A200" s="82" t="s">
        <v>32</v>
      </c>
      <c r="B200" s="149">
        <v>757</v>
      </c>
      <c r="C200" s="84" t="s">
        <v>44</v>
      </c>
      <c r="D200" s="84" t="s">
        <v>19</v>
      </c>
      <c r="E200" s="84" t="s">
        <v>753</v>
      </c>
      <c r="F200" s="84" t="s">
        <v>33</v>
      </c>
      <c r="G200" s="85">
        <v>0</v>
      </c>
      <c r="H200" s="85">
        <v>150000</v>
      </c>
      <c r="I200" s="85">
        <v>0</v>
      </c>
      <c r="J200" s="178"/>
    </row>
    <row r="201" spans="1:18" ht="54.75" hidden="1" customHeight="1">
      <c r="A201" s="143" t="s">
        <v>786</v>
      </c>
      <c r="B201" s="149">
        <v>757</v>
      </c>
      <c r="C201" s="84" t="s">
        <v>44</v>
      </c>
      <c r="D201" s="84" t="s">
        <v>19</v>
      </c>
      <c r="E201" s="84" t="s">
        <v>785</v>
      </c>
      <c r="F201" s="149"/>
      <c r="G201" s="85">
        <f>G202</f>
        <v>0</v>
      </c>
      <c r="H201" s="85">
        <f t="shared" ref="H201:I201" si="43">H202</f>
        <v>0</v>
      </c>
      <c r="I201" s="85">
        <f t="shared" si="43"/>
        <v>0</v>
      </c>
      <c r="J201" s="178"/>
    </row>
    <row r="202" spans="1:18" ht="49.5" hidden="1" customHeight="1">
      <c r="A202" s="82" t="s">
        <v>30</v>
      </c>
      <c r="B202" s="149">
        <v>757</v>
      </c>
      <c r="C202" s="84" t="s">
        <v>44</v>
      </c>
      <c r="D202" s="84" t="s">
        <v>19</v>
      </c>
      <c r="E202" s="84" t="s">
        <v>785</v>
      </c>
      <c r="F202" s="84" t="s">
        <v>31</v>
      </c>
      <c r="G202" s="85">
        <f>G203</f>
        <v>0</v>
      </c>
      <c r="H202" s="85">
        <f>H203</f>
        <v>0</v>
      </c>
      <c r="I202" s="85">
        <f>I203</f>
        <v>0</v>
      </c>
      <c r="J202" s="178"/>
    </row>
    <row r="203" spans="1:18" hidden="1">
      <c r="A203" s="82" t="s">
        <v>32</v>
      </c>
      <c r="B203" s="149">
        <v>757</v>
      </c>
      <c r="C203" s="84" t="s">
        <v>44</v>
      </c>
      <c r="D203" s="84" t="s">
        <v>19</v>
      </c>
      <c r="E203" s="84" t="s">
        <v>785</v>
      </c>
      <c r="F203" s="84" t="s">
        <v>33</v>
      </c>
      <c r="G203" s="85"/>
      <c r="H203" s="85"/>
      <c r="I203" s="85"/>
      <c r="J203" s="178"/>
    </row>
    <row r="204" spans="1:18" ht="21" customHeight="1">
      <c r="A204" s="135" t="s">
        <v>978</v>
      </c>
      <c r="B204" s="149">
        <v>757</v>
      </c>
      <c r="C204" s="84" t="s">
        <v>44</v>
      </c>
      <c r="D204" s="84" t="s">
        <v>19</v>
      </c>
      <c r="E204" s="84" t="s">
        <v>977</v>
      </c>
      <c r="F204" s="149"/>
      <c r="G204" s="85">
        <f>G205</f>
        <v>227000</v>
      </c>
      <c r="H204" s="85">
        <f t="shared" ref="H204:I204" si="44">H205</f>
        <v>0</v>
      </c>
      <c r="I204" s="85">
        <f t="shared" si="44"/>
        <v>0</v>
      </c>
      <c r="J204" s="178"/>
    </row>
    <row r="205" spans="1:18" ht="33" customHeight="1">
      <c r="A205" s="82" t="s">
        <v>30</v>
      </c>
      <c r="B205" s="149">
        <v>757</v>
      </c>
      <c r="C205" s="84" t="s">
        <v>44</v>
      </c>
      <c r="D205" s="84" t="s">
        <v>19</v>
      </c>
      <c r="E205" s="84" t="s">
        <v>977</v>
      </c>
      <c r="F205" s="84" t="s">
        <v>31</v>
      </c>
      <c r="G205" s="85">
        <f>G206</f>
        <v>227000</v>
      </c>
      <c r="H205" s="85">
        <f>H206</f>
        <v>0</v>
      </c>
      <c r="I205" s="85">
        <f>I206</f>
        <v>0</v>
      </c>
      <c r="J205" s="178"/>
    </row>
    <row r="206" spans="1:18">
      <c r="A206" s="82" t="s">
        <v>32</v>
      </c>
      <c r="B206" s="149">
        <v>757</v>
      </c>
      <c r="C206" s="84" t="s">
        <v>44</v>
      </c>
      <c r="D206" s="84" t="s">
        <v>19</v>
      </c>
      <c r="E206" s="84" t="s">
        <v>977</v>
      </c>
      <c r="F206" s="84" t="s">
        <v>33</v>
      </c>
      <c r="G206" s="85">
        <f>77000+100000+50000</f>
        <v>227000</v>
      </c>
      <c r="H206" s="85">
        <v>0</v>
      </c>
      <c r="I206" s="85">
        <v>0</v>
      </c>
      <c r="J206" s="178"/>
    </row>
    <row r="207" spans="1:18" s="3" customFormat="1" ht="15" customHeight="1">
      <c r="A207" s="140" t="s">
        <v>48</v>
      </c>
      <c r="B207" s="149">
        <v>757</v>
      </c>
      <c r="C207" s="84" t="s">
        <v>44</v>
      </c>
      <c r="D207" s="84" t="s">
        <v>19</v>
      </c>
      <c r="E207" s="84" t="s">
        <v>200</v>
      </c>
      <c r="F207" s="84"/>
      <c r="G207" s="95">
        <f>G208</f>
        <v>7927812.8600000003</v>
      </c>
      <c r="H207" s="95">
        <f t="shared" ref="G207:I215" si="45">H208</f>
        <v>9186412.2799999993</v>
      </c>
      <c r="I207" s="95">
        <f t="shared" si="45"/>
        <v>9777575.25</v>
      </c>
      <c r="J207" s="179"/>
      <c r="K207" s="199"/>
      <c r="L207" s="199"/>
      <c r="M207" s="199"/>
      <c r="N207" s="199"/>
      <c r="O207" s="199"/>
      <c r="P207" s="199"/>
      <c r="Q207" s="199"/>
      <c r="R207" s="199"/>
    </row>
    <row r="208" spans="1:18" ht="25.5">
      <c r="A208" s="82" t="s">
        <v>30</v>
      </c>
      <c r="B208" s="149">
        <v>757</v>
      </c>
      <c r="C208" s="84" t="s">
        <v>44</v>
      </c>
      <c r="D208" s="84" t="s">
        <v>19</v>
      </c>
      <c r="E208" s="84" t="s">
        <v>200</v>
      </c>
      <c r="F208" s="84" t="s">
        <v>31</v>
      </c>
      <c r="G208" s="85">
        <f t="shared" si="45"/>
        <v>7927812.8600000003</v>
      </c>
      <c r="H208" s="85">
        <f t="shared" si="45"/>
        <v>9186412.2799999993</v>
      </c>
      <c r="I208" s="85">
        <f t="shared" si="45"/>
        <v>9777575.25</v>
      </c>
      <c r="J208" s="178"/>
    </row>
    <row r="209" spans="1:18">
      <c r="A209" s="82" t="s">
        <v>32</v>
      </c>
      <c r="B209" s="149">
        <v>757</v>
      </c>
      <c r="C209" s="84" t="s">
        <v>44</v>
      </c>
      <c r="D209" s="84" t="s">
        <v>19</v>
      </c>
      <c r="E209" s="84" t="s">
        <v>200</v>
      </c>
      <c r="F209" s="84" t="s">
        <v>33</v>
      </c>
      <c r="G209" s="85">
        <v>7927812.8600000003</v>
      </c>
      <c r="H209" s="85">
        <v>9186412.2799999993</v>
      </c>
      <c r="I209" s="85">
        <v>9777575.25</v>
      </c>
      <c r="J209" s="178"/>
    </row>
    <row r="210" spans="1:18" s="3" customFormat="1" ht="49.5" hidden="1" customHeight="1">
      <c r="A210" s="140" t="s">
        <v>890</v>
      </c>
      <c r="B210" s="149">
        <v>757</v>
      </c>
      <c r="C210" s="84" t="s">
        <v>44</v>
      </c>
      <c r="D210" s="84" t="s">
        <v>19</v>
      </c>
      <c r="E210" s="84" t="s">
        <v>889</v>
      </c>
      <c r="F210" s="84"/>
      <c r="G210" s="95">
        <f>G211</f>
        <v>0</v>
      </c>
      <c r="H210" s="95">
        <f t="shared" si="45"/>
        <v>0</v>
      </c>
      <c r="I210" s="95">
        <f t="shared" si="45"/>
        <v>0</v>
      </c>
      <c r="J210" s="179"/>
      <c r="K210" s="199"/>
      <c r="L210" s="199"/>
      <c r="M210" s="199"/>
      <c r="N210" s="199"/>
      <c r="O210" s="199"/>
      <c r="P210" s="199"/>
      <c r="Q210" s="199"/>
      <c r="R210" s="199"/>
    </row>
    <row r="211" spans="1:18" ht="25.5" hidden="1">
      <c r="A211" s="82" t="s">
        <v>30</v>
      </c>
      <c r="B211" s="149">
        <v>757</v>
      </c>
      <c r="C211" s="84" t="s">
        <v>44</v>
      </c>
      <c r="D211" s="84" t="s">
        <v>19</v>
      </c>
      <c r="E211" s="84" t="s">
        <v>889</v>
      </c>
      <c r="F211" s="84" t="s">
        <v>31</v>
      </c>
      <c r="G211" s="85">
        <f t="shared" si="45"/>
        <v>0</v>
      </c>
      <c r="H211" s="85">
        <f t="shared" si="45"/>
        <v>0</v>
      </c>
      <c r="I211" s="85">
        <f t="shared" si="45"/>
        <v>0</v>
      </c>
      <c r="J211" s="178"/>
    </row>
    <row r="212" spans="1:18" hidden="1">
      <c r="A212" s="82" t="s">
        <v>32</v>
      </c>
      <c r="B212" s="149">
        <v>757</v>
      </c>
      <c r="C212" s="84" t="s">
        <v>44</v>
      </c>
      <c r="D212" s="84" t="s">
        <v>19</v>
      </c>
      <c r="E212" s="84" t="s">
        <v>889</v>
      </c>
      <c r="F212" s="84" t="s">
        <v>33</v>
      </c>
      <c r="G212" s="85">
        <v>0</v>
      </c>
      <c r="H212" s="85"/>
      <c r="I212" s="85">
        <v>0</v>
      </c>
      <c r="J212" s="178"/>
    </row>
    <row r="213" spans="1:18" ht="27.75" customHeight="1">
      <c r="A213" s="82" t="s">
        <v>928</v>
      </c>
      <c r="B213" s="149">
        <v>757</v>
      </c>
      <c r="C213" s="84" t="s">
        <v>44</v>
      </c>
      <c r="D213" s="84" t="s">
        <v>19</v>
      </c>
      <c r="E213" s="84" t="s">
        <v>929</v>
      </c>
      <c r="F213" s="84"/>
      <c r="G213" s="85">
        <f>G214</f>
        <v>4682558</v>
      </c>
      <c r="H213" s="85">
        <f t="shared" ref="H213:I213" si="46">H214</f>
        <v>0</v>
      </c>
      <c r="I213" s="85">
        <f t="shared" si="46"/>
        <v>0</v>
      </c>
      <c r="J213" s="178"/>
    </row>
    <row r="214" spans="1:18" s="3" customFormat="1" ht="27.75" customHeight="1">
      <c r="A214" s="140" t="s">
        <v>891</v>
      </c>
      <c r="B214" s="149">
        <v>757</v>
      </c>
      <c r="C214" s="84" t="s">
        <v>44</v>
      </c>
      <c r="D214" s="84" t="s">
        <v>19</v>
      </c>
      <c r="E214" s="84" t="s">
        <v>927</v>
      </c>
      <c r="F214" s="84"/>
      <c r="G214" s="95">
        <f>G215</f>
        <v>4682558</v>
      </c>
      <c r="H214" s="95">
        <f t="shared" si="45"/>
        <v>0</v>
      </c>
      <c r="I214" s="95">
        <f t="shared" si="45"/>
        <v>0</v>
      </c>
      <c r="J214" s="179"/>
      <c r="K214" s="199"/>
      <c r="L214" s="199"/>
      <c r="M214" s="199"/>
      <c r="N214" s="199"/>
      <c r="O214" s="199"/>
      <c r="P214" s="199"/>
      <c r="Q214" s="199"/>
      <c r="R214" s="199"/>
    </row>
    <row r="215" spans="1:18" ht="25.5">
      <c r="A215" s="82" t="s">
        <v>30</v>
      </c>
      <c r="B215" s="149">
        <v>757</v>
      </c>
      <c r="C215" s="84" t="s">
        <v>44</v>
      </c>
      <c r="D215" s="84" t="s">
        <v>19</v>
      </c>
      <c r="E215" s="84" t="s">
        <v>927</v>
      </c>
      <c r="F215" s="84" t="s">
        <v>31</v>
      </c>
      <c r="G215" s="85">
        <f t="shared" si="45"/>
        <v>4682558</v>
      </c>
      <c r="H215" s="85">
        <f t="shared" si="45"/>
        <v>0</v>
      </c>
      <c r="I215" s="85">
        <f t="shared" si="45"/>
        <v>0</v>
      </c>
      <c r="J215" s="178"/>
    </row>
    <row r="216" spans="1:18">
      <c r="A216" s="82" t="s">
        <v>32</v>
      </c>
      <c r="B216" s="149">
        <v>757</v>
      </c>
      <c r="C216" s="84" t="s">
        <v>44</v>
      </c>
      <c r="D216" s="84" t="s">
        <v>19</v>
      </c>
      <c r="E216" s="84" t="s">
        <v>927</v>
      </c>
      <c r="F216" s="84" t="s">
        <v>33</v>
      </c>
      <c r="G216" s="85">
        <v>4682558</v>
      </c>
      <c r="H216" s="85">
        <v>0</v>
      </c>
      <c r="I216" s="85">
        <v>0</v>
      </c>
      <c r="J216" s="178"/>
    </row>
    <row r="217" spans="1:18" s="3" customFormat="1" ht="15" customHeight="1">
      <c r="A217" s="141" t="s">
        <v>49</v>
      </c>
      <c r="B217" s="149">
        <v>757</v>
      </c>
      <c r="C217" s="84" t="s">
        <v>44</v>
      </c>
      <c r="D217" s="84" t="s">
        <v>19</v>
      </c>
      <c r="E217" s="84" t="s">
        <v>201</v>
      </c>
      <c r="F217" s="84"/>
      <c r="G217" s="95">
        <f t="shared" ref="G217:I218" si="47">G218</f>
        <v>40307651.82</v>
      </c>
      <c r="H217" s="95">
        <f t="shared" si="47"/>
        <v>45400329.390000001</v>
      </c>
      <c r="I217" s="95">
        <f t="shared" si="47"/>
        <v>45387746.920000002</v>
      </c>
      <c r="J217" s="179"/>
      <c r="K217" s="199"/>
      <c r="L217" s="199"/>
      <c r="M217" s="199"/>
      <c r="N217" s="199"/>
      <c r="O217" s="199"/>
      <c r="P217" s="199"/>
      <c r="Q217" s="199"/>
      <c r="R217" s="199"/>
    </row>
    <row r="218" spans="1:18" ht="25.5">
      <c r="A218" s="82" t="s">
        <v>30</v>
      </c>
      <c r="B218" s="149">
        <v>757</v>
      </c>
      <c r="C218" s="84" t="s">
        <v>44</v>
      </c>
      <c r="D218" s="84" t="s">
        <v>19</v>
      </c>
      <c r="E218" s="84" t="s">
        <v>201</v>
      </c>
      <c r="F218" s="84" t="s">
        <v>31</v>
      </c>
      <c r="G218" s="85">
        <f>G219</f>
        <v>40307651.82</v>
      </c>
      <c r="H218" s="85">
        <f t="shared" si="47"/>
        <v>45400329.390000001</v>
      </c>
      <c r="I218" s="85">
        <f t="shared" si="47"/>
        <v>45387746.920000002</v>
      </c>
      <c r="J218" s="178"/>
    </row>
    <row r="219" spans="1:18">
      <c r="A219" s="82" t="s">
        <v>32</v>
      </c>
      <c r="B219" s="149">
        <v>757</v>
      </c>
      <c r="C219" s="84" t="s">
        <v>44</v>
      </c>
      <c r="D219" s="84" t="s">
        <v>19</v>
      </c>
      <c r="E219" s="84" t="s">
        <v>201</v>
      </c>
      <c r="F219" s="84" t="s">
        <v>33</v>
      </c>
      <c r="G219" s="85">
        <f>40105640.34+73994.5+128016.98</f>
        <v>40307651.82</v>
      </c>
      <c r="H219" s="85">
        <f>49664450.6-4264121.21</f>
        <v>45400329.390000001</v>
      </c>
      <c r="I219" s="85">
        <f>52651868.13-7264121.21</f>
        <v>45387746.920000002</v>
      </c>
      <c r="J219" s="178"/>
    </row>
    <row r="220" spans="1:18" ht="36" hidden="1" customHeight="1">
      <c r="A220" s="82" t="s">
        <v>544</v>
      </c>
      <c r="B220" s="149">
        <v>757</v>
      </c>
      <c r="C220" s="84" t="s">
        <v>44</v>
      </c>
      <c r="D220" s="84" t="s">
        <v>19</v>
      </c>
      <c r="E220" s="84" t="s">
        <v>545</v>
      </c>
      <c r="F220" s="84"/>
      <c r="G220" s="87">
        <f>G222</f>
        <v>0</v>
      </c>
      <c r="H220" s="87">
        <v>0</v>
      </c>
      <c r="I220" s="87">
        <v>0</v>
      </c>
      <c r="J220" s="177"/>
    </row>
    <row r="221" spans="1:18" ht="36" hidden="1" customHeight="1">
      <c r="A221" s="82" t="s">
        <v>30</v>
      </c>
      <c r="B221" s="149">
        <v>757</v>
      </c>
      <c r="C221" s="84" t="s">
        <v>44</v>
      </c>
      <c r="D221" s="84" t="s">
        <v>19</v>
      </c>
      <c r="E221" s="84" t="s">
        <v>545</v>
      </c>
      <c r="F221" s="84" t="s">
        <v>31</v>
      </c>
      <c r="G221" s="87">
        <f>G222</f>
        <v>0</v>
      </c>
      <c r="H221" s="87">
        <v>0</v>
      </c>
      <c r="I221" s="87">
        <v>0</v>
      </c>
      <c r="J221" s="177"/>
    </row>
    <row r="222" spans="1:18" ht="19.5" hidden="1" customHeight="1">
      <c r="A222" s="82" t="s">
        <v>32</v>
      </c>
      <c r="B222" s="149">
        <v>757</v>
      </c>
      <c r="C222" s="84" t="s">
        <v>44</v>
      </c>
      <c r="D222" s="84" t="s">
        <v>19</v>
      </c>
      <c r="E222" s="84" t="s">
        <v>545</v>
      </c>
      <c r="F222" s="84" t="s">
        <v>33</v>
      </c>
      <c r="G222" s="87"/>
      <c r="H222" s="87">
        <v>0</v>
      </c>
      <c r="I222" s="87">
        <v>0</v>
      </c>
      <c r="J222" s="177"/>
    </row>
    <row r="223" spans="1:18" ht="76.5" hidden="1">
      <c r="A223" s="82" t="s">
        <v>395</v>
      </c>
      <c r="B223" s="149">
        <v>757</v>
      </c>
      <c r="C223" s="84" t="s">
        <v>44</v>
      </c>
      <c r="D223" s="84" t="s">
        <v>19</v>
      </c>
      <c r="E223" s="84" t="s">
        <v>394</v>
      </c>
      <c r="F223" s="84"/>
      <c r="G223" s="85">
        <f>G224</f>
        <v>0</v>
      </c>
      <c r="H223" s="85">
        <f>H224</f>
        <v>0</v>
      </c>
      <c r="I223" s="85">
        <f>I224</f>
        <v>0</v>
      </c>
      <c r="J223" s="178"/>
    </row>
    <row r="224" spans="1:18" hidden="1">
      <c r="A224" s="82" t="s">
        <v>32</v>
      </c>
      <c r="B224" s="149">
        <v>757</v>
      </c>
      <c r="C224" s="84" t="s">
        <v>44</v>
      </c>
      <c r="D224" s="84" t="s">
        <v>19</v>
      </c>
      <c r="E224" s="84" t="s">
        <v>394</v>
      </c>
      <c r="F224" s="84" t="s">
        <v>33</v>
      </c>
      <c r="G224" s="85"/>
      <c r="H224" s="85"/>
      <c r="I224" s="85"/>
      <c r="J224" s="178"/>
    </row>
    <row r="225" spans="1:10" ht="19.5" hidden="1" customHeight="1">
      <c r="A225" s="82" t="s">
        <v>393</v>
      </c>
      <c r="B225" s="149">
        <v>757</v>
      </c>
      <c r="C225" s="84" t="s">
        <v>44</v>
      </c>
      <c r="D225" s="84" t="s">
        <v>19</v>
      </c>
      <c r="E225" s="84" t="s">
        <v>126</v>
      </c>
      <c r="F225" s="84"/>
      <c r="G225" s="87">
        <f>G226</f>
        <v>0</v>
      </c>
      <c r="H225" s="87">
        <v>0</v>
      </c>
      <c r="I225" s="87">
        <v>0</v>
      </c>
      <c r="J225" s="177"/>
    </row>
    <row r="226" spans="1:10" ht="39.75" hidden="1" customHeight="1">
      <c r="A226" s="82" t="s">
        <v>30</v>
      </c>
      <c r="B226" s="149">
        <v>757</v>
      </c>
      <c r="C226" s="84" t="s">
        <v>44</v>
      </c>
      <c r="D226" s="84" t="s">
        <v>19</v>
      </c>
      <c r="E226" s="84" t="s">
        <v>126</v>
      </c>
      <c r="F226" s="84" t="s">
        <v>31</v>
      </c>
      <c r="G226" s="87">
        <f>G227</f>
        <v>0</v>
      </c>
      <c r="H226" s="87">
        <v>0</v>
      </c>
      <c r="I226" s="87">
        <v>0</v>
      </c>
      <c r="J226" s="177"/>
    </row>
    <row r="227" spans="1:10" ht="20.25" hidden="1" customHeight="1">
      <c r="A227" s="82" t="s">
        <v>32</v>
      </c>
      <c r="B227" s="149">
        <v>757</v>
      </c>
      <c r="C227" s="84" t="s">
        <v>44</v>
      </c>
      <c r="D227" s="84" t="s">
        <v>19</v>
      </c>
      <c r="E227" s="84" t="s">
        <v>126</v>
      </c>
      <c r="F227" s="84" t="s">
        <v>33</v>
      </c>
      <c r="G227" s="87"/>
      <c r="H227" s="87">
        <v>0</v>
      </c>
      <c r="I227" s="87">
        <v>0</v>
      </c>
      <c r="J227" s="177"/>
    </row>
    <row r="228" spans="1:10" ht="39" hidden="1" customHeight="1">
      <c r="A228" s="82" t="s">
        <v>184</v>
      </c>
      <c r="B228" s="149">
        <v>757</v>
      </c>
      <c r="C228" s="84" t="s">
        <v>44</v>
      </c>
      <c r="D228" s="84" t="s">
        <v>19</v>
      </c>
      <c r="E228" s="84" t="s">
        <v>183</v>
      </c>
      <c r="F228" s="84"/>
      <c r="G228" s="87">
        <f>G229</f>
        <v>0</v>
      </c>
      <c r="H228" s="87">
        <f t="shared" ref="H228:I228" si="48">H229</f>
        <v>0</v>
      </c>
      <c r="I228" s="87">
        <f t="shared" si="48"/>
        <v>0</v>
      </c>
      <c r="J228" s="177"/>
    </row>
    <row r="229" spans="1:10" ht="39.75" hidden="1" customHeight="1">
      <c r="A229" s="82" t="s">
        <v>30</v>
      </c>
      <c r="B229" s="149">
        <v>757</v>
      </c>
      <c r="C229" s="84" t="s">
        <v>44</v>
      </c>
      <c r="D229" s="84" t="s">
        <v>19</v>
      </c>
      <c r="E229" s="84" t="s">
        <v>183</v>
      </c>
      <c r="F229" s="84" t="s">
        <v>31</v>
      </c>
      <c r="G229" s="87">
        <f>G230</f>
        <v>0</v>
      </c>
      <c r="H229" s="87">
        <f t="shared" ref="H229:I229" si="49">H230</f>
        <v>0</v>
      </c>
      <c r="I229" s="87">
        <f t="shared" si="49"/>
        <v>0</v>
      </c>
      <c r="J229" s="177"/>
    </row>
    <row r="230" spans="1:10" ht="20.25" hidden="1" customHeight="1">
      <c r="A230" s="82" t="s">
        <v>32</v>
      </c>
      <c r="B230" s="149">
        <v>757</v>
      </c>
      <c r="C230" s="84" t="s">
        <v>44</v>
      </c>
      <c r="D230" s="84" t="s">
        <v>19</v>
      </c>
      <c r="E230" s="84" t="s">
        <v>183</v>
      </c>
      <c r="F230" s="84" t="s">
        <v>33</v>
      </c>
      <c r="G230" s="87">
        <v>0</v>
      </c>
      <c r="H230" s="87"/>
      <c r="I230" s="87">
        <v>0</v>
      </c>
      <c r="J230" s="177"/>
    </row>
    <row r="231" spans="1:10" ht="37.5" customHeight="1">
      <c r="A231" s="82" t="s">
        <v>435</v>
      </c>
      <c r="B231" s="149">
        <v>757</v>
      </c>
      <c r="C231" s="84" t="s">
        <v>44</v>
      </c>
      <c r="D231" s="84" t="s">
        <v>19</v>
      </c>
      <c r="E231" s="84" t="s">
        <v>407</v>
      </c>
      <c r="F231" s="84"/>
      <c r="G231" s="85">
        <f t="shared" ref="G231:I232" si="50">G232</f>
        <v>128051.19999999998</v>
      </c>
      <c r="H231" s="85">
        <f t="shared" si="50"/>
        <v>0</v>
      </c>
      <c r="I231" s="85">
        <f t="shared" si="50"/>
        <v>0</v>
      </c>
      <c r="J231" s="178"/>
    </row>
    <row r="232" spans="1:10" ht="25.5">
      <c r="A232" s="82" t="s">
        <v>30</v>
      </c>
      <c r="B232" s="149">
        <v>757</v>
      </c>
      <c r="C232" s="84" t="s">
        <v>44</v>
      </c>
      <c r="D232" s="84" t="s">
        <v>19</v>
      </c>
      <c r="E232" s="84" t="s">
        <v>407</v>
      </c>
      <c r="F232" s="84" t="s">
        <v>31</v>
      </c>
      <c r="G232" s="85">
        <f t="shared" si="50"/>
        <v>128051.19999999998</v>
      </c>
      <c r="H232" s="85">
        <f t="shared" si="50"/>
        <v>0</v>
      </c>
      <c r="I232" s="85">
        <f t="shared" si="50"/>
        <v>0</v>
      </c>
      <c r="J232" s="178"/>
    </row>
    <row r="233" spans="1:10">
      <c r="A233" s="82" t="s">
        <v>32</v>
      </c>
      <c r="B233" s="149">
        <v>757</v>
      </c>
      <c r="C233" s="84" t="s">
        <v>44</v>
      </c>
      <c r="D233" s="84" t="s">
        <v>19</v>
      </c>
      <c r="E233" s="84" t="s">
        <v>407</v>
      </c>
      <c r="F233" s="84" t="s">
        <v>33</v>
      </c>
      <c r="G233" s="85">
        <f>209082.74-100239.22+19207.68</f>
        <v>128051.19999999998</v>
      </c>
      <c r="H233" s="85">
        <f>100239.22-100239.22</f>
        <v>0</v>
      </c>
      <c r="I233" s="85">
        <f>100239.22-100239.22</f>
        <v>0</v>
      </c>
      <c r="J233" s="178"/>
    </row>
    <row r="234" spans="1:10" hidden="1">
      <c r="A234" s="82" t="s">
        <v>427</v>
      </c>
      <c r="B234" s="149">
        <v>757</v>
      </c>
      <c r="C234" s="84" t="s">
        <v>44</v>
      </c>
      <c r="D234" s="84" t="s">
        <v>19</v>
      </c>
      <c r="E234" s="84" t="s">
        <v>426</v>
      </c>
      <c r="F234" s="84"/>
      <c r="G234" s="85"/>
      <c r="H234" s="85">
        <f>H235</f>
        <v>0</v>
      </c>
      <c r="I234" s="85">
        <f>I235</f>
        <v>0</v>
      </c>
      <c r="J234" s="178"/>
    </row>
    <row r="235" spans="1:10" hidden="1">
      <c r="A235" s="82" t="s">
        <v>272</v>
      </c>
      <c r="B235" s="149">
        <v>757</v>
      </c>
      <c r="C235" s="84" t="s">
        <v>44</v>
      </c>
      <c r="D235" s="84" t="s">
        <v>19</v>
      </c>
      <c r="E235" s="84" t="s">
        <v>570</v>
      </c>
      <c r="F235" s="84"/>
      <c r="G235" s="85">
        <f>G236</f>
        <v>0</v>
      </c>
      <c r="H235" s="85"/>
      <c r="I235" s="85"/>
      <c r="J235" s="178"/>
    </row>
    <row r="236" spans="1:10" hidden="1">
      <c r="A236" s="82" t="s">
        <v>272</v>
      </c>
      <c r="B236" s="149">
        <v>757</v>
      </c>
      <c r="C236" s="84" t="s">
        <v>44</v>
      </c>
      <c r="D236" s="84" t="s">
        <v>19</v>
      </c>
      <c r="E236" s="84" t="s">
        <v>571</v>
      </c>
      <c r="F236" s="84"/>
      <c r="G236" s="85">
        <f t="shared" ref="G236:I237" si="51">G237</f>
        <v>0</v>
      </c>
      <c r="H236" s="85">
        <f t="shared" si="51"/>
        <v>0</v>
      </c>
      <c r="I236" s="85">
        <f t="shared" si="51"/>
        <v>0</v>
      </c>
      <c r="J236" s="178"/>
    </row>
    <row r="237" spans="1:10" ht="25.5" hidden="1">
      <c r="A237" s="82" t="s">
        <v>30</v>
      </c>
      <c r="B237" s="149">
        <v>757</v>
      </c>
      <c r="C237" s="84" t="s">
        <v>44</v>
      </c>
      <c r="D237" s="84" t="s">
        <v>19</v>
      </c>
      <c r="E237" s="84" t="s">
        <v>571</v>
      </c>
      <c r="F237" s="84" t="s">
        <v>31</v>
      </c>
      <c r="G237" s="85">
        <f t="shared" si="51"/>
        <v>0</v>
      </c>
      <c r="H237" s="85">
        <f t="shared" si="51"/>
        <v>0</v>
      </c>
      <c r="I237" s="85">
        <f t="shared" si="51"/>
        <v>0</v>
      </c>
      <c r="J237" s="178"/>
    </row>
    <row r="238" spans="1:10" hidden="1">
      <c r="A238" s="82" t="s">
        <v>32</v>
      </c>
      <c r="B238" s="149">
        <v>757</v>
      </c>
      <c r="C238" s="84" t="s">
        <v>44</v>
      </c>
      <c r="D238" s="84" t="s">
        <v>19</v>
      </c>
      <c r="E238" s="84" t="s">
        <v>571</v>
      </c>
      <c r="F238" s="84" t="s">
        <v>33</v>
      </c>
      <c r="G238" s="85"/>
      <c r="H238" s="85"/>
      <c r="I238" s="85"/>
      <c r="J238" s="178"/>
    </row>
    <row r="239" spans="1:10" ht="25.5" hidden="1">
      <c r="A239" s="82" t="s">
        <v>169</v>
      </c>
      <c r="B239" s="149">
        <v>757</v>
      </c>
      <c r="C239" s="84" t="s">
        <v>44</v>
      </c>
      <c r="D239" s="84" t="s">
        <v>19</v>
      </c>
      <c r="E239" s="84" t="s">
        <v>409</v>
      </c>
      <c r="F239" s="84"/>
      <c r="G239" s="85">
        <f>G241</f>
        <v>0</v>
      </c>
      <c r="H239" s="85">
        <f>H241</f>
        <v>0</v>
      </c>
      <c r="I239" s="85">
        <f>I241</f>
        <v>0</v>
      </c>
      <c r="J239" s="178"/>
    </row>
    <row r="240" spans="1:10" ht="25.5" hidden="1">
      <c r="A240" s="82" t="s">
        <v>169</v>
      </c>
      <c r="B240" s="149">
        <v>757</v>
      </c>
      <c r="C240" s="84" t="s">
        <v>44</v>
      </c>
      <c r="D240" s="84" t="s">
        <v>19</v>
      </c>
      <c r="E240" s="84" t="s">
        <v>408</v>
      </c>
      <c r="F240" s="84"/>
      <c r="G240" s="85">
        <f t="shared" ref="G240:I241" si="52">G241</f>
        <v>0</v>
      </c>
      <c r="H240" s="85">
        <f t="shared" si="52"/>
        <v>0</v>
      </c>
      <c r="I240" s="85">
        <f t="shared" si="52"/>
        <v>0</v>
      </c>
      <c r="J240" s="178"/>
    </row>
    <row r="241" spans="1:18" ht="25.5" hidden="1">
      <c r="A241" s="82" t="s">
        <v>30</v>
      </c>
      <c r="B241" s="149">
        <v>757</v>
      </c>
      <c r="C241" s="84" t="s">
        <v>44</v>
      </c>
      <c r="D241" s="84" t="s">
        <v>19</v>
      </c>
      <c r="E241" s="84" t="s">
        <v>408</v>
      </c>
      <c r="F241" s="84" t="s">
        <v>31</v>
      </c>
      <c r="G241" s="85">
        <f t="shared" si="52"/>
        <v>0</v>
      </c>
      <c r="H241" s="85">
        <f t="shared" si="52"/>
        <v>0</v>
      </c>
      <c r="I241" s="85">
        <f t="shared" si="52"/>
        <v>0</v>
      </c>
      <c r="J241" s="178"/>
    </row>
    <row r="242" spans="1:18" hidden="1">
      <c r="A242" s="82" t="s">
        <v>32</v>
      </c>
      <c r="B242" s="149">
        <v>757</v>
      </c>
      <c r="C242" s="84" t="s">
        <v>44</v>
      </c>
      <c r="D242" s="84" t="s">
        <v>19</v>
      </c>
      <c r="E242" s="84" t="s">
        <v>408</v>
      </c>
      <c r="F242" s="84" t="s">
        <v>33</v>
      </c>
      <c r="G242" s="85"/>
      <c r="H242" s="85"/>
      <c r="I242" s="85"/>
      <c r="J242" s="178"/>
    </row>
    <row r="243" spans="1:18" s="18" customFormat="1" ht="25.5" hidden="1">
      <c r="A243" s="82" t="s">
        <v>474</v>
      </c>
      <c r="B243" s="149">
        <v>757</v>
      </c>
      <c r="C243" s="84" t="s">
        <v>44</v>
      </c>
      <c r="D243" s="84" t="s">
        <v>19</v>
      </c>
      <c r="E243" s="84" t="s">
        <v>262</v>
      </c>
      <c r="F243" s="84"/>
      <c r="G243" s="87">
        <f>G244</f>
        <v>0</v>
      </c>
      <c r="H243" s="87">
        <f t="shared" ref="H243:I243" si="53">H244</f>
        <v>0</v>
      </c>
      <c r="I243" s="87">
        <f t="shared" si="53"/>
        <v>0</v>
      </c>
      <c r="J243" s="177"/>
      <c r="K243" s="200"/>
      <c r="L243" s="200"/>
      <c r="M243" s="200"/>
      <c r="N243" s="200"/>
      <c r="O243" s="200"/>
      <c r="P243" s="200"/>
      <c r="Q243" s="200"/>
      <c r="R243" s="200"/>
    </row>
    <row r="244" spans="1:18" s="18" customFormat="1" ht="61.5" hidden="1" customHeight="1">
      <c r="A244" s="82" t="s">
        <v>596</v>
      </c>
      <c r="B244" s="149">
        <v>757</v>
      </c>
      <c r="C244" s="84" t="s">
        <v>44</v>
      </c>
      <c r="D244" s="84" t="s">
        <v>19</v>
      </c>
      <c r="E244" s="84" t="s">
        <v>595</v>
      </c>
      <c r="F244" s="84"/>
      <c r="G244" s="87">
        <f>G245</f>
        <v>0</v>
      </c>
      <c r="H244" s="87">
        <f t="shared" ref="H244:I245" si="54">H245</f>
        <v>0</v>
      </c>
      <c r="I244" s="87">
        <f t="shared" si="54"/>
        <v>0</v>
      </c>
      <c r="J244" s="177"/>
      <c r="K244" s="200"/>
      <c r="L244" s="200"/>
      <c r="M244" s="200"/>
      <c r="N244" s="200"/>
      <c r="O244" s="200"/>
      <c r="P244" s="200"/>
      <c r="Q244" s="200"/>
      <c r="R244" s="200"/>
    </row>
    <row r="245" spans="1:18" s="18" customFormat="1" ht="25.5" hidden="1">
      <c r="A245" s="82" t="s">
        <v>30</v>
      </c>
      <c r="B245" s="149">
        <v>757</v>
      </c>
      <c r="C245" s="84" t="s">
        <v>44</v>
      </c>
      <c r="D245" s="84" t="s">
        <v>19</v>
      </c>
      <c r="E245" s="84" t="s">
        <v>595</v>
      </c>
      <c r="F245" s="84" t="s">
        <v>31</v>
      </c>
      <c r="G245" s="87">
        <f>G246</f>
        <v>0</v>
      </c>
      <c r="H245" s="87">
        <f t="shared" si="54"/>
        <v>0</v>
      </c>
      <c r="I245" s="87">
        <f t="shared" si="54"/>
        <v>0</v>
      </c>
      <c r="J245" s="177"/>
      <c r="K245" s="200"/>
      <c r="L245" s="200"/>
      <c r="M245" s="200"/>
      <c r="N245" s="200"/>
      <c r="O245" s="200"/>
      <c r="P245" s="200"/>
      <c r="Q245" s="200"/>
      <c r="R245" s="200"/>
    </row>
    <row r="246" spans="1:18" s="18" customFormat="1" hidden="1">
      <c r="A246" s="82" t="s">
        <v>32</v>
      </c>
      <c r="B246" s="149">
        <v>757</v>
      </c>
      <c r="C246" s="84" t="s">
        <v>44</v>
      </c>
      <c r="D246" s="84" t="s">
        <v>19</v>
      </c>
      <c r="E246" s="84" t="s">
        <v>595</v>
      </c>
      <c r="F246" s="84" t="s">
        <v>33</v>
      </c>
      <c r="G246" s="87"/>
      <c r="H246" s="87">
        <v>0</v>
      </c>
      <c r="I246" s="87">
        <v>0</v>
      </c>
      <c r="J246" s="177"/>
      <c r="K246" s="200"/>
      <c r="L246" s="200"/>
      <c r="M246" s="200"/>
      <c r="N246" s="200"/>
      <c r="O246" s="200"/>
      <c r="P246" s="200"/>
      <c r="Q246" s="200"/>
      <c r="R246" s="200"/>
    </row>
    <row r="247" spans="1:18" ht="41.25" hidden="1" customHeight="1">
      <c r="A247" s="82" t="s">
        <v>523</v>
      </c>
      <c r="B247" s="149">
        <v>757</v>
      </c>
      <c r="C247" s="84" t="s">
        <v>44</v>
      </c>
      <c r="D247" s="84" t="s">
        <v>19</v>
      </c>
      <c r="E247" s="84" t="s">
        <v>522</v>
      </c>
      <c r="F247" s="84"/>
      <c r="G247" s="87">
        <f>G248</f>
        <v>0</v>
      </c>
      <c r="H247" s="87">
        <f t="shared" ref="H247:I248" si="55">H248</f>
        <v>0</v>
      </c>
      <c r="I247" s="87">
        <f t="shared" si="55"/>
        <v>0</v>
      </c>
      <c r="J247" s="177"/>
    </row>
    <row r="248" spans="1:18" ht="45" hidden="1" customHeight="1">
      <c r="A248" s="82" t="s">
        <v>30</v>
      </c>
      <c r="B248" s="149">
        <v>757</v>
      </c>
      <c r="C248" s="84" t="s">
        <v>44</v>
      </c>
      <c r="D248" s="84" t="s">
        <v>19</v>
      </c>
      <c r="E248" s="84" t="s">
        <v>522</v>
      </c>
      <c r="F248" s="84" t="s">
        <v>31</v>
      </c>
      <c r="G248" s="87">
        <f>G249</f>
        <v>0</v>
      </c>
      <c r="H248" s="87">
        <f t="shared" si="55"/>
        <v>0</v>
      </c>
      <c r="I248" s="87">
        <f t="shared" si="55"/>
        <v>0</v>
      </c>
      <c r="J248" s="177"/>
      <c r="K248" s="177"/>
      <c r="L248" s="177"/>
    </row>
    <row r="249" spans="1:18" ht="19.5" hidden="1" customHeight="1">
      <c r="A249" s="82" t="s">
        <v>32</v>
      </c>
      <c r="B249" s="149">
        <v>757</v>
      </c>
      <c r="C249" s="84" t="s">
        <v>44</v>
      </c>
      <c r="D249" s="84" t="s">
        <v>19</v>
      </c>
      <c r="E249" s="84" t="s">
        <v>522</v>
      </c>
      <c r="F249" s="84" t="s">
        <v>33</v>
      </c>
      <c r="G249" s="87">
        <v>0</v>
      </c>
      <c r="H249" s="87"/>
      <c r="I249" s="87"/>
      <c r="J249" s="177"/>
    </row>
    <row r="250" spans="1:18" ht="69" customHeight="1">
      <c r="A250" s="82" t="s">
        <v>1049</v>
      </c>
      <c r="B250" s="149">
        <v>757</v>
      </c>
      <c r="C250" s="84" t="s">
        <v>44</v>
      </c>
      <c r="D250" s="84" t="s">
        <v>19</v>
      </c>
      <c r="E250" s="84" t="s">
        <v>1048</v>
      </c>
      <c r="F250" s="84"/>
      <c r="G250" s="85">
        <f t="shared" ref="G250:I251" si="56">G251</f>
        <v>0</v>
      </c>
      <c r="H250" s="85">
        <f t="shared" si="56"/>
        <v>100239.22</v>
      </c>
      <c r="I250" s="85">
        <f t="shared" si="56"/>
        <v>100239.22</v>
      </c>
      <c r="J250" s="178"/>
    </row>
    <row r="251" spans="1:18" ht="25.5">
      <c r="A251" s="82" t="s">
        <v>30</v>
      </c>
      <c r="B251" s="149">
        <v>757</v>
      </c>
      <c r="C251" s="84" t="s">
        <v>44</v>
      </c>
      <c r="D251" s="84" t="s">
        <v>19</v>
      </c>
      <c r="E251" s="84" t="s">
        <v>1048</v>
      </c>
      <c r="F251" s="84" t="s">
        <v>31</v>
      </c>
      <c r="G251" s="85">
        <f t="shared" si="56"/>
        <v>0</v>
      </c>
      <c r="H251" s="85">
        <f t="shared" si="56"/>
        <v>100239.22</v>
      </c>
      <c r="I251" s="85">
        <f t="shared" si="56"/>
        <v>100239.22</v>
      </c>
      <c r="J251" s="178"/>
    </row>
    <row r="252" spans="1:18">
      <c r="A252" s="82" t="s">
        <v>32</v>
      </c>
      <c r="B252" s="149">
        <v>757</v>
      </c>
      <c r="C252" s="84" t="s">
        <v>44</v>
      </c>
      <c r="D252" s="84" t="s">
        <v>19</v>
      </c>
      <c r="E252" s="84" t="s">
        <v>1048</v>
      </c>
      <c r="F252" s="84" t="s">
        <v>33</v>
      </c>
      <c r="G252" s="85"/>
      <c r="H252" s="85">
        <v>100239.22</v>
      </c>
      <c r="I252" s="85">
        <v>100239.22</v>
      </c>
      <c r="J252" s="178"/>
    </row>
    <row r="253" spans="1:18" ht="37.5" customHeight="1">
      <c r="A253" s="82" t="s">
        <v>184</v>
      </c>
      <c r="B253" s="149">
        <v>757</v>
      </c>
      <c r="C253" s="84" t="s">
        <v>44</v>
      </c>
      <c r="D253" s="84" t="s">
        <v>19</v>
      </c>
      <c r="E253" s="84" t="s">
        <v>183</v>
      </c>
      <c r="F253" s="84"/>
      <c r="G253" s="85">
        <f>G254</f>
        <v>0</v>
      </c>
      <c r="H253" s="85">
        <f t="shared" ref="H253:I253" si="57">H254</f>
        <v>1470600</v>
      </c>
      <c r="I253" s="85">
        <f t="shared" si="57"/>
        <v>0</v>
      </c>
      <c r="J253" s="178"/>
    </row>
    <row r="254" spans="1:18" ht="25.5">
      <c r="A254" s="82" t="s">
        <v>30</v>
      </c>
      <c r="B254" s="149">
        <v>757</v>
      </c>
      <c r="C254" s="84" t="s">
        <v>44</v>
      </c>
      <c r="D254" s="84" t="s">
        <v>19</v>
      </c>
      <c r="E254" s="84" t="s">
        <v>183</v>
      </c>
      <c r="F254" s="84" t="s">
        <v>31</v>
      </c>
      <c r="G254" s="85">
        <f>G255</f>
        <v>0</v>
      </c>
      <c r="H254" s="85">
        <f t="shared" ref="H254:I254" si="58">H255</f>
        <v>1470600</v>
      </c>
      <c r="I254" s="85">
        <f t="shared" si="58"/>
        <v>0</v>
      </c>
      <c r="J254" s="178"/>
    </row>
    <row r="255" spans="1:18">
      <c r="A255" s="82" t="s">
        <v>32</v>
      </c>
      <c r="B255" s="149">
        <v>757</v>
      </c>
      <c r="C255" s="84" t="s">
        <v>44</v>
      </c>
      <c r="D255" s="84" t="s">
        <v>19</v>
      </c>
      <c r="E255" s="84" t="s">
        <v>183</v>
      </c>
      <c r="F255" s="84" t="s">
        <v>33</v>
      </c>
      <c r="G255" s="85">
        <v>0</v>
      </c>
      <c r="H255" s="85">
        <f>220600+1250000</f>
        <v>1470600</v>
      </c>
      <c r="I255" s="85">
        <v>0</v>
      </c>
      <c r="J255" s="178"/>
    </row>
    <row r="256" spans="1:18" ht="26.25" customHeight="1">
      <c r="A256" s="82" t="s">
        <v>931</v>
      </c>
      <c r="B256" s="149">
        <v>757</v>
      </c>
      <c r="C256" s="84" t="s">
        <v>44</v>
      </c>
      <c r="D256" s="84" t="s">
        <v>19</v>
      </c>
      <c r="E256" s="84" t="s">
        <v>930</v>
      </c>
      <c r="F256" s="84"/>
      <c r="G256" s="87">
        <f>G257</f>
        <v>12715225.859999999</v>
      </c>
      <c r="H256" s="87">
        <f t="shared" ref="H256:I256" si="59">H257</f>
        <v>0</v>
      </c>
      <c r="I256" s="87">
        <f t="shared" si="59"/>
        <v>0</v>
      </c>
      <c r="J256" s="177"/>
    </row>
    <row r="257" spans="1:12" ht="43.5" customHeight="1">
      <c r="A257" s="82" t="s">
        <v>30</v>
      </c>
      <c r="B257" s="149">
        <v>757</v>
      </c>
      <c r="C257" s="84" t="s">
        <v>44</v>
      </c>
      <c r="D257" s="84" t="s">
        <v>19</v>
      </c>
      <c r="E257" s="84" t="s">
        <v>930</v>
      </c>
      <c r="F257" s="84" t="s">
        <v>31</v>
      </c>
      <c r="G257" s="87">
        <f>G258</f>
        <v>12715225.859999999</v>
      </c>
      <c r="H257" s="87">
        <f t="shared" ref="H257:I257" si="60">H258</f>
        <v>0</v>
      </c>
      <c r="I257" s="87">
        <f t="shared" si="60"/>
        <v>0</v>
      </c>
      <c r="J257" s="177"/>
      <c r="K257" s="177"/>
      <c r="L257" s="177"/>
    </row>
    <row r="258" spans="1:12" ht="20.25" customHeight="1">
      <c r="A258" s="82" t="s">
        <v>32</v>
      </c>
      <c r="B258" s="149">
        <v>757</v>
      </c>
      <c r="C258" s="84" t="s">
        <v>44</v>
      </c>
      <c r="D258" s="84" t="s">
        <v>19</v>
      </c>
      <c r="E258" s="84" t="s">
        <v>930</v>
      </c>
      <c r="F258" s="84" t="s">
        <v>33</v>
      </c>
      <c r="G258" s="87">
        <v>12715225.859999999</v>
      </c>
      <c r="H258" s="87">
        <v>0</v>
      </c>
      <c r="I258" s="87">
        <v>0</v>
      </c>
      <c r="J258" s="177"/>
    </row>
    <row r="259" spans="1:12" ht="65.25" customHeight="1">
      <c r="A259" s="82" t="s">
        <v>691</v>
      </c>
      <c r="B259" s="149">
        <v>757</v>
      </c>
      <c r="C259" s="84" t="s">
        <v>44</v>
      </c>
      <c r="D259" s="84" t="s">
        <v>19</v>
      </c>
      <c r="E259" s="84" t="s">
        <v>690</v>
      </c>
      <c r="F259" s="84"/>
      <c r="G259" s="87">
        <f>G260</f>
        <v>0</v>
      </c>
      <c r="H259" s="87">
        <f t="shared" ref="H259:H270" si="61">H260</f>
        <v>5261649.8699999992</v>
      </c>
      <c r="I259" s="87">
        <f t="shared" ref="I259:I270" si="62">I260</f>
        <v>0</v>
      </c>
      <c r="J259" s="177"/>
    </row>
    <row r="260" spans="1:12" ht="45" customHeight="1">
      <c r="A260" s="82" t="s">
        <v>30</v>
      </c>
      <c r="B260" s="149">
        <v>757</v>
      </c>
      <c r="C260" s="84" t="s">
        <v>44</v>
      </c>
      <c r="D260" s="84" t="s">
        <v>19</v>
      </c>
      <c r="E260" s="84" t="s">
        <v>690</v>
      </c>
      <c r="F260" s="84" t="s">
        <v>31</v>
      </c>
      <c r="G260" s="87">
        <f>G261</f>
        <v>0</v>
      </c>
      <c r="H260" s="87">
        <f t="shared" si="61"/>
        <v>5261649.8699999992</v>
      </c>
      <c r="I260" s="87">
        <f t="shared" si="62"/>
        <v>0</v>
      </c>
      <c r="J260" s="177"/>
      <c r="K260" s="177"/>
      <c r="L260" s="177"/>
    </row>
    <row r="261" spans="1:12" ht="28.5" customHeight="1">
      <c r="A261" s="82" t="s">
        <v>32</v>
      </c>
      <c r="B261" s="149">
        <v>757</v>
      </c>
      <c r="C261" s="84" t="s">
        <v>44</v>
      </c>
      <c r="D261" s="84" t="s">
        <v>19</v>
      </c>
      <c r="E261" s="84" t="s">
        <v>690</v>
      </c>
      <c r="F261" s="84" t="s">
        <v>33</v>
      </c>
      <c r="G261" s="87">
        <v>0</v>
      </c>
      <c r="H261" s="87">
        <f>784764.71+4472402.39+4482.77</f>
        <v>5261649.8699999992</v>
      </c>
      <c r="I261" s="87">
        <v>0</v>
      </c>
      <c r="J261" s="177"/>
    </row>
    <row r="262" spans="1:12" ht="28.5" customHeight="1">
      <c r="A262" s="82" t="s">
        <v>938</v>
      </c>
      <c r="B262" s="149">
        <v>757</v>
      </c>
      <c r="C262" s="84" t="s">
        <v>44</v>
      </c>
      <c r="D262" s="84" t="s">
        <v>19</v>
      </c>
      <c r="E262" s="84" t="s">
        <v>937</v>
      </c>
      <c r="F262" s="84"/>
      <c r="G262" s="87">
        <f>G263</f>
        <v>65359.48</v>
      </c>
      <c r="H262" s="87">
        <f t="shared" ref="H262:I262" si="63">H263</f>
        <v>0</v>
      </c>
      <c r="I262" s="87">
        <f t="shared" si="63"/>
        <v>0</v>
      </c>
      <c r="J262" s="177"/>
    </row>
    <row r="263" spans="1:12" ht="36" customHeight="1">
      <c r="A263" s="82" t="s">
        <v>939</v>
      </c>
      <c r="B263" s="149">
        <v>757</v>
      </c>
      <c r="C263" s="84" t="s">
        <v>44</v>
      </c>
      <c r="D263" s="84" t="s">
        <v>19</v>
      </c>
      <c r="E263" s="84" t="s">
        <v>936</v>
      </c>
      <c r="F263" s="84"/>
      <c r="G263" s="87">
        <f>G264</f>
        <v>65359.48</v>
      </c>
      <c r="H263" s="87">
        <f t="shared" si="61"/>
        <v>0</v>
      </c>
      <c r="I263" s="87">
        <f t="shared" si="62"/>
        <v>0</v>
      </c>
      <c r="J263" s="177"/>
    </row>
    <row r="264" spans="1:12" ht="41.25" customHeight="1">
      <c r="A264" s="82" t="s">
        <v>30</v>
      </c>
      <c r="B264" s="149">
        <v>757</v>
      </c>
      <c r="C264" s="84" t="s">
        <v>44</v>
      </c>
      <c r="D264" s="84" t="s">
        <v>19</v>
      </c>
      <c r="E264" s="84" t="s">
        <v>936</v>
      </c>
      <c r="F264" s="84" t="s">
        <v>31</v>
      </c>
      <c r="G264" s="87">
        <f>G265</f>
        <v>65359.48</v>
      </c>
      <c r="H264" s="87">
        <f t="shared" si="61"/>
        <v>0</v>
      </c>
      <c r="I264" s="87">
        <f t="shared" si="62"/>
        <v>0</v>
      </c>
      <c r="J264" s="177"/>
      <c r="K264" s="177"/>
      <c r="L264" s="177"/>
    </row>
    <row r="265" spans="1:12" ht="22.5" customHeight="1">
      <c r="A265" s="82" t="s">
        <v>32</v>
      </c>
      <c r="B265" s="149">
        <v>757</v>
      </c>
      <c r="C265" s="84" t="s">
        <v>44</v>
      </c>
      <c r="D265" s="84" t="s">
        <v>19</v>
      </c>
      <c r="E265" s="84" t="s">
        <v>936</v>
      </c>
      <c r="F265" s="84" t="s">
        <v>33</v>
      </c>
      <c r="G265" s="87">
        <v>65359.48</v>
      </c>
      <c r="H265" s="87">
        <v>0</v>
      </c>
      <c r="I265" s="87">
        <v>0</v>
      </c>
      <c r="J265" s="177"/>
    </row>
    <row r="266" spans="1:12" ht="48" hidden="1" customHeight="1">
      <c r="A266" s="82" t="s">
        <v>774</v>
      </c>
      <c r="B266" s="149">
        <v>757</v>
      </c>
      <c r="C266" s="84" t="s">
        <v>44</v>
      </c>
      <c r="D266" s="84" t="s">
        <v>19</v>
      </c>
      <c r="E266" s="84" t="s">
        <v>773</v>
      </c>
      <c r="F266" s="84"/>
      <c r="G266" s="87">
        <f>G267</f>
        <v>0</v>
      </c>
      <c r="H266" s="87">
        <f t="shared" si="61"/>
        <v>0</v>
      </c>
      <c r="I266" s="87">
        <f t="shared" si="62"/>
        <v>0</v>
      </c>
      <c r="J266" s="177"/>
    </row>
    <row r="267" spans="1:12" ht="24" hidden="1" customHeight="1">
      <c r="A267" s="82" t="s">
        <v>63</v>
      </c>
      <c r="B267" s="149">
        <v>757</v>
      </c>
      <c r="C267" s="84" t="s">
        <v>44</v>
      </c>
      <c r="D267" s="84" t="s">
        <v>19</v>
      </c>
      <c r="E267" s="84" t="s">
        <v>773</v>
      </c>
      <c r="F267" s="84" t="s">
        <v>64</v>
      </c>
      <c r="G267" s="87">
        <f>G268</f>
        <v>0</v>
      </c>
      <c r="H267" s="87">
        <f t="shared" si="61"/>
        <v>0</v>
      </c>
      <c r="I267" s="87">
        <f t="shared" si="62"/>
        <v>0</v>
      </c>
      <c r="J267" s="177"/>
      <c r="K267" s="177"/>
      <c r="L267" s="177"/>
    </row>
    <row r="268" spans="1:12" ht="29.25" hidden="1" customHeight="1">
      <c r="A268" s="82" t="s">
        <v>180</v>
      </c>
      <c r="B268" s="149">
        <v>757</v>
      </c>
      <c r="C268" s="84" t="s">
        <v>44</v>
      </c>
      <c r="D268" s="84" t="s">
        <v>19</v>
      </c>
      <c r="E268" s="84" t="s">
        <v>773</v>
      </c>
      <c r="F268" s="84" t="s">
        <v>181</v>
      </c>
      <c r="G268" s="87"/>
      <c r="H268" s="87"/>
      <c r="I268" s="87"/>
      <c r="J268" s="177"/>
    </row>
    <row r="269" spans="1:12" ht="30" hidden="1" customHeight="1">
      <c r="A269" s="82" t="s">
        <v>774</v>
      </c>
      <c r="B269" s="149">
        <v>757</v>
      </c>
      <c r="C269" s="84" t="s">
        <v>44</v>
      </c>
      <c r="D269" s="84" t="s">
        <v>19</v>
      </c>
      <c r="E269" s="84" t="s">
        <v>574</v>
      </c>
      <c r="F269" s="84"/>
      <c r="G269" s="87">
        <f>G270</f>
        <v>0</v>
      </c>
      <c r="H269" s="87">
        <f t="shared" si="61"/>
        <v>0</v>
      </c>
      <c r="I269" s="87">
        <f t="shared" si="62"/>
        <v>0</v>
      </c>
      <c r="J269" s="177"/>
    </row>
    <row r="270" spans="1:12" ht="41.25" hidden="1" customHeight="1">
      <c r="A270" s="82" t="s">
        <v>30</v>
      </c>
      <c r="B270" s="149">
        <v>757</v>
      </c>
      <c r="C270" s="84" t="s">
        <v>44</v>
      </c>
      <c r="D270" s="84" t="s">
        <v>19</v>
      </c>
      <c r="E270" s="84" t="s">
        <v>574</v>
      </c>
      <c r="F270" s="84" t="s">
        <v>31</v>
      </c>
      <c r="G270" s="87">
        <f>G271</f>
        <v>0</v>
      </c>
      <c r="H270" s="87">
        <f t="shared" si="61"/>
        <v>0</v>
      </c>
      <c r="I270" s="87">
        <f t="shared" si="62"/>
        <v>0</v>
      </c>
      <c r="J270" s="177"/>
      <c r="K270" s="177"/>
      <c r="L270" s="177"/>
    </row>
    <row r="271" spans="1:12" ht="16.5" hidden="1" customHeight="1">
      <c r="A271" s="82" t="s">
        <v>32</v>
      </c>
      <c r="B271" s="149">
        <v>757</v>
      </c>
      <c r="C271" s="84" t="s">
        <v>44</v>
      </c>
      <c r="D271" s="84" t="s">
        <v>19</v>
      </c>
      <c r="E271" s="84" t="s">
        <v>574</v>
      </c>
      <c r="F271" s="84" t="s">
        <v>33</v>
      </c>
      <c r="G271" s="87"/>
      <c r="H271" s="87"/>
      <c r="I271" s="87"/>
      <c r="J271" s="177"/>
    </row>
    <row r="272" spans="1:12" ht="25.5">
      <c r="A272" s="82" t="s">
        <v>856</v>
      </c>
      <c r="B272" s="149">
        <v>757</v>
      </c>
      <c r="C272" s="84" t="s">
        <v>44</v>
      </c>
      <c r="D272" s="84" t="s">
        <v>19</v>
      </c>
      <c r="E272" s="84" t="s">
        <v>868</v>
      </c>
      <c r="F272" s="84"/>
      <c r="G272" s="87">
        <f>G273</f>
        <v>556472.11</v>
      </c>
      <c r="H272" s="87">
        <f t="shared" ref="H272:I272" si="64">H273</f>
        <v>770400</v>
      </c>
      <c r="I272" s="87">
        <f t="shared" si="64"/>
        <v>770400</v>
      </c>
      <c r="J272" s="177"/>
    </row>
    <row r="273" spans="1:10" ht="25.5">
      <c r="A273" s="82" t="s">
        <v>30</v>
      </c>
      <c r="B273" s="149">
        <v>757</v>
      </c>
      <c r="C273" s="84" t="s">
        <v>44</v>
      </c>
      <c r="D273" s="84" t="s">
        <v>19</v>
      </c>
      <c r="E273" s="84" t="s">
        <v>868</v>
      </c>
      <c r="F273" s="84" t="s">
        <v>31</v>
      </c>
      <c r="G273" s="87">
        <f>G274</f>
        <v>556472.11</v>
      </c>
      <c r="H273" s="87">
        <f>H274</f>
        <v>770400</v>
      </c>
      <c r="I273" s="87">
        <f>I274</f>
        <v>770400</v>
      </c>
      <c r="J273" s="177"/>
    </row>
    <row r="274" spans="1:10" ht="19.5" customHeight="1">
      <c r="A274" s="82" t="s">
        <v>32</v>
      </c>
      <c r="B274" s="149">
        <v>757</v>
      </c>
      <c r="C274" s="84" t="s">
        <v>44</v>
      </c>
      <c r="D274" s="84" t="s">
        <v>19</v>
      </c>
      <c r="E274" s="84" t="s">
        <v>868</v>
      </c>
      <c r="F274" s="84" t="s">
        <v>33</v>
      </c>
      <c r="G274" s="87">
        <f>524817.11+31655</f>
        <v>556472.11</v>
      </c>
      <c r="H274" s="87">
        <f>700400+30000+40000</f>
        <v>770400</v>
      </c>
      <c r="I274" s="87">
        <f>700400+30000+40000</f>
        <v>770400</v>
      </c>
      <c r="J274" s="177"/>
    </row>
    <row r="275" spans="1:10">
      <c r="A275" s="82" t="s">
        <v>858</v>
      </c>
      <c r="B275" s="149">
        <v>757</v>
      </c>
      <c r="C275" s="84" t="s">
        <v>44</v>
      </c>
      <c r="D275" s="84" t="s">
        <v>19</v>
      </c>
      <c r="E275" s="84" t="s">
        <v>857</v>
      </c>
      <c r="F275" s="84"/>
      <c r="G275" s="87">
        <f>G276</f>
        <v>153110.5</v>
      </c>
      <c r="H275" s="87">
        <f t="shared" ref="H275:I275" si="65">H276</f>
        <v>1053000</v>
      </c>
      <c r="I275" s="87">
        <f t="shared" si="65"/>
        <v>1179000</v>
      </c>
      <c r="J275" s="177"/>
    </row>
    <row r="276" spans="1:10" ht="25.5">
      <c r="A276" s="82" t="s">
        <v>30</v>
      </c>
      <c r="B276" s="149">
        <v>757</v>
      </c>
      <c r="C276" s="84" t="s">
        <v>44</v>
      </c>
      <c r="D276" s="84" t="s">
        <v>19</v>
      </c>
      <c r="E276" s="84" t="s">
        <v>857</v>
      </c>
      <c r="F276" s="84" t="s">
        <v>31</v>
      </c>
      <c r="G276" s="87">
        <f>G277</f>
        <v>153110.5</v>
      </c>
      <c r="H276" s="87">
        <f>H277</f>
        <v>1053000</v>
      </c>
      <c r="I276" s="87">
        <f>I277</f>
        <v>1179000</v>
      </c>
      <c r="J276" s="177"/>
    </row>
    <row r="277" spans="1:10" ht="19.5" customHeight="1">
      <c r="A277" s="82" t="s">
        <v>32</v>
      </c>
      <c r="B277" s="149">
        <v>757</v>
      </c>
      <c r="C277" s="84" t="s">
        <v>44</v>
      </c>
      <c r="D277" s="84" t="s">
        <v>19</v>
      </c>
      <c r="E277" s="84" t="s">
        <v>857</v>
      </c>
      <c r="F277" s="84" t="s">
        <v>33</v>
      </c>
      <c r="G277" s="87">
        <f>215285-9000-53174.5</f>
        <v>153110.5</v>
      </c>
      <c r="H277" s="87">
        <f>486000+36000+531000</f>
        <v>1053000</v>
      </c>
      <c r="I277" s="87">
        <f>486000+90000+603000</f>
        <v>1179000</v>
      </c>
      <c r="J277" s="177"/>
    </row>
    <row r="278" spans="1:10" ht="25.5">
      <c r="A278" s="82" t="s">
        <v>853</v>
      </c>
      <c r="B278" s="149">
        <v>757</v>
      </c>
      <c r="C278" s="84" t="s">
        <v>44</v>
      </c>
      <c r="D278" s="84" t="s">
        <v>19</v>
      </c>
      <c r="E278" s="84" t="s">
        <v>852</v>
      </c>
      <c r="F278" s="84"/>
      <c r="G278" s="87">
        <f>G279</f>
        <v>8219.4</v>
      </c>
      <c r="H278" s="87">
        <f t="shared" ref="H278:I278" si="66">H279</f>
        <v>15000</v>
      </c>
      <c r="I278" s="87">
        <f t="shared" si="66"/>
        <v>15000</v>
      </c>
      <c r="J278" s="177"/>
    </row>
    <row r="279" spans="1:10" ht="25.5">
      <c r="A279" s="82" t="s">
        <v>30</v>
      </c>
      <c r="B279" s="149">
        <v>757</v>
      </c>
      <c r="C279" s="84" t="s">
        <v>44</v>
      </c>
      <c r="D279" s="84" t="s">
        <v>19</v>
      </c>
      <c r="E279" s="84" t="s">
        <v>852</v>
      </c>
      <c r="F279" s="84" t="s">
        <v>31</v>
      </c>
      <c r="G279" s="87">
        <f>G280</f>
        <v>8219.4</v>
      </c>
      <c r="H279" s="87">
        <f>H280</f>
        <v>15000</v>
      </c>
      <c r="I279" s="87">
        <f>I280</f>
        <v>15000</v>
      </c>
      <c r="J279" s="177"/>
    </row>
    <row r="280" spans="1:10" ht="19.5" customHeight="1">
      <c r="A280" s="82" t="s">
        <v>32</v>
      </c>
      <c r="B280" s="149">
        <v>757</v>
      </c>
      <c r="C280" s="84" t="s">
        <v>44</v>
      </c>
      <c r="D280" s="84" t="s">
        <v>19</v>
      </c>
      <c r="E280" s="84" t="s">
        <v>852</v>
      </c>
      <c r="F280" s="84" t="s">
        <v>33</v>
      </c>
      <c r="G280" s="87">
        <f>15000-6780.6</f>
        <v>8219.4</v>
      </c>
      <c r="H280" s="87">
        <v>15000</v>
      </c>
      <c r="I280" s="87">
        <v>15000</v>
      </c>
      <c r="J280" s="177"/>
    </row>
    <row r="281" spans="1:10">
      <c r="A281" s="82" t="s">
        <v>869</v>
      </c>
      <c r="B281" s="149">
        <v>757</v>
      </c>
      <c r="C281" s="84" t="s">
        <v>44</v>
      </c>
      <c r="D281" s="84" t="s">
        <v>19</v>
      </c>
      <c r="E281" s="84" t="s">
        <v>854</v>
      </c>
      <c r="F281" s="84"/>
      <c r="G281" s="87">
        <f>G282</f>
        <v>0</v>
      </c>
      <c r="H281" s="87">
        <f t="shared" ref="H281:I281" si="67">H282</f>
        <v>250000</v>
      </c>
      <c r="I281" s="87">
        <f t="shared" si="67"/>
        <v>250000</v>
      </c>
      <c r="J281" s="177"/>
    </row>
    <row r="282" spans="1:10" ht="25.5">
      <c r="A282" s="82" t="s">
        <v>30</v>
      </c>
      <c r="B282" s="149">
        <v>757</v>
      </c>
      <c r="C282" s="84" t="s">
        <v>44</v>
      </c>
      <c r="D282" s="84" t="s">
        <v>19</v>
      </c>
      <c r="E282" s="84" t="s">
        <v>854</v>
      </c>
      <c r="F282" s="84" t="s">
        <v>31</v>
      </c>
      <c r="G282" s="87">
        <f>G283</f>
        <v>0</v>
      </c>
      <c r="H282" s="87">
        <f>H283</f>
        <v>250000</v>
      </c>
      <c r="I282" s="87">
        <f>I283</f>
        <v>250000</v>
      </c>
      <c r="J282" s="177"/>
    </row>
    <row r="283" spans="1:10" ht="19.5" customHeight="1">
      <c r="A283" s="82" t="s">
        <v>32</v>
      </c>
      <c r="B283" s="149">
        <v>757</v>
      </c>
      <c r="C283" s="84" t="s">
        <v>44</v>
      </c>
      <c r="D283" s="84" t="s">
        <v>19</v>
      </c>
      <c r="E283" s="84" t="s">
        <v>854</v>
      </c>
      <c r="F283" s="84" t="s">
        <v>33</v>
      </c>
      <c r="G283" s="87">
        <f>100000-23655-76345</f>
        <v>0</v>
      </c>
      <c r="H283" s="87">
        <v>250000</v>
      </c>
      <c r="I283" s="87">
        <v>250000</v>
      </c>
      <c r="J283" s="177"/>
    </row>
    <row r="284" spans="1:10" ht="38.25">
      <c r="A284" s="82" t="s">
        <v>860</v>
      </c>
      <c r="B284" s="149">
        <v>757</v>
      </c>
      <c r="C284" s="84" t="s">
        <v>44</v>
      </c>
      <c r="D284" s="84" t="s">
        <v>19</v>
      </c>
      <c r="E284" s="84" t="s">
        <v>859</v>
      </c>
      <c r="F284" s="84"/>
      <c r="G284" s="87">
        <f>G285</f>
        <v>183800</v>
      </c>
      <c r="H284" s="87">
        <f t="shared" ref="H284:I284" si="68">H285</f>
        <v>0</v>
      </c>
      <c r="I284" s="87">
        <f t="shared" si="68"/>
        <v>0</v>
      </c>
      <c r="J284" s="177"/>
    </row>
    <row r="285" spans="1:10" ht="25.5">
      <c r="A285" s="82" t="s">
        <v>30</v>
      </c>
      <c r="B285" s="149">
        <v>757</v>
      </c>
      <c r="C285" s="84" t="s">
        <v>44</v>
      </c>
      <c r="D285" s="84" t="s">
        <v>19</v>
      </c>
      <c r="E285" s="84" t="s">
        <v>859</v>
      </c>
      <c r="F285" s="84" t="s">
        <v>31</v>
      </c>
      <c r="G285" s="87">
        <f>G286</f>
        <v>183800</v>
      </c>
      <c r="H285" s="87">
        <f>H286</f>
        <v>0</v>
      </c>
      <c r="I285" s="87">
        <f>I286</f>
        <v>0</v>
      </c>
      <c r="J285" s="177"/>
    </row>
    <row r="286" spans="1:10" ht="19.5" customHeight="1">
      <c r="A286" s="82" t="s">
        <v>32</v>
      </c>
      <c r="B286" s="149">
        <v>757</v>
      </c>
      <c r="C286" s="84" t="s">
        <v>44</v>
      </c>
      <c r="D286" s="84" t="s">
        <v>19</v>
      </c>
      <c r="E286" s="84" t="s">
        <v>859</v>
      </c>
      <c r="F286" s="84" t="s">
        <v>33</v>
      </c>
      <c r="G286" s="87">
        <v>183800</v>
      </c>
      <c r="H286" s="87">
        <v>0</v>
      </c>
      <c r="I286" s="87">
        <v>0</v>
      </c>
      <c r="J286" s="177"/>
    </row>
    <row r="287" spans="1:10" ht="25.5">
      <c r="A287" s="82" t="s">
        <v>862</v>
      </c>
      <c r="B287" s="149">
        <v>757</v>
      </c>
      <c r="C287" s="84" t="s">
        <v>44</v>
      </c>
      <c r="D287" s="84" t="s">
        <v>19</v>
      </c>
      <c r="E287" s="84" t="s">
        <v>861</v>
      </c>
      <c r="F287" s="84"/>
      <c r="G287" s="87">
        <f>G288</f>
        <v>211040</v>
      </c>
      <c r="H287" s="87">
        <f t="shared" ref="H287:I287" si="69">H288</f>
        <v>0</v>
      </c>
      <c r="I287" s="87">
        <f t="shared" si="69"/>
        <v>0</v>
      </c>
      <c r="J287" s="177"/>
    </row>
    <row r="288" spans="1:10" ht="25.5">
      <c r="A288" s="82" t="s">
        <v>30</v>
      </c>
      <c r="B288" s="149">
        <v>757</v>
      </c>
      <c r="C288" s="84" t="s">
        <v>44</v>
      </c>
      <c r="D288" s="84" t="s">
        <v>19</v>
      </c>
      <c r="E288" s="84" t="s">
        <v>861</v>
      </c>
      <c r="F288" s="84" t="s">
        <v>31</v>
      </c>
      <c r="G288" s="87">
        <f>G289</f>
        <v>211040</v>
      </c>
      <c r="H288" s="87">
        <f>H289</f>
        <v>0</v>
      </c>
      <c r="I288" s="87">
        <f>I289</f>
        <v>0</v>
      </c>
      <c r="J288" s="177"/>
    </row>
    <row r="289" spans="1:18" ht="19.5" customHeight="1">
      <c r="A289" s="82" t="s">
        <v>32</v>
      </c>
      <c r="B289" s="149">
        <v>757</v>
      </c>
      <c r="C289" s="84" t="s">
        <v>44</v>
      </c>
      <c r="D289" s="84" t="s">
        <v>19</v>
      </c>
      <c r="E289" s="84" t="s">
        <v>861</v>
      </c>
      <c r="F289" s="84" t="s">
        <v>33</v>
      </c>
      <c r="G289" s="87">
        <v>211040</v>
      </c>
      <c r="H289" s="87">
        <v>0</v>
      </c>
      <c r="I289" s="87">
        <v>0</v>
      </c>
      <c r="J289" s="177"/>
    </row>
    <row r="290" spans="1:18" ht="38.25">
      <c r="A290" s="82" t="s">
        <v>864</v>
      </c>
      <c r="B290" s="149">
        <v>757</v>
      </c>
      <c r="C290" s="84" t="s">
        <v>44</v>
      </c>
      <c r="D290" s="84" t="s">
        <v>19</v>
      </c>
      <c r="E290" s="84" t="s">
        <v>863</v>
      </c>
      <c r="F290" s="84"/>
      <c r="G290" s="87">
        <f>G291</f>
        <v>341866</v>
      </c>
      <c r="H290" s="87">
        <f t="shared" ref="H290:I290" si="70">H291</f>
        <v>0</v>
      </c>
      <c r="I290" s="87">
        <f t="shared" si="70"/>
        <v>0</v>
      </c>
      <c r="J290" s="177"/>
    </row>
    <row r="291" spans="1:18" ht="25.5">
      <c r="A291" s="82" t="s">
        <v>30</v>
      </c>
      <c r="B291" s="149">
        <v>757</v>
      </c>
      <c r="C291" s="84" t="s">
        <v>44</v>
      </c>
      <c r="D291" s="84" t="s">
        <v>19</v>
      </c>
      <c r="E291" s="84" t="s">
        <v>863</v>
      </c>
      <c r="F291" s="84" t="s">
        <v>31</v>
      </c>
      <c r="G291" s="87">
        <f>G292</f>
        <v>341866</v>
      </c>
      <c r="H291" s="87">
        <f>H292</f>
        <v>0</v>
      </c>
      <c r="I291" s="87">
        <f>I292</f>
        <v>0</v>
      </c>
      <c r="J291" s="177"/>
    </row>
    <row r="292" spans="1:18" ht="19.5" customHeight="1">
      <c r="A292" s="82" t="s">
        <v>32</v>
      </c>
      <c r="B292" s="149">
        <v>757</v>
      </c>
      <c r="C292" s="84" t="s">
        <v>44</v>
      </c>
      <c r="D292" s="84" t="s">
        <v>19</v>
      </c>
      <c r="E292" s="84" t="s">
        <v>863</v>
      </c>
      <c r="F292" s="84" t="s">
        <v>33</v>
      </c>
      <c r="G292" s="87">
        <v>341866</v>
      </c>
      <c r="H292" s="87">
        <v>0</v>
      </c>
      <c r="I292" s="87">
        <v>0</v>
      </c>
      <c r="J292" s="177"/>
    </row>
    <row r="293" spans="1:18" ht="38.25">
      <c r="A293" s="82" t="s">
        <v>1038</v>
      </c>
      <c r="B293" s="149">
        <v>757</v>
      </c>
      <c r="C293" s="84" t="s">
        <v>44</v>
      </c>
      <c r="D293" s="84" t="s">
        <v>19</v>
      </c>
      <c r="E293" s="84" t="s">
        <v>865</v>
      </c>
      <c r="F293" s="84"/>
      <c r="G293" s="87">
        <f>G294</f>
        <v>32000</v>
      </c>
      <c r="H293" s="87">
        <f t="shared" ref="H293:I293" si="71">H294</f>
        <v>0</v>
      </c>
      <c r="I293" s="87">
        <f t="shared" si="71"/>
        <v>0</v>
      </c>
      <c r="J293" s="177"/>
    </row>
    <row r="294" spans="1:18" ht="25.5">
      <c r="A294" s="82" t="s">
        <v>30</v>
      </c>
      <c r="B294" s="149">
        <v>757</v>
      </c>
      <c r="C294" s="84" t="s">
        <v>44</v>
      </c>
      <c r="D294" s="84" t="s">
        <v>19</v>
      </c>
      <c r="E294" s="84" t="s">
        <v>865</v>
      </c>
      <c r="F294" s="84" t="s">
        <v>31</v>
      </c>
      <c r="G294" s="87">
        <f>G295</f>
        <v>32000</v>
      </c>
      <c r="H294" s="87">
        <f>H295</f>
        <v>0</v>
      </c>
      <c r="I294" s="87">
        <f>I295</f>
        <v>0</v>
      </c>
      <c r="J294" s="177"/>
    </row>
    <row r="295" spans="1:18" ht="19.5" customHeight="1">
      <c r="A295" s="82" t="s">
        <v>32</v>
      </c>
      <c r="B295" s="149">
        <v>757</v>
      </c>
      <c r="C295" s="84" t="s">
        <v>44</v>
      </c>
      <c r="D295" s="84" t="s">
        <v>19</v>
      </c>
      <c r="E295" s="84" t="s">
        <v>865</v>
      </c>
      <c r="F295" s="84" t="s">
        <v>33</v>
      </c>
      <c r="G295" s="87">
        <f>20000+30000-10000-8000</f>
        <v>32000</v>
      </c>
      <c r="H295" s="87">
        <v>0</v>
      </c>
      <c r="I295" s="87">
        <v>0</v>
      </c>
      <c r="J295" s="177"/>
    </row>
    <row r="296" spans="1:18" ht="25.5">
      <c r="A296" s="82" t="s">
        <v>867</v>
      </c>
      <c r="B296" s="149">
        <v>757</v>
      </c>
      <c r="C296" s="84" t="s">
        <v>44</v>
      </c>
      <c r="D296" s="84" t="s">
        <v>19</v>
      </c>
      <c r="E296" s="84" t="s">
        <v>866</v>
      </c>
      <c r="F296" s="84"/>
      <c r="G296" s="87">
        <f>G297</f>
        <v>0</v>
      </c>
      <c r="H296" s="87">
        <f t="shared" ref="H296:I296" si="72">H297</f>
        <v>8063.23</v>
      </c>
      <c r="I296" s="87">
        <f t="shared" si="72"/>
        <v>12546</v>
      </c>
      <c r="J296" s="177"/>
    </row>
    <row r="297" spans="1:18" ht="25.5">
      <c r="A297" s="82" t="s">
        <v>30</v>
      </c>
      <c r="B297" s="149">
        <v>757</v>
      </c>
      <c r="C297" s="84" t="s">
        <v>44</v>
      </c>
      <c r="D297" s="84" t="s">
        <v>19</v>
      </c>
      <c r="E297" s="84" t="s">
        <v>866</v>
      </c>
      <c r="F297" s="84" t="s">
        <v>31</v>
      </c>
      <c r="G297" s="87">
        <f>G298</f>
        <v>0</v>
      </c>
      <c r="H297" s="87">
        <f>H298</f>
        <v>8063.23</v>
      </c>
      <c r="I297" s="87">
        <f>I298</f>
        <v>12546</v>
      </c>
      <c r="J297" s="177"/>
    </row>
    <row r="298" spans="1:18" ht="19.5" customHeight="1">
      <c r="A298" s="82" t="s">
        <v>32</v>
      </c>
      <c r="B298" s="149">
        <v>757</v>
      </c>
      <c r="C298" s="84" t="s">
        <v>44</v>
      </c>
      <c r="D298" s="84" t="s">
        <v>19</v>
      </c>
      <c r="E298" s="84" t="s">
        <v>866</v>
      </c>
      <c r="F298" s="84" t="s">
        <v>33</v>
      </c>
      <c r="G298" s="87">
        <f>0+0</f>
        <v>0</v>
      </c>
      <c r="H298" s="87">
        <v>8063.23</v>
      </c>
      <c r="I298" s="87">
        <f>8160+4386</f>
        <v>12546</v>
      </c>
      <c r="J298" s="177"/>
    </row>
    <row r="299" spans="1:18" ht="25.5">
      <c r="A299" s="82" t="s">
        <v>871</v>
      </c>
      <c r="B299" s="149">
        <v>757</v>
      </c>
      <c r="C299" s="84" t="s">
        <v>44</v>
      </c>
      <c r="D299" s="84" t="s">
        <v>19</v>
      </c>
      <c r="E299" s="84" t="s">
        <v>870</v>
      </c>
      <c r="F299" s="84"/>
      <c r="G299" s="87">
        <f>G300</f>
        <v>33000</v>
      </c>
      <c r="H299" s="87">
        <f t="shared" ref="H299:I299" si="73">H300</f>
        <v>0</v>
      </c>
      <c r="I299" s="87">
        <f t="shared" si="73"/>
        <v>0</v>
      </c>
      <c r="J299" s="177"/>
    </row>
    <row r="300" spans="1:18" ht="25.5">
      <c r="A300" s="82" t="s">
        <v>30</v>
      </c>
      <c r="B300" s="149">
        <v>757</v>
      </c>
      <c r="C300" s="84" t="s">
        <v>44</v>
      </c>
      <c r="D300" s="84" t="s">
        <v>19</v>
      </c>
      <c r="E300" s="84" t="s">
        <v>870</v>
      </c>
      <c r="F300" s="84" t="s">
        <v>31</v>
      </c>
      <c r="G300" s="87">
        <f>G301</f>
        <v>33000</v>
      </c>
      <c r="H300" s="87">
        <f>H301</f>
        <v>0</v>
      </c>
      <c r="I300" s="87">
        <f>I301</f>
        <v>0</v>
      </c>
      <c r="J300" s="177"/>
    </row>
    <row r="301" spans="1:18" ht="19.5" customHeight="1">
      <c r="A301" s="82" t="s">
        <v>32</v>
      </c>
      <c r="B301" s="149">
        <v>757</v>
      </c>
      <c r="C301" s="84" t="s">
        <v>44</v>
      </c>
      <c r="D301" s="84" t="s">
        <v>19</v>
      </c>
      <c r="E301" s="84" t="s">
        <v>870</v>
      </c>
      <c r="F301" s="84" t="s">
        <v>33</v>
      </c>
      <c r="G301" s="87">
        <v>33000</v>
      </c>
      <c r="H301" s="87">
        <v>0</v>
      </c>
      <c r="I301" s="87">
        <v>0</v>
      </c>
      <c r="J301" s="177"/>
    </row>
    <row r="302" spans="1:18" s="90" customFormat="1" ht="42" customHeight="1">
      <c r="A302" s="82" t="s">
        <v>1044</v>
      </c>
      <c r="B302" s="149">
        <v>757</v>
      </c>
      <c r="C302" s="84" t="s">
        <v>44</v>
      </c>
      <c r="D302" s="84" t="s">
        <v>19</v>
      </c>
      <c r="E302" s="84" t="s">
        <v>872</v>
      </c>
      <c r="F302" s="84"/>
      <c r="G302" s="87">
        <f>G303</f>
        <v>0</v>
      </c>
      <c r="H302" s="87">
        <f t="shared" ref="H302:I302" si="74">H303</f>
        <v>0</v>
      </c>
      <c r="I302" s="87">
        <f t="shared" si="74"/>
        <v>0</v>
      </c>
      <c r="J302" s="177"/>
      <c r="K302" s="186"/>
      <c r="L302" s="186"/>
      <c r="M302" s="186"/>
      <c r="N302" s="186"/>
      <c r="O302" s="186"/>
      <c r="P302" s="186"/>
      <c r="Q302" s="186"/>
      <c r="R302" s="186"/>
    </row>
    <row r="303" spans="1:18" s="90" customFormat="1" ht="25.5">
      <c r="A303" s="82" t="s">
        <v>30</v>
      </c>
      <c r="B303" s="149">
        <v>757</v>
      </c>
      <c r="C303" s="84" t="s">
        <v>44</v>
      </c>
      <c r="D303" s="84" t="s">
        <v>19</v>
      </c>
      <c r="E303" s="84" t="s">
        <v>872</v>
      </c>
      <c r="F303" s="84" t="s">
        <v>31</v>
      </c>
      <c r="G303" s="87">
        <f>G304</f>
        <v>0</v>
      </c>
      <c r="H303" s="87">
        <f>H304</f>
        <v>0</v>
      </c>
      <c r="I303" s="87">
        <f>I304</f>
        <v>0</v>
      </c>
      <c r="J303" s="177"/>
      <c r="K303" s="186"/>
      <c r="L303" s="186"/>
      <c r="M303" s="186"/>
      <c r="N303" s="186"/>
      <c r="O303" s="186"/>
      <c r="P303" s="186"/>
      <c r="Q303" s="186"/>
      <c r="R303" s="186"/>
    </row>
    <row r="304" spans="1:18" s="90" customFormat="1" ht="19.5" customHeight="1">
      <c r="A304" s="82" t="s">
        <v>32</v>
      </c>
      <c r="B304" s="149">
        <v>757</v>
      </c>
      <c r="C304" s="84" t="s">
        <v>44</v>
      </c>
      <c r="D304" s="84" t="s">
        <v>19</v>
      </c>
      <c r="E304" s="84" t="s">
        <v>872</v>
      </c>
      <c r="F304" s="84" t="s">
        <v>33</v>
      </c>
      <c r="G304" s="87"/>
      <c r="H304" s="87">
        <v>0</v>
      </c>
      <c r="I304" s="87">
        <v>0</v>
      </c>
      <c r="J304" s="177"/>
      <c r="K304" s="186"/>
      <c r="L304" s="186"/>
      <c r="M304" s="186"/>
      <c r="N304" s="186"/>
      <c r="O304" s="186"/>
      <c r="P304" s="186"/>
      <c r="Q304" s="186"/>
      <c r="R304" s="186"/>
    </row>
    <row r="305" spans="1:18" s="90" customFormat="1" ht="71.25" customHeight="1">
      <c r="A305" s="82" t="s">
        <v>969</v>
      </c>
      <c r="B305" s="149">
        <v>757</v>
      </c>
      <c r="C305" s="84" t="s">
        <v>44</v>
      </c>
      <c r="D305" s="84" t="s">
        <v>19</v>
      </c>
      <c r="E305" s="84" t="s">
        <v>968</v>
      </c>
      <c r="F305" s="84"/>
      <c r="G305" s="87">
        <f>G306</f>
        <v>40000</v>
      </c>
      <c r="H305" s="87">
        <f t="shared" ref="H305:I305" si="75">H306</f>
        <v>0</v>
      </c>
      <c r="I305" s="87">
        <f t="shared" si="75"/>
        <v>0</v>
      </c>
      <c r="J305" s="177"/>
      <c r="K305" s="186"/>
      <c r="L305" s="186"/>
      <c r="M305" s="186"/>
      <c r="N305" s="186"/>
      <c r="O305" s="186"/>
      <c r="P305" s="186"/>
      <c r="Q305" s="186"/>
      <c r="R305" s="186"/>
    </row>
    <row r="306" spans="1:18" s="90" customFormat="1" ht="25.5">
      <c r="A306" s="82" t="s">
        <v>30</v>
      </c>
      <c r="B306" s="149">
        <v>757</v>
      </c>
      <c r="C306" s="84" t="s">
        <v>44</v>
      </c>
      <c r="D306" s="84" t="s">
        <v>19</v>
      </c>
      <c r="E306" s="84" t="s">
        <v>968</v>
      </c>
      <c r="F306" s="84" t="s">
        <v>31</v>
      </c>
      <c r="G306" s="87">
        <f>G307</f>
        <v>40000</v>
      </c>
      <c r="H306" s="87">
        <f>H307</f>
        <v>0</v>
      </c>
      <c r="I306" s="87">
        <f>I307</f>
        <v>0</v>
      </c>
      <c r="J306" s="177"/>
      <c r="K306" s="186"/>
      <c r="L306" s="186"/>
      <c r="M306" s="186"/>
      <c r="N306" s="186"/>
      <c r="O306" s="186"/>
      <c r="P306" s="186"/>
      <c r="Q306" s="186"/>
      <c r="R306" s="186"/>
    </row>
    <row r="307" spans="1:18" s="90" customFormat="1" ht="19.5" customHeight="1">
      <c r="A307" s="82" t="s">
        <v>32</v>
      </c>
      <c r="B307" s="149">
        <v>757</v>
      </c>
      <c r="C307" s="84" t="s">
        <v>44</v>
      </c>
      <c r="D307" s="84" t="s">
        <v>19</v>
      </c>
      <c r="E307" s="84" t="s">
        <v>968</v>
      </c>
      <c r="F307" s="84" t="s">
        <v>33</v>
      </c>
      <c r="G307" s="87">
        <v>40000</v>
      </c>
      <c r="H307" s="87">
        <v>0</v>
      </c>
      <c r="I307" s="87">
        <v>0</v>
      </c>
      <c r="J307" s="177"/>
      <c r="K307" s="186"/>
      <c r="L307" s="186"/>
      <c r="M307" s="186"/>
      <c r="N307" s="186"/>
      <c r="O307" s="186"/>
      <c r="P307" s="186"/>
      <c r="Q307" s="186"/>
      <c r="R307" s="186"/>
    </row>
    <row r="308" spans="1:18" s="90" customFormat="1" ht="32.25" customHeight="1">
      <c r="A308" s="82" t="s">
        <v>1094</v>
      </c>
      <c r="B308" s="149">
        <v>757</v>
      </c>
      <c r="C308" s="84" t="s">
        <v>44</v>
      </c>
      <c r="D308" s="84" t="s">
        <v>19</v>
      </c>
      <c r="E308" s="84" t="s">
        <v>1093</v>
      </c>
      <c r="F308" s="84"/>
      <c r="G308" s="87">
        <f>G309</f>
        <v>249623.69</v>
      </c>
      <c r="H308" s="87">
        <f t="shared" ref="H308:I308" si="76">H309</f>
        <v>0</v>
      </c>
      <c r="I308" s="87">
        <f t="shared" si="76"/>
        <v>0</v>
      </c>
      <c r="J308" s="177"/>
      <c r="K308" s="186"/>
      <c r="L308" s="186"/>
      <c r="M308" s="186"/>
      <c r="N308" s="186"/>
      <c r="O308" s="186"/>
      <c r="P308" s="186"/>
      <c r="Q308" s="186"/>
      <c r="R308" s="186"/>
    </row>
    <row r="309" spans="1:18" s="90" customFormat="1" ht="25.5">
      <c r="A309" s="82" t="s">
        <v>30</v>
      </c>
      <c r="B309" s="149">
        <v>757</v>
      </c>
      <c r="C309" s="84" t="s">
        <v>44</v>
      </c>
      <c r="D309" s="84" t="s">
        <v>19</v>
      </c>
      <c r="E309" s="84" t="s">
        <v>1093</v>
      </c>
      <c r="F309" s="84" t="s">
        <v>31</v>
      </c>
      <c r="G309" s="87">
        <f>G310</f>
        <v>249623.69</v>
      </c>
      <c r="H309" s="87">
        <f>H310</f>
        <v>0</v>
      </c>
      <c r="I309" s="87">
        <f>I310</f>
        <v>0</v>
      </c>
      <c r="J309" s="177"/>
      <c r="K309" s="186"/>
      <c r="L309" s="186"/>
      <c r="M309" s="186"/>
      <c r="N309" s="186"/>
      <c r="O309" s="186"/>
      <c r="P309" s="186"/>
      <c r="Q309" s="186"/>
      <c r="R309" s="186"/>
    </row>
    <row r="310" spans="1:18" s="90" customFormat="1" ht="19.5" customHeight="1">
      <c r="A310" s="82" t="s">
        <v>32</v>
      </c>
      <c r="B310" s="149">
        <v>757</v>
      </c>
      <c r="C310" s="84" t="s">
        <v>44</v>
      </c>
      <c r="D310" s="84" t="s">
        <v>19</v>
      </c>
      <c r="E310" s="84" t="s">
        <v>1093</v>
      </c>
      <c r="F310" s="84" t="s">
        <v>33</v>
      </c>
      <c r="G310" s="87">
        <v>249623.69</v>
      </c>
      <c r="H310" s="87">
        <v>0</v>
      </c>
      <c r="I310" s="87">
        <v>0</v>
      </c>
      <c r="J310" s="177"/>
      <c r="K310" s="186"/>
      <c r="L310" s="186"/>
      <c r="M310" s="186"/>
      <c r="N310" s="186"/>
      <c r="O310" s="186"/>
      <c r="P310" s="186"/>
      <c r="Q310" s="186"/>
      <c r="R310" s="186"/>
    </row>
    <row r="311" spans="1:18" s="90" customFormat="1" ht="42" hidden="1" customHeight="1">
      <c r="A311" s="310" t="s">
        <v>1101</v>
      </c>
      <c r="B311" s="149">
        <v>757</v>
      </c>
      <c r="C311" s="84" t="s">
        <v>44</v>
      </c>
      <c r="D311" s="84" t="s">
        <v>19</v>
      </c>
      <c r="E311" s="84" t="s">
        <v>1095</v>
      </c>
      <c r="F311" s="84"/>
      <c r="G311" s="87">
        <f>G312</f>
        <v>0</v>
      </c>
      <c r="H311" s="87">
        <f t="shared" ref="H311:I311" si="77">H312</f>
        <v>0</v>
      </c>
      <c r="I311" s="87">
        <f t="shared" si="77"/>
        <v>0</v>
      </c>
      <c r="J311" s="177"/>
      <c r="K311" s="186"/>
      <c r="L311" s="186"/>
      <c r="M311" s="186"/>
      <c r="N311" s="186"/>
      <c r="O311" s="186"/>
      <c r="P311" s="186"/>
      <c r="Q311" s="186"/>
      <c r="R311" s="186"/>
    </row>
    <row r="312" spans="1:18" s="90" customFormat="1" ht="25.5" hidden="1">
      <c r="A312" s="82" t="s">
        <v>30</v>
      </c>
      <c r="B312" s="149">
        <v>757</v>
      </c>
      <c r="C312" s="84" t="s">
        <v>44</v>
      </c>
      <c r="D312" s="84" t="s">
        <v>19</v>
      </c>
      <c r="E312" s="84" t="s">
        <v>1095</v>
      </c>
      <c r="F312" s="84" t="s">
        <v>31</v>
      </c>
      <c r="G312" s="87">
        <f>G313</f>
        <v>0</v>
      </c>
      <c r="H312" s="87">
        <f>H313</f>
        <v>0</v>
      </c>
      <c r="I312" s="87">
        <f>I313</f>
        <v>0</v>
      </c>
      <c r="J312" s="177"/>
      <c r="K312" s="186"/>
      <c r="L312" s="186"/>
      <c r="M312" s="186"/>
      <c r="N312" s="186"/>
      <c r="O312" s="186"/>
      <c r="P312" s="186"/>
      <c r="Q312" s="186"/>
      <c r="R312" s="186"/>
    </row>
    <row r="313" spans="1:18" s="90" customFormat="1" ht="19.5" hidden="1" customHeight="1">
      <c r="A313" s="82" t="s">
        <v>32</v>
      </c>
      <c r="B313" s="149">
        <v>757</v>
      </c>
      <c r="C313" s="84" t="s">
        <v>44</v>
      </c>
      <c r="D313" s="84" t="s">
        <v>19</v>
      </c>
      <c r="E313" s="84" t="s">
        <v>1095</v>
      </c>
      <c r="F313" s="84" t="s">
        <v>33</v>
      </c>
      <c r="G313" s="87"/>
      <c r="H313" s="87">
        <v>0</v>
      </c>
      <c r="I313" s="87">
        <v>0</v>
      </c>
      <c r="J313" s="177"/>
      <c r="K313" s="186"/>
      <c r="L313" s="186"/>
      <c r="M313" s="186"/>
      <c r="N313" s="186"/>
      <c r="O313" s="186"/>
      <c r="P313" s="186"/>
      <c r="Q313" s="186"/>
      <c r="R313" s="186"/>
    </row>
    <row r="314" spans="1:18" s="90" customFormat="1" ht="21.75" customHeight="1">
      <c r="A314" s="82" t="s">
        <v>1097</v>
      </c>
      <c r="B314" s="149">
        <v>757</v>
      </c>
      <c r="C314" s="84" t="s">
        <v>44</v>
      </c>
      <c r="D314" s="84" t="s">
        <v>19</v>
      </c>
      <c r="E314" s="84" t="s">
        <v>1096</v>
      </c>
      <c r="F314" s="84"/>
      <c r="G314" s="87">
        <f>G315</f>
        <v>0</v>
      </c>
      <c r="H314" s="87">
        <f t="shared" ref="H314:I314" si="78">H315</f>
        <v>462570</v>
      </c>
      <c r="I314" s="87">
        <f t="shared" si="78"/>
        <v>0</v>
      </c>
      <c r="J314" s="177"/>
      <c r="K314" s="186"/>
      <c r="L314" s="186"/>
      <c r="M314" s="186"/>
      <c r="N314" s="186"/>
      <c r="O314" s="186"/>
      <c r="P314" s="186"/>
      <c r="Q314" s="186"/>
      <c r="R314" s="186"/>
    </row>
    <row r="315" spans="1:18" s="90" customFormat="1" ht="25.5">
      <c r="A315" s="82" t="s">
        <v>30</v>
      </c>
      <c r="B315" s="149">
        <v>757</v>
      </c>
      <c r="C315" s="84" t="s">
        <v>44</v>
      </c>
      <c r="D315" s="84" t="s">
        <v>19</v>
      </c>
      <c r="E315" s="84" t="s">
        <v>1096</v>
      </c>
      <c r="F315" s="84" t="s">
        <v>31</v>
      </c>
      <c r="G315" s="87">
        <f>G316</f>
        <v>0</v>
      </c>
      <c r="H315" s="87">
        <f>H316</f>
        <v>462570</v>
      </c>
      <c r="I315" s="87">
        <f>I316</f>
        <v>0</v>
      </c>
      <c r="J315" s="177"/>
      <c r="K315" s="186"/>
      <c r="L315" s="186"/>
      <c r="M315" s="186"/>
      <c r="N315" s="186"/>
      <c r="O315" s="186"/>
      <c r="P315" s="186"/>
      <c r="Q315" s="186"/>
      <c r="R315" s="186"/>
    </row>
    <row r="316" spans="1:18" s="90" customFormat="1" ht="19.5" customHeight="1">
      <c r="A316" s="82" t="s">
        <v>32</v>
      </c>
      <c r="B316" s="149">
        <v>757</v>
      </c>
      <c r="C316" s="84" t="s">
        <v>44</v>
      </c>
      <c r="D316" s="84" t="s">
        <v>19</v>
      </c>
      <c r="E316" s="84" t="s">
        <v>1096</v>
      </c>
      <c r="F316" s="84" t="s">
        <v>33</v>
      </c>
      <c r="G316" s="87">
        <v>0</v>
      </c>
      <c r="H316" s="87">
        <v>462570</v>
      </c>
      <c r="I316" s="87"/>
      <c r="J316" s="177"/>
      <c r="K316" s="186"/>
      <c r="L316" s="186"/>
      <c r="M316" s="186"/>
      <c r="N316" s="186"/>
      <c r="O316" s="186"/>
      <c r="P316" s="186"/>
      <c r="Q316" s="186"/>
      <c r="R316" s="186"/>
    </row>
    <row r="317" spans="1:18" s="90" customFormat="1" ht="42" customHeight="1">
      <c r="A317" s="82" t="s">
        <v>1099</v>
      </c>
      <c r="B317" s="149">
        <v>757</v>
      </c>
      <c r="C317" s="84" t="s">
        <v>44</v>
      </c>
      <c r="D317" s="84" t="s">
        <v>19</v>
      </c>
      <c r="E317" s="84" t="s">
        <v>1100</v>
      </c>
      <c r="F317" s="84"/>
      <c r="G317" s="87">
        <f>G318</f>
        <v>60980</v>
      </c>
      <c r="H317" s="87">
        <f t="shared" ref="H317:I317" si="79">H318</f>
        <v>0</v>
      </c>
      <c r="I317" s="87">
        <f t="shared" si="79"/>
        <v>0</v>
      </c>
      <c r="J317" s="177"/>
      <c r="K317" s="186"/>
      <c r="L317" s="186"/>
      <c r="M317" s="186"/>
      <c r="N317" s="186"/>
      <c r="O317" s="186"/>
      <c r="P317" s="186"/>
      <c r="Q317" s="186"/>
      <c r="R317" s="186"/>
    </row>
    <row r="318" spans="1:18" s="90" customFormat="1" ht="25.5">
      <c r="A318" s="82" t="s">
        <v>30</v>
      </c>
      <c r="B318" s="149">
        <v>757</v>
      </c>
      <c r="C318" s="84" t="s">
        <v>44</v>
      </c>
      <c r="D318" s="84" t="s">
        <v>19</v>
      </c>
      <c r="E318" s="84" t="s">
        <v>1100</v>
      </c>
      <c r="F318" s="84" t="s">
        <v>31</v>
      </c>
      <c r="G318" s="87">
        <f>G319</f>
        <v>60980</v>
      </c>
      <c r="H318" s="87">
        <f>H319</f>
        <v>0</v>
      </c>
      <c r="I318" s="87">
        <f>I319</f>
        <v>0</v>
      </c>
      <c r="J318" s="177"/>
      <c r="K318" s="186"/>
      <c r="L318" s="186"/>
      <c r="M318" s="186"/>
      <c r="N318" s="186"/>
      <c r="O318" s="186"/>
      <c r="P318" s="186"/>
      <c r="Q318" s="186"/>
      <c r="R318" s="186"/>
    </row>
    <row r="319" spans="1:18" s="90" customFormat="1" ht="19.5" customHeight="1">
      <c r="A319" s="82" t="s">
        <v>32</v>
      </c>
      <c r="B319" s="149">
        <v>757</v>
      </c>
      <c r="C319" s="84" t="s">
        <v>44</v>
      </c>
      <c r="D319" s="84" t="s">
        <v>19</v>
      </c>
      <c r="E319" s="84" t="s">
        <v>1100</v>
      </c>
      <c r="F319" s="84" t="s">
        <v>33</v>
      </c>
      <c r="G319" s="87">
        <f>64800-1000-2820</f>
        <v>60980</v>
      </c>
      <c r="H319" s="87"/>
      <c r="I319" s="87"/>
      <c r="J319" s="177"/>
      <c r="K319" s="186"/>
      <c r="L319" s="186"/>
      <c r="M319" s="186"/>
      <c r="N319" s="186"/>
      <c r="O319" s="186"/>
      <c r="P319" s="186"/>
      <c r="Q319" s="186"/>
      <c r="R319" s="186"/>
    </row>
    <row r="320" spans="1:18" s="90" customFormat="1" ht="35.25" customHeight="1">
      <c r="A320" s="82" t="s">
        <v>1137</v>
      </c>
      <c r="B320" s="149">
        <v>757</v>
      </c>
      <c r="C320" s="84" t="s">
        <v>44</v>
      </c>
      <c r="D320" s="84" t="s">
        <v>19</v>
      </c>
      <c r="E320" s="84" t="s">
        <v>1136</v>
      </c>
      <c r="F320" s="84"/>
      <c r="G320" s="87">
        <f>G321</f>
        <v>76345</v>
      </c>
      <c r="H320" s="87">
        <f t="shared" ref="H320:I320" si="80">H321</f>
        <v>0</v>
      </c>
      <c r="I320" s="87">
        <f t="shared" si="80"/>
        <v>0</v>
      </c>
      <c r="J320" s="177"/>
      <c r="K320" s="186"/>
      <c r="L320" s="186"/>
      <c r="M320" s="186"/>
      <c r="N320" s="186"/>
      <c r="O320" s="186"/>
      <c r="P320" s="186"/>
      <c r="Q320" s="186"/>
      <c r="R320" s="186"/>
    </row>
    <row r="321" spans="1:20" s="90" customFormat="1" ht="25.5">
      <c r="A321" s="82" t="s">
        <v>30</v>
      </c>
      <c r="B321" s="149">
        <v>757</v>
      </c>
      <c r="C321" s="84" t="s">
        <v>44</v>
      </c>
      <c r="D321" s="84" t="s">
        <v>19</v>
      </c>
      <c r="E321" s="84" t="s">
        <v>1136</v>
      </c>
      <c r="F321" s="84" t="s">
        <v>31</v>
      </c>
      <c r="G321" s="87">
        <f>G322</f>
        <v>76345</v>
      </c>
      <c r="H321" s="87">
        <f>H322</f>
        <v>0</v>
      </c>
      <c r="I321" s="87">
        <f>I322</f>
        <v>0</v>
      </c>
      <c r="J321" s="177"/>
      <c r="K321" s="186"/>
      <c r="L321" s="186"/>
      <c r="M321" s="186"/>
      <c r="N321" s="186"/>
      <c r="O321" s="186"/>
      <c r="P321" s="186"/>
      <c r="Q321" s="186"/>
      <c r="R321" s="186"/>
    </row>
    <row r="322" spans="1:20" s="90" customFormat="1" ht="19.5" customHeight="1">
      <c r="A322" s="82" t="s">
        <v>32</v>
      </c>
      <c r="B322" s="149">
        <v>757</v>
      </c>
      <c r="C322" s="84" t="s">
        <v>44</v>
      </c>
      <c r="D322" s="84" t="s">
        <v>19</v>
      </c>
      <c r="E322" s="84" t="s">
        <v>1136</v>
      </c>
      <c r="F322" s="84" t="s">
        <v>33</v>
      </c>
      <c r="G322" s="87">
        <v>76345</v>
      </c>
      <c r="H322" s="87"/>
      <c r="I322" s="87"/>
      <c r="J322" s="177"/>
      <c r="K322" s="186"/>
      <c r="L322" s="186"/>
      <c r="M322" s="186"/>
      <c r="N322" s="186"/>
      <c r="O322" s="186"/>
      <c r="P322" s="186"/>
      <c r="Q322" s="186"/>
      <c r="R322" s="186"/>
    </row>
    <row r="323" spans="1:20" s="90" customFormat="1" ht="46.5" customHeight="1">
      <c r="A323" s="82" t="s">
        <v>1123</v>
      </c>
      <c r="B323" s="149">
        <v>757</v>
      </c>
      <c r="C323" s="84" t="s">
        <v>44</v>
      </c>
      <c r="D323" s="84" t="s">
        <v>19</v>
      </c>
      <c r="E323" s="84" t="s">
        <v>1124</v>
      </c>
      <c r="F323" s="84"/>
      <c r="G323" s="87">
        <f>G324</f>
        <v>10000</v>
      </c>
      <c r="H323" s="87">
        <f t="shared" ref="H323:I323" si="81">H324</f>
        <v>0</v>
      </c>
      <c r="I323" s="87">
        <f t="shared" si="81"/>
        <v>0</v>
      </c>
      <c r="J323" s="177"/>
      <c r="K323" s="186"/>
      <c r="L323" s="186"/>
      <c r="M323" s="186"/>
      <c r="N323" s="186"/>
      <c r="O323" s="186"/>
      <c r="P323" s="186"/>
      <c r="Q323" s="186"/>
      <c r="R323" s="186"/>
    </row>
    <row r="324" spans="1:20" s="90" customFormat="1" ht="25.5">
      <c r="A324" s="82" t="s">
        <v>30</v>
      </c>
      <c r="B324" s="149">
        <v>757</v>
      </c>
      <c r="C324" s="84" t="s">
        <v>44</v>
      </c>
      <c r="D324" s="84" t="s">
        <v>19</v>
      </c>
      <c r="E324" s="84" t="s">
        <v>1124</v>
      </c>
      <c r="F324" s="84" t="s">
        <v>31</v>
      </c>
      <c r="G324" s="87">
        <f>G325</f>
        <v>10000</v>
      </c>
      <c r="H324" s="87">
        <f>H325</f>
        <v>0</v>
      </c>
      <c r="I324" s="87">
        <f>I325</f>
        <v>0</v>
      </c>
      <c r="J324" s="177"/>
      <c r="K324" s="186"/>
      <c r="L324" s="186"/>
      <c r="M324" s="186"/>
      <c r="N324" s="186"/>
      <c r="O324" s="186"/>
      <c r="P324" s="186"/>
      <c r="Q324" s="186"/>
      <c r="R324" s="186"/>
    </row>
    <row r="325" spans="1:20" s="90" customFormat="1" ht="19.5" customHeight="1">
      <c r="A325" s="82" t="s">
        <v>32</v>
      </c>
      <c r="B325" s="149">
        <v>757</v>
      </c>
      <c r="C325" s="84" t="s">
        <v>44</v>
      </c>
      <c r="D325" s="84" t="s">
        <v>19</v>
      </c>
      <c r="E325" s="84" t="s">
        <v>1124</v>
      </c>
      <c r="F325" s="84" t="s">
        <v>33</v>
      </c>
      <c r="G325" s="87">
        <v>10000</v>
      </c>
      <c r="H325" s="87">
        <v>0</v>
      </c>
      <c r="I325" s="87">
        <v>0</v>
      </c>
      <c r="J325" s="177"/>
      <c r="K325" s="186"/>
      <c r="L325" s="186"/>
      <c r="M325" s="186"/>
      <c r="N325" s="186"/>
      <c r="O325" s="186"/>
      <c r="P325" s="186"/>
      <c r="Q325" s="186"/>
      <c r="R325" s="186"/>
    </row>
    <row r="326" spans="1:20" s="90" customFormat="1" ht="42" customHeight="1">
      <c r="A326" s="82" t="s">
        <v>1125</v>
      </c>
      <c r="B326" s="149">
        <v>757</v>
      </c>
      <c r="C326" s="84" t="s">
        <v>44</v>
      </c>
      <c r="D326" s="84" t="s">
        <v>19</v>
      </c>
      <c r="E326" s="84" t="s">
        <v>1126</v>
      </c>
      <c r="F326" s="84"/>
      <c r="G326" s="87">
        <f>G327</f>
        <v>10000</v>
      </c>
      <c r="H326" s="87">
        <f t="shared" ref="H326:I326" si="82">H327</f>
        <v>0</v>
      </c>
      <c r="I326" s="87">
        <f t="shared" si="82"/>
        <v>0</v>
      </c>
      <c r="J326" s="177"/>
      <c r="K326" s="186"/>
      <c r="L326" s="186"/>
      <c r="M326" s="186"/>
      <c r="N326" s="186"/>
      <c r="O326" s="186"/>
      <c r="P326" s="186"/>
      <c r="Q326" s="186"/>
      <c r="R326" s="186"/>
    </row>
    <row r="327" spans="1:20" s="90" customFormat="1" ht="25.5">
      <c r="A327" s="82" t="s">
        <v>30</v>
      </c>
      <c r="B327" s="149">
        <v>757</v>
      </c>
      <c r="C327" s="84" t="s">
        <v>44</v>
      </c>
      <c r="D327" s="84" t="s">
        <v>19</v>
      </c>
      <c r="E327" s="84" t="s">
        <v>1126</v>
      </c>
      <c r="F327" s="84" t="s">
        <v>31</v>
      </c>
      <c r="G327" s="87">
        <f>G328</f>
        <v>10000</v>
      </c>
      <c r="H327" s="87">
        <f>H328</f>
        <v>0</v>
      </c>
      <c r="I327" s="87">
        <f>I328</f>
        <v>0</v>
      </c>
      <c r="J327" s="177"/>
      <c r="K327" s="186"/>
      <c r="L327" s="186"/>
      <c r="M327" s="186"/>
      <c r="N327" s="186"/>
      <c r="O327" s="186"/>
      <c r="P327" s="186"/>
      <c r="Q327" s="186"/>
      <c r="R327" s="186"/>
    </row>
    <row r="328" spans="1:20" s="90" customFormat="1" ht="19.5" customHeight="1">
      <c r="A328" s="82" t="s">
        <v>32</v>
      </c>
      <c r="B328" s="149">
        <v>757</v>
      </c>
      <c r="C328" s="84" t="s">
        <v>44</v>
      </c>
      <c r="D328" s="84" t="s">
        <v>19</v>
      </c>
      <c r="E328" s="84" t="s">
        <v>1126</v>
      </c>
      <c r="F328" s="84" t="s">
        <v>33</v>
      </c>
      <c r="G328" s="87">
        <v>10000</v>
      </c>
      <c r="H328" s="87">
        <v>0</v>
      </c>
      <c r="I328" s="87">
        <v>0</v>
      </c>
      <c r="J328" s="177"/>
      <c r="K328" s="186"/>
      <c r="L328" s="186"/>
      <c r="M328" s="186"/>
      <c r="N328" s="186"/>
      <c r="O328" s="186"/>
      <c r="P328" s="186"/>
      <c r="Q328" s="186"/>
      <c r="R328" s="186"/>
    </row>
    <row r="329" spans="1:20" s="90" customFormat="1" ht="79.5" customHeight="1">
      <c r="A329" s="82" t="s">
        <v>575</v>
      </c>
      <c r="B329" s="149">
        <v>757</v>
      </c>
      <c r="C329" s="84" t="s">
        <v>44</v>
      </c>
      <c r="D329" s="84" t="s">
        <v>19</v>
      </c>
      <c r="E329" s="84" t="s">
        <v>1017</v>
      </c>
      <c r="F329" s="84"/>
      <c r="G329" s="87">
        <f>G330</f>
        <v>8764915.6500000004</v>
      </c>
      <c r="H329" s="87">
        <f t="shared" ref="H329:I329" si="83">H330</f>
        <v>0</v>
      </c>
      <c r="I329" s="87">
        <f t="shared" si="83"/>
        <v>0</v>
      </c>
      <c r="J329" s="177"/>
      <c r="K329" s="186"/>
      <c r="L329" s="186"/>
      <c r="M329" s="186"/>
      <c r="N329" s="186"/>
      <c r="O329" s="186"/>
      <c r="P329" s="186"/>
      <c r="Q329" s="186"/>
      <c r="R329" s="186"/>
    </row>
    <row r="330" spans="1:20" s="90" customFormat="1" ht="25.5">
      <c r="A330" s="82" t="s">
        <v>30</v>
      </c>
      <c r="B330" s="149">
        <v>757</v>
      </c>
      <c r="C330" s="84" t="s">
        <v>44</v>
      </c>
      <c r="D330" s="84" t="s">
        <v>19</v>
      </c>
      <c r="E330" s="84" t="s">
        <v>1017</v>
      </c>
      <c r="F330" s="84" t="s">
        <v>31</v>
      </c>
      <c r="G330" s="87">
        <f>G331</f>
        <v>8764915.6500000004</v>
      </c>
      <c r="H330" s="87">
        <f>H331</f>
        <v>0</v>
      </c>
      <c r="I330" s="87">
        <f>I331</f>
        <v>0</v>
      </c>
      <c r="J330" s="177"/>
      <c r="K330" s="186"/>
      <c r="L330" s="186"/>
      <c r="M330" s="186"/>
      <c r="N330" s="186"/>
      <c r="O330" s="186"/>
      <c r="P330" s="186"/>
      <c r="Q330" s="186"/>
      <c r="R330" s="186"/>
    </row>
    <row r="331" spans="1:20" s="90" customFormat="1" ht="19.5" customHeight="1">
      <c r="A331" s="82" t="s">
        <v>32</v>
      </c>
      <c r="B331" s="149">
        <v>757</v>
      </c>
      <c r="C331" s="84" t="s">
        <v>44</v>
      </c>
      <c r="D331" s="84" t="s">
        <v>19</v>
      </c>
      <c r="E331" s="84" t="s">
        <v>1017</v>
      </c>
      <c r="F331" s="84" t="s">
        <v>33</v>
      </c>
      <c r="G331" s="87">
        <f>8134569.94+630345.71</f>
        <v>8764915.6500000004</v>
      </c>
      <c r="H331" s="87">
        <v>0</v>
      </c>
      <c r="I331" s="87">
        <v>0</v>
      </c>
      <c r="J331" s="177"/>
      <c r="K331" s="186"/>
      <c r="L331" s="186"/>
      <c r="M331" s="186"/>
      <c r="N331" s="186"/>
      <c r="O331" s="186"/>
      <c r="P331" s="186"/>
      <c r="Q331" s="186"/>
      <c r="R331" s="186"/>
    </row>
    <row r="332" spans="1:20" s="90" customFormat="1" ht="39.75" customHeight="1">
      <c r="A332" s="143" t="s">
        <v>754</v>
      </c>
      <c r="B332" s="149">
        <v>757</v>
      </c>
      <c r="C332" s="84" t="s">
        <v>44</v>
      </c>
      <c r="D332" s="84" t="s">
        <v>19</v>
      </c>
      <c r="E332" s="84" t="s">
        <v>1045</v>
      </c>
      <c r="F332" s="149"/>
      <c r="G332" s="85">
        <f>G333</f>
        <v>155000</v>
      </c>
      <c r="H332" s="85">
        <f t="shared" ref="H332:I332" si="84">H333</f>
        <v>0</v>
      </c>
      <c r="I332" s="85">
        <f t="shared" si="84"/>
        <v>0</v>
      </c>
      <c r="P332" s="126"/>
      <c r="Q332" s="126"/>
      <c r="R332" s="126"/>
      <c r="S332" s="126"/>
      <c r="T332" s="126"/>
    </row>
    <row r="333" spans="1:20" ht="49.5" customHeight="1">
      <c r="A333" s="82" t="s">
        <v>30</v>
      </c>
      <c r="B333" s="149">
        <v>757</v>
      </c>
      <c r="C333" s="84" t="s">
        <v>44</v>
      </c>
      <c r="D333" s="84" t="s">
        <v>19</v>
      </c>
      <c r="E333" s="84" t="s">
        <v>1045</v>
      </c>
      <c r="F333" s="84" t="s">
        <v>31</v>
      </c>
      <c r="G333" s="85">
        <f>G334</f>
        <v>155000</v>
      </c>
      <c r="H333" s="85">
        <f>H334</f>
        <v>0</v>
      </c>
      <c r="I333" s="85">
        <f>I334</f>
        <v>0</v>
      </c>
      <c r="J333" s="90"/>
      <c r="K333" s="1"/>
      <c r="L333" s="1"/>
      <c r="M333" s="1"/>
      <c r="N333" s="1"/>
      <c r="O333" s="1"/>
      <c r="P333" s="2"/>
      <c r="Q333" s="2"/>
      <c r="R333" s="2"/>
      <c r="S333" s="2"/>
      <c r="T333" s="2"/>
    </row>
    <row r="334" spans="1:20">
      <c r="A334" s="82" t="s">
        <v>32</v>
      </c>
      <c r="B334" s="149">
        <v>757</v>
      </c>
      <c r="C334" s="84" t="s">
        <v>44</v>
      </c>
      <c r="D334" s="84" t="s">
        <v>19</v>
      </c>
      <c r="E334" s="84" t="s">
        <v>1045</v>
      </c>
      <c r="F334" s="84" t="s">
        <v>33</v>
      </c>
      <c r="G334" s="85">
        <v>155000</v>
      </c>
      <c r="H334" s="85">
        <v>0</v>
      </c>
      <c r="I334" s="85">
        <v>0</v>
      </c>
      <c r="J334" s="90"/>
      <c r="K334" s="1"/>
      <c r="L334" s="1"/>
      <c r="M334" s="1"/>
      <c r="N334" s="1"/>
      <c r="O334" s="1"/>
      <c r="P334" s="2"/>
      <c r="Q334" s="2"/>
      <c r="R334" s="2"/>
      <c r="S334" s="2"/>
      <c r="T334" s="2"/>
    </row>
    <row r="335" spans="1:20" s="165" customFormat="1" ht="30.75" customHeight="1">
      <c r="A335" s="139" t="s">
        <v>272</v>
      </c>
      <c r="B335" s="149">
        <v>757</v>
      </c>
      <c r="C335" s="84" t="s">
        <v>44</v>
      </c>
      <c r="D335" s="84" t="s">
        <v>19</v>
      </c>
      <c r="E335" s="84" t="s">
        <v>570</v>
      </c>
      <c r="F335" s="84"/>
      <c r="G335" s="87">
        <f>G336</f>
        <v>570946.80000000005</v>
      </c>
      <c r="H335" s="272">
        <v>0</v>
      </c>
      <c r="I335" s="272">
        <v>0</v>
      </c>
      <c r="J335" s="193"/>
      <c r="K335" s="206"/>
      <c r="L335" s="206"/>
      <c r="M335" s="206"/>
      <c r="N335" s="206"/>
      <c r="O335" s="206"/>
      <c r="P335" s="206"/>
      <c r="Q335" s="206"/>
      <c r="R335" s="206"/>
    </row>
    <row r="336" spans="1:20" ht="30.75" customHeight="1">
      <c r="A336" s="82" t="s">
        <v>272</v>
      </c>
      <c r="B336" s="149">
        <v>757</v>
      </c>
      <c r="C336" s="84" t="s">
        <v>44</v>
      </c>
      <c r="D336" s="84" t="s">
        <v>19</v>
      </c>
      <c r="E336" s="84" t="s">
        <v>571</v>
      </c>
      <c r="F336" s="84"/>
      <c r="G336" s="87">
        <f>G343</f>
        <v>570946.80000000005</v>
      </c>
      <c r="H336" s="87">
        <v>0</v>
      </c>
      <c r="I336" s="87">
        <v>0</v>
      </c>
      <c r="J336" s="177"/>
    </row>
    <row r="337" spans="1:18" ht="30.75" hidden="1" customHeight="1">
      <c r="A337" s="82" t="s">
        <v>36</v>
      </c>
      <c r="B337" s="83">
        <v>757</v>
      </c>
      <c r="C337" s="84" t="s">
        <v>173</v>
      </c>
      <c r="D337" s="84" t="s">
        <v>28</v>
      </c>
      <c r="E337" s="84" t="s">
        <v>571</v>
      </c>
      <c r="F337" s="84" t="s">
        <v>37</v>
      </c>
      <c r="G337" s="87">
        <f>G338</f>
        <v>0</v>
      </c>
      <c r="H337" s="87">
        <v>0</v>
      </c>
      <c r="I337" s="87">
        <v>0</v>
      </c>
      <c r="J337" s="177"/>
    </row>
    <row r="338" spans="1:18" ht="30.75" hidden="1" customHeight="1">
      <c r="A338" s="82" t="s">
        <v>38</v>
      </c>
      <c r="B338" s="83">
        <v>757</v>
      </c>
      <c r="C338" s="84" t="s">
        <v>173</v>
      </c>
      <c r="D338" s="84" t="s">
        <v>28</v>
      </c>
      <c r="E338" s="84" t="s">
        <v>571</v>
      </c>
      <c r="F338" s="84" t="s">
        <v>39</v>
      </c>
      <c r="G338" s="87">
        <f>'прил 5,'!G758</f>
        <v>0</v>
      </c>
      <c r="H338" s="87">
        <v>0</v>
      </c>
      <c r="I338" s="87">
        <v>0</v>
      </c>
      <c r="J338" s="177"/>
    </row>
    <row r="339" spans="1:18" ht="23.25" hidden="1" customHeight="1">
      <c r="A339" s="82" t="s">
        <v>148</v>
      </c>
      <c r="B339" s="149">
        <v>757</v>
      </c>
      <c r="C339" s="84" t="s">
        <v>70</v>
      </c>
      <c r="D339" s="84" t="s">
        <v>123</v>
      </c>
      <c r="E339" s="84" t="s">
        <v>571</v>
      </c>
      <c r="F339" s="84" t="s">
        <v>149</v>
      </c>
      <c r="G339" s="87">
        <f>G340</f>
        <v>0</v>
      </c>
      <c r="H339" s="87">
        <v>0</v>
      </c>
      <c r="I339" s="87">
        <v>0</v>
      </c>
      <c r="J339" s="177"/>
    </row>
    <row r="340" spans="1:18" ht="30.75" hidden="1" customHeight="1">
      <c r="A340" s="82" t="s">
        <v>150</v>
      </c>
      <c r="B340" s="149">
        <v>757</v>
      </c>
      <c r="C340" s="84" t="s">
        <v>70</v>
      </c>
      <c r="D340" s="84" t="s">
        <v>123</v>
      </c>
      <c r="E340" s="84" t="s">
        <v>571</v>
      </c>
      <c r="F340" s="84" t="s">
        <v>151</v>
      </c>
      <c r="G340" s="87"/>
      <c r="H340" s="87">
        <v>0</v>
      </c>
      <c r="I340" s="87">
        <v>0</v>
      </c>
      <c r="J340" s="177"/>
    </row>
    <row r="341" spans="1:18" ht="21.75" hidden="1" customHeight="1">
      <c r="A341" s="82" t="s">
        <v>156</v>
      </c>
      <c r="B341" s="149">
        <v>757</v>
      </c>
      <c r="C341" s="84" t="s">
        <v>173</v>
      </c>
      <c r="D341" s="84" t="s">
        <v>70</v>
      </c>
      <c r="E341" s="84" t="s">
        <v>571</v>
      </c>
      <c r="F341" s="84" t="s">
        <v>157</v>
      </c>
      <c r="G341" s="87">
        <f>G342</f>
        <v>0</v>
      </c>
      <c r="H341" s="87">
        <v>0</v>
      </c>
      <c r="I341" s="87">
        <v>0</v>
      </c>
      <c r="J341" s="177"/>
    </row>
    <row r="342" spans="1:18" ht="22.5" hidden="1" customHeight="1">
      <c r="A342" s="82" t="s">
        <v>178</v>
      </c>
      <c r="B342" s="149">
        <v>757</v>
      </c>
      <c r="C342" s="84" t="s">
        <v>173</v>
      </c>
      <c r="D342" s="84" t="s">
        <v>70</v>
      </c>
      <c r="E342" s="84" t="s">
        <v>571</v>
      </c>
      <c r="F342" s="84" t="s">
        <v>179</v>
      </c>
      <c r="G342" s="87"/>
      <c r="H342" s="87">
        <v>0</v>
      </c>
      <c r="I342" s="87">
        <v>0</v>
      </c>
      <c r="J342" s="177"/>
    </row>
    <row r="343" spans="1:18" ht="25.5">
      <c r="A343" s="82" t="s">
        <v>30</v>
      </c>
      <c r="B343" s="149">
        <v>757</v>
      </c>
      <c r="C343" s="84" t="s">
        <v>44</v>
      </c>
      <c r="D343" s="84" t="s">
        <v>19</v>
      </c>
      <c r="E343" s="84" t="s">
        <v>571</v>
      </c>
      <c r="F343" s="84" t="s">
        <v>31</v>
      </c>
      <c r="G343" s="85">
        <f t="shared" ref="G343:I343" si="85">G344</f>
        <v>570946.80000000005</v>
      </c>
      <c r="H343" s="85">
        <f t="shared" si="85"/>
        <v>0</v>
      </c>
      <c r="I343" s="85">
        <f t="shared" si="85"/>
        <v>0</v>
      </c>
      <c r="J343" s="178"/>
    </row>
    <row r="344" spans="1:18">
      <c r="A344" s="82" t="s">
        <v>32</v>
      </c>
      <c r="B344" s="149">
        <v>757</v>
      </c>
      <c r="C344" s="84" t="s">
        <v>44</v>
      </c>
      <c r="D344" s="84" t="s">
        <v>19</v>
      </c>
      <c r="E344" s="84" t="s">
        <v>571</v>
      </c>
      <c r="F344" s="84" t="s">
        <v>33</v>
      </c>
      <c r="G344" s="85">
        <v>570946.80000000005</v>
      </c>
      <c r="H344" s="85"/>
      <c r="I344" s="85"/>
      <c r="J344" s="178"/>
    </row>
    <row r="345" spans="1:18" s="169" customFormat="1" ht="34.5" customHeight="1">
      <c r="A345" s="139" t="s">
        <v>169</v>
      </c>
      <c r="B345" s="149">
        <v>757</v>
      </c>
      <c r="C345" s="84" t="s">
        <v>44</v>
      </c>
      <c r="D345" s="84" t="s">
        <v>19</v>
      </c>
      <c r="E345" s="84" t="s">
        <v>233</v>
      </c>
      <c r="F345" s="168"/>
      <c r="G345" s="87">
        <f>G346</f>
        <v>0</v>
      </c>
      <c r="H345" s="87">
        <f t="shared" ref="H345:I346" si="86">H346</f>
        <v>0</v>
      </c>
      <c r="I345" s="87">
        <f t="shared" si="86"/>
        <v>0</v>
      </c>
      <c r="J345" s="177"/>
      <c r="K345" s="210"/>
      <c r="L345" s="204"/>
      <c r="M345" s="204"/>
      <c r="N345" s="204"/>
      <c r="O345" s="204"/>
      <c r="P345" s="204"/>
      <c r="Q345" s="204"/>
      <c r="R345" s="204"/>
    </row>
    <row r="346" spans="1:18" s="90" customFormat="1" ht="25.5">
      <c r="A346" s="139" t="s">
        <v>169</v>
      </c>
      <c r="B346" s="149">
        <v>757</v>
      </c>
      <c r="C346" s="84" t="s">
        <v>44</v>
      </c>
      <c r="D346" s="84" t="s">
        <v>19</v>
      </c>
      <c r="E346" s="84" t="s">
        <v>275</v>
      </c>
      <c r="F346" s="149"/>
      <c r="G346" s="87">
        <f>G347</f>
        <v>0</v>
      </c>
      <c r="H346" s="87">
        <f t="shared" si="86"/>
        <v>0</v>
      </c>
      <c r="I346" s="87">
        <f t="shared" si="86"/>
        <v>0</v>
      </c>
      <c r="J346" s="177"/>
      <c r="K346" s="209"/>
      <c r="L346" s="186"/>
      <c r="M346" s="186"/>
      <c r="N346" s="186"/>
      <c r="O346" s="186"/>
      <c r="P346" s="186"/>
      <c r="Q346" s="186"/>
      <c r="R346" s="186"/>
    </row>
    <row r="347" spans="1:18" ht="24" customHeight="1">
      <c r="A347" s="82" t="s">
        <v>30</v>
      </c>
      <c r="B347" s="149">
        <v>757</v>
      </c>
      <c r="C347" s="84" t="s">
        <v>44</v>
      </c>
      <c r="D347" s="84" t="s">
        <v>19</v>
      </c>
      <c r="E347" s="84" t="s">
        <v>275</v>
      </c>
      <c r="F347" s="84" t="s">
        <v>31</v>
      </c>
      <c r="G347" s="87">
        <f>G348</f>
        <v>0</v>
      </c>
      <c r="H347" s="87">
        <f>H348</f>
        <v>0</v>
      </c>
      <c r="I347" s="87">
        <f>I348</f>
        <v>0</v>
      </c>
      <c r="J347" s="177"/>
    </row>
    <row r="348" spans="1:18" ht="18" customHeight="1">
      <c r="A348" s="82" t="s">
        <v>32</v>
      </c>
      <c r="B348" s="149">
        <v>757</v>
      </c>
      <c r="C348" s="84" t="s">
        <v>44</v>
      </c>
      <c r="D348" s="84" t="s">
        <v>19</v>
      </c>
      <c r="E348" s="84" t="s">
        <v>275</v>
      </c>
      <c r="F348" s="84" t="s">
        <v>33</v>
      </c>
      <c r="G348" s="87"/>
      <c r="H348" s="87"/>
      <c r="I348" s="87"/>
      <c r="J348" s="177"/>
    </row>
    <row r="349" spans="1:18" ht="34.9" customHeight="1">
      <c r="A349" s="139" t="s">
        <v>169</v>
      </c>
      <c r="B349" s="149">
        <v>757</v>
      </c>
      <c r="C349" s="84" t="s">
        <v>44</v>
      </c>
      <c r="D349" s="84" t="s">
        <v>19</v>
      </c>
      <c r="E349" s="84" t="s">
        <v>233</v>
      </c>
      <c r="F349" s="168"/>
      <c r="G349" s="87">
        <f>G350</f>
        <v>174496</v>
      </c>
      <c r="H349" s="87"/>
      <c r="I349" s="87"/>
      <c r="J349" s="177"/>
    </row>
    <row r="350" spans="1:18" ht="30.6" customHeight="1">
      <c r="A350" s="82" t="s">
        <v>30</v>
      </c>
      <c r="B350" s="149">
        <v>757</v>
      </c>
      <c r="C350" s="84" t="s">
        <v>44</v>
      </c>
      <c r="D350" s="84" t="s">
        <v>19</v>
      </c>
      <c r="E350" s="84" t="s">
        <v>275</v>
      </c>
      <c r="F350" s="149"/>
      <c r="G350" s="87">
        <f>G351</f>
        <v>174496</v>
      </c>
      <c r="H350" s="87"/>
      <c r="I350" s="87"/>
      <c r="J350" s="177"/>
    </row>
    <row r="351" spans="1:18" ht="18" customHeight="1">
      <c r="A351" s="82" t="s">
        <v>32</v>
      </c>
      <c r="B351" s="149">
        <v>757</v>
      </c>
      <c r="C351" s="84" t="s">
        <v>44</v>
      </c>
      <c r="D351" s="84" t="s">
        <v>19</v>
      </c>
      <c r="E351" s="84" t="s">
        <v>275</v>
      </c>
      <c r="F351" s="84" t="s">
        <v>33</v>
      </c>
      <c r="G351" s="87">
        <v>174496</v>
      </c>
      <c r="H351" s="87"/>
      <c r="I351" s="87"/>
      <c r="J351" s="177"/>
    </row>
    <row r="352" spans="1:18" s="28" customFormat="1" ht="22.5" customHeight="1">
      <c r="A352" s="135" t="s">
        <v>53</v>
      </c>
      <c r="B352" s="149">
        <v>757</v>
      </c>
      <c r="C352" s="84" t="s">
        <v>44</v>
      </c>
      <c r="D352" s="84" t="s">
        <v>54</v>
      </c>
      <c r="E352" s="84"/>
      <c r="F352" s="84"/>
      <c r="G352" s="94">
        <f t="shared" ref="G352:I353" si="87">G353</f>
        <v>5335539</v>
      </c>
      <c r="H352" s="94">
        <f t="shared" si="87"/>
        <v>5399005</v>
      </c>
      <c r="I352" s="94">
        <f t="shared" si="87"/>
        <v>5449713</v>
      </c>
      <c r="J352" s="194"/>
      <c r="K352" s="204"/>
      <c r="L352" s="204"/>
      <c r="M352" s="204"/>
      <c r="N352" s="204"/>
      <c r="O352" s="204"/>
      <c r="P352" s="204"/>
      <c r="Q352" s="204"/>
      <c r="R352" s="204"/>
    </row>
    <row r="353" spans="1:18" ht="25.5">
      <c r="A353" s="82" t="s">
        <v>487</v>
      </c>
      <c r="B353" s="149">
        <v>757</v>
      </c>
      <c r="C353" s="84" t="s">
        <v>44</v>
      </c>
      <c r="D353" s="84" t="s">
        <v>54</v>
      </c>
      <c r="E353" s="84" t="s">
        <v>193</v>
      </c>
      <c r="F353" s="84"/>
      <c r="G353" s="93">
        <f t="shared" si="87"/>
        <v>5335539</v>
      </c>
      <c r="H353" s="93">
        <f t="shared" si="87"/>
        <v>5399005</v>
      </c>
      <c r="I353" s="93">
        <f t="shared" si="87"/>
        <v>5449713</v>
      </c>
      <c r="J353" s="195"/>
    </row>
    <row r="354" spans="1:18" s="28" customFormat="1" ht="25.5">
      <c r="A354" s="135" t="s">
        <v>76</v>
      </c>
      <c r="B354" s="149">
        <v>757</v>
      </c>
      <c r="C354" s="84" t="s">
        <v>44</v>
      </c>
      <c r="D354" s="84" t="s">
        <v>54</v>
      </c>
      <c r="E354" s="84" t="s">
        <v>204</v>
      </c>
      <c r="F354" s="84"/>
      <c r="G354" s="93">
        <f>G355+G357+G359</f>
        <v>5335539</v>
      </c>
      <c r="H354" s="93">
        <f>H355+H357+H359</f>
        <v>5399005</v>
      </c>
      <c r="I354" s="93">
        <f>I355+I357+I359</f>
        <v>5449713</v>
      </c>
      <c r="J354" s="195"/>
      <c r="K354" s="204"/>
      <c r="L354" s="204"/>
      <c r="M354" s="204"/>
      <c r="N354" s="204"/>
      <c r="O354" s="204"/>
      <c r="P354" s="204"/>
      <c r="Q354" s="204"/>
      <c r="R354" s="204"/>
    </row>
    <row r="355" spans="1:18" s="32" customFormat="1" ht="63.75">
      <c r="A355" s="82" t="s">
        <v>55</v>
      </c>
      <c r="B355" s="149">
        <v>757</v>
      </c>
      <c r="C355" s="84" t="s">
        <v>44</v>
      </c>
      <c r="D355" s="84" t="s">
        <v>54</v>
      </c>
      <c r="E355" s="84" t="s">
        <v>204</v>
      </c>
      <c r="F355" s="84" t="s">
        <v>58</v>
      </c>
      <c r="G355" s="87">
        <f>G356</f>
        <v>5119820.4000000004</v>
      </c>
      <c r="H355" s="87">
        <f>H356</f>
        <v>5215460</v>
      </c>
      <c r="I355" s="87">
        <f>I356</f>
        <v>5266168</v>
      </c>
      <c r="J355" s="177"/>
      <c r="K355" s="203"/>
      <c r="L355" s="203"/>
      <c r="M355" s="203"/>
      <c r="N355" s="203"/>
      <c r="O355" s="203"/>
      <c r="P355" s="203"/>
      <c r="Q355" s="203"/>
      <c r="R355" s="203"/>
    </row>
    <row r="356" spans="1:18" s="32" customFormat="1" ht="25.5">
      <c r="A356" s="82" t="s">
        <v>56</v>
      </c>
      <c r="B356" s="149">
        <v>757</v>
      </c>
      <c r="C356" s="84" t="s">
        <v>44</v>
      </c>
      <c r="D356" s="84" t="s">
        <v>54</v>
      </c>
      <c r="E356" s="84" t="s">
        <v>204</v>
      </c>
      <c r="F356" s="84" t="s">
        <v>59</v>
      </c>
      <c r="G356" s="87">
        <v>5119820.4000000004</v>
      </c>
      <c r="H356" s="87">
        <v>5215460</v>
      </c>
      <c r="I356" s="87">
        <v>5266168</v>
      </c>
      <c r="J356" s="177"/>
      <c r="K356" s="203"/>
      <c r="L356" s="203"/>
      <c r="M356" s="203"/>
      <c r="N356" s="203"/>
      <c r="O356" s="203"/>
      <c r="P356" s="203"/>
      <c r="Q356" s="203"/>
      <c r="R356" s="203"/>
    </row>
    <row r="357" spans="1:18" s="32" customFormat="1" ht="28.5" customHeight="1">
      <c r="A357" s="82" t="s">
        <v>36</v>
      </c>
      <c r="B357" s="149">
        <v>757</v>
      </c>
      <c r="C357" s="84" t="s">
        <v>44</v>
      </c>
      <c r="D357" s="84" t="s">
        <v>54</v>
      </c>
      <c r="E357" s="84" t="s">
        <v>204</v>
      </c>
      <c r="F357" s="84" t="s">
        <v>37</v>
      </c>
      <c r="G357" s="87">
        <f>G358</f>
        <v>215418.6</v>
      </c>
      <c r="H357" s="87">
        <f>H358</f>
        <v>183245</v>
      </c>
      <c r="I357" s="87">
        <f>I358</f>
        <v>183245</v>
      </c>
      <c r="J357" s="177"/>
      <c r="K357" s="203"/>
      <c r="L357" s="203"/>
      <c r="M357" s="203"/>
      <c r="N357" s="203"/>
      <c r="O357" s="203"/>
      <c r="P357" s="203"/>
      <c r="Q357" s="203"/>
      <c r="R357" s="203"/>
    </row>
    <row r="358" spans="1:18" s="32" customFormat="1" ht="25.5">
      <c r="A358" s="82" t="s">
        <v>38</v>
      </c>
      <c r="B358" s="149">
        <v>757</v>
      </c>
      <c r="C358" s="84" t="s">
        <v>44</v>
      </c>
      <c r="D358" s="84" t="s">
        <v>54</v>
      </c>
      <c r="E358" s="84" t="s">
        <v>204</v>
      </c>
      <c r="F358" s="84" t="s">
        <v>39</v>
      </c>
      <c r="G358" s="87">
        <v>215418.6</v>
      </c>
      <c r="H358" s="87">
        <v>183245</v>
      </c>
      <c r="I358" s="87">
        <v>183245</v>
      </c>
      <c r="J358" s="177"/>
      <c r="K358" s="203"/>
      <c r="L358" s="203"/>
      <c r="M358" s="203"/>
      <c r="N358" s="203"/>
      <c r="O358" s="203"/>
      <c r="P358" s="203"/>
      <c r="Q358" s="203"/>
      <c r="R358" s="203"/>
    </row>
    <row r="359" spans="1:18">
      <c r="A359" s="82" t="s">
        <v>63</v>
      </c>
      <c r="B359" s="149">
        <v>757</v>
      </c>
      <c r="C359" s="84" t="s">
        <v>44</v>
      </c>
      <c r="D359" s="84" t="s">
        <v>54</v>
      </c>
      <c r="E359" s="84" t="s">
        <v>204</v>
      </c>
      <c r="F359" s="84" t="s">
        <v>64</v>
      </c>
      <c r="G359" s="94">
        <f>G360</f>
        <v>300</v>
      </c>
      <c r="H359" s="94">
        <f>H360</f>
        <v>300</v>
      </c>
      <c r="I359" s="94">
        <f>I360</f>
        <v>300</v>
      </c>
      <c r="J359" s="194"/>
    </row>
    <row r="360" spans="1:18">
      <c r="A360" s="82" t="s">
        <v>66</v>
      </c>
      <c r="B360" s="149">
        <v>757</v>
      </c>
      <c r="C360" s="84" t="s">
        <v>44</v>
      </c>
      <c r="D360" s="84" t="s">
        <v>54</v>
      </c>
      <c r="E360" s="84" t="s">
        <v>204</v>
      </c>
      <c r="F360" s="84" t="s">
        <v>67</v>
      </c>
      <c r="G360" s="94">
        <v>300</v>
      </c>
      <c r="H360" s="94">
        <v>300</v>
      </c>
      <c r="I360" s="94">
        <v>300</v>
      </c>
      <c r="J360" s="194"/>
    </row>
    <row r="361" spans="1:18" ht="33" hidden="1" customHeight="1">
      <c r="A361" s="82" t="s">
        <v>824</v>
      </c>
      <c r="B361" s="149">
        <v>757</v>
      </c>
      <c r="C361" s="84" t="s">
        <v>69</v>
      </c>
      <c r="D361" s="84" t="s">
        <v>54</v>
      </c>
      <c r="E361" s="84" t="s">
        <v>823</v>
      </c>
      <c r="F361" s="84"/>
      <c r="G361" s="87">
        <f t="shared" ref="G361:I362" si="88">G362</f>
        <v>0</v>
      </c>
      <c r="H361" s="87">
        <f t="shared" si="88"/>
        <v>0</v>
      </c>
      <c r="I361" s="87">
        <f t="shared" si="88"/>
        <v>0</v>
      </c>
      <c r="J361" s="177"/>
    </row>
    <row r="362" spans="1:18" ht="33" hidden="1" customHeight="1">
      <c r="A362" s="82" t="s">
        <v>148</v>
      </c>
      <c r="B362" s="149">
        <v>757</v>
      </c>
      <c r="C362" s="84" t="s">
        <v>69</v>
      </c>
      <c r="D362" s="84" t="s">
        <v>54</v>
      </c>
      <c r="E362" s="84" t="s">
        <v>823</v>
      </c>
      <c r="F362" s="84" t="s">
        <v>149</v>
      </c>
      <c r="G362" s="87">
        <f t="shared" si="88"/>
        <v>0</v>
      </c>
      <c r="H362" s="87">
        <f t="shared" si="88"/>
        <v>0</v>
      </c>
      <c r="I362" s="87">
        <f t="shared" si="88"/>
        <v>0</v>
      </c>
      <c r="J362" s="177"/>
    </row>
    <row r="363" spans="1:18" ht="33" hidden="1" customHeight="1">
      <c r="A363" s="82" t="s">
        <v>150</v>
      </c>
      <c r="B363" s="149">
        <v>757</v>
      </c>
      <c r="C363" s="84" t="s">
        <v>69</v>
      </c>
      <c r="D363" s="84" t="s">
        <v>54</v>
      </c>
      <c r="E363" s="84" t="s">
        <v>823</v>
      </c>
      <c r="F363" s="84" t="s">
        <v>151</v>
      </c>
      <c r="G363" s="87">
        <v>0</v>
      </c>
      <c r="H363" s="87">
        <v>0</v>
      </c>
      <c r="I363" s="87">
        <v>0</v>
      </c>
      <c r="J363" s="177"/>
    </row>
    <row r="364" spans="1:18" ht="82.5" hidden="1" customHeight="1">
      <c r="A364" s="133" t="s">
        <v>412</v>
      </c>
      <c r="B364" s="149">
        <v>757</v>
      </c>
      <c r="C364" s="84" t="s">
        <v>69</v>
      </c>
      <c r="D364" s="84" t="s">
        <v>54</v>
      </c>
      <c r="E364" s="84" t="s">
        <v>411</v>
      </c>
      <c r="F364" s="84"/>
      <c r="G364" s="87">
        <f t="shared" ref="G364:I365" si="89">G365</f>
        <v>0</v>
      </c>
      <c r="H364" s="87">
        <f t="shared" si="89"/>
        <v>0</v>
      </c>
      <c r="I364" s="87">
        <f t="shared" si="89"/>
        <v>0</v>
      </c>
      <c r="J364" s="177"/>
    </row>
    <row r="365" spans="1:18" ht="33" hidden="1" customHeight="1">
      <c r="A365" s="82" t="s">
        <v>148</v>
      </c>
      <c r="B365" s="149">
        <v>757</v>
      </c>
      <c r="C365" s="84" t="s">
        <v>69</v>
      </c>
      <c r="D365" s="84" t="s">
        <v>54</v>
      </c>
      <c r="E365" s="84" t="s">
        <v>411</v>
      </c>
      <c r="F365" s="84" t="s">
        <v>149</v>
      </c>
      <c r="G365" s="87">
        <f t="shared" si="89"/>
        <v>0</v>
      </c>
      <c r="H365" s="87">
        <f t="shared" si="89"/>
        <v>0</v>
      </c>
      <c r="I365" s="87">
        <f t="shared" si="89"/>
        <v>0</v>
      </c>
      <c r="J365" s="177"/>
    </row>
    <row r="366" spans="1:18" ht="33" hidden="1" customHeight="1">
      <c r="A366" s="82" t="s">
        <v>150</v>
      </c>
      <c r="B366" s="149">
        <v>757</v>
      </c>
      <c r="C366" s="84" t="s">
        <v>69</v>
      </c>
      <c r="D366" s="84" t="s">
        <v>54</v>
      </c>
      <c r="E366" s="84" t="s">
        <v>411</v>
      </c>
      <c r="F366" s="84" t="s">
        <v>151</v>
      </c>
      <c r="G366" s="87"/>
      <c r="H366" s="87"/>
      <c r="I366" s="87"/>
      <c r="J366" s="177"/>
    </row>
    <row r="367" spans="1:18" s="32" customFormat="1" ht="17.25" hidden="1" customHeight="1">
      <c r="A367" s="275" t="s">
        <v>360</v>
      </c>
      <c r="B367" s="155">
        <v>757</v>
      </c>
      <c r="C367" s="156" t="s">
        <v>72</v>
      </c>
      <c r="D367" s="156"/>
      <c r="E367" s="156"/>
      <c r="F367" s="156"/>
      <c r="G367" s="157">
        <f>G383+G368</f>
        <v>0</v>
      </c>
      <c r="H367" s="157">
        <f>H383+H368</f>
        <v>0</v>
      </c>
      <c r="I367" s="157">
        <f>I383+I368</f>
        <v>0</v>
      </c>
      <c r="J367" s="196"/>
      <c r="K367" s="203"/>
      <c r="L367" s="203"/>
      <c r="M367" s="203"/>
      <c r="N367" s="203"/>
      <c r="O367" s="203"/>
      <c r="P367" s="203"/>
      <c r="Q367" s="203"/>
      <c r="R367" s="203"/>
    </row>
    <row r="368" spans="1:18" s="32" customFormat="1" ht="17.25" hidden="1" customHeight="1">
      <c r="A368" s="276" t="s">
        <v>495</v>
      </c>
      <c r="B368" s="149">
        <v>757</v>
      </c>
      <c r="C368" s="84" t="s">
        <v>72</v>
      </c>
      <c r="D368" s="84" t="s">
        <v>19</v>
      </c>
      <c r="E368" s="156"/>
      <c r="F368" s="156"/>
      <c r="G368" s="157">
        <f>G369+G379</f>
        <v>0</v>
      </c>
      <c r="H368" s="157">
        <f>H369+H379</f>
        <v>0</v>
      </c>
      <c r="I368" s="157">
        <f>I369+I379</f>
        <v>0</v>
      </c>
      <c r="J368" s="196"/>
      <c r="K368" s="203"/>
      <c r="L368" s="203"/>
      <c r="M368" s="203"/>
      <c r="N368" s="203"/>
      <c r="O368" s="203"/>
      <c r="P368" s="203"/>
      <c r="Q368" s="203"/>
      <c r="R368" s="203"/>
    </row>
    <row r="369" spans="1:18" ht="27.75" hidden="1" customHeight="1">
      <c r="A369" s="139" t="s">
        <v>484</v>
      </c>
      <c r="B369" s="149">
        <v>757</v>
      </c>
      <c r="C369" s="84" t="s">
        <v>72</v>
      </c>
      <c r="D369" s="84" t="s">
        <v>19</v>
      </c>
      <c r="E369" s="84" t="s">
        <v>195</v>
      </c>
      <c r="F369" s="84"/>
      <c r="G369" s="87">
        <f>G371+G374+G376</f>
        <v>0</v>
      </c>
      <c r="H369" s="87">
        <f>H371+H374+H376</f>
        <v>0</v>
      </c>
      <c r="I369" s="87">
        <f>I371+I374+I376</f>
        <v>0</v>
      </c>
      <c r="J369" s="177"/>
    </row>
    <row r="370" spans="1:18" ht="19.5" hidden="1" customHeight="1">
      <c r="A370" s="82" t="s">
        <v>32</v>
      </c>
      <c r="B370" s="149">
        <v>757</v>
      </c>
      <c r="C370" s="84" t="s">
        <v>72</v>
      </c>
      <c r="D370" s="84" t="s">
        <v>19</v>
      </c>
      <c r="E370" s="84" t="s">
        <v>40</v>
      </c>
      <c r="F370" s="84" t="s">
        <v>33</v>
      </c>
      <c r="G370" s="87"/>
      <c r="H370" s="87"/>
      <c r="I370" s="87"/>
      <c r="J370" s="177"/>
    </row>
    <row r="371" spans="1:18" ht="39" hidden="1" customHeight="1">
      <c r="A371" s="82" t="s">
        <v>112</v>
      </c>
      <c r="B371" s="149">
        <v>757</v>
      </c>
      <c r="C371" s="84" t="s">
        <v>72</v>
      </c>
      <c r="D371" s="84" t="s">
        <v>19</v>
      </c>
      <c r="E371" s="84" t="s">
        <v>196</v>
      </c>
      <c r="F371" s="84"/>
      <c r="G371" s="87">
        <f>G372</f>
        <v>0</v>
      </c>
      <c r="H371" s="87">
        <f t="shared" ref="H371:I371" si="90">H372</f>
        <v>0</v>
      </c>
      <c r="I371" s="87">
        <f t="shared" si="90"/>
        <v>0</v>
      </c>
      <c r="J371" s="177"/>
    </row>
    <row r="372" spans="1:18" ht="25.5" hidden="1">
      <c r="A372" s="82" t="s">
        <v>30</v>
      </c>
      <c r="B372" s="149">
        <v>757</v>
      </c>
      <c r="C372" s="84" t="s">
        <v>72</v>
      </c>
      <c r="D372" s="84" t="s">
        <v>19</v>
      </c>
      <c r="E372" s="84" t="s">
        <v>196</v>
      </c>
      <c r="F372" s="84" t="s">
        <v>31</v>
      </c>
      <c r="G372" s="87">
        <f>G373</f>
        <v>0</v>
      </c>
      <c r="H372" s="87">
        <f>H373</f>
        <v>0</v>
      </c>
      <c r="I372" s="87">
        <f>I373</f>
        <v>0</v>
      </c>
      <c r="J372" s="177"/>
    </row>
    <row r="373" spans="1:18" ht="19.5" hidden="1" customHeight="1">
      <c r="A373" s="82" t="s">
        <v>32</v>
      </c>
      <c r="B373" s="149">
        <v>757</v>
      </c>
      <c r="C373" s="84" t="s">
        <v>72</v>
      </c>
      <c r="D373" s="84" t="s">
        <v>19</v>
      </c>
      <c r="E373" s="84" t="s">
        <v>196</v>
      </c>
      <c r="F373" s="84" t="s">
        <v>33</v>
      </c>
      <c r="G373" s="87"/>
      <c r="H373" s="87"/>
      <c r="I373" s="87"/>
      <c r="J373" s="177"/>
    </row>
    <row r="374" spans="1:18" s="32" customFormat="1" ht="25.5" hidden="1" customHeight="1">
      <c r="A374" s="82" t="s">
        <v>30</v>
      </c>
      <c r="B374" s="149">
        <v>757</v>
      </c>
      <c r="C374" s="84" t="s">
        <v>72</v>
      </c>
      <c r="D374" s="84" t="s">
        <v>19</v>
      </c>
      <c r="E374" s="84" t="s">
        <v>546</v>
      </c>
      <c r="F374" s="84" t="s">
        <v>31</v>
      </c>
      <c r="G374" s="87">
        <f>G375</f>
        <v>0</v>
      </c>
      <c r="H374" s="87">
        <v>0</v>
      </c>
      <c r="I374" s="87">
        <v>0</v>
      </c>
      <c r="J374" s="177"/>
      <c r="K374" s="203"/>
      <c r="L374" s="203"/>
      <c r="M374" s="203"/>
      <c r="N374" s="203"/>
      <c r="O374" s="203"/>
      <c r="P374" s="203"/>
      <c r="Q374" s="203"/>
      <c r="R374" s="203"/>
    </row>
    <row r="375" spans="1:18" s="32" customFormat="1" ht="17.25" hidden="1" customHeight="1">
      <c r="A375" s="82" t="s">
        <v>32</v>
      </c>
      <c r="B375" s="149">
        <v>757</v>
      </c>
      <c r="C375" s="84" t="s">
        <v>72</v>
      </c>
      <c r="D375" s="84" t="s">
        <v>19</v>
      </c>
      <c r="E375" s="84" t="s">
        <v>546</v>
      </c>
      <c r="F375" s="84" t="s">
        <v>33</v>
      </c>
      <c r="G375" s="87"/>
      <c r="H375" s="87">
        <v>0</v>
      </c>
      <c r="I375" s="87">
        <v>0</v>
      </c>
      <c r="J375" s="177"/>
      <c r="K375" s="203"/>
      <c r="L375" s="203"/>
      <c r="M375" s="203"/>
      <c r="N375" s="203"/>
      <c r="O375" s="203"/>
      <c r="P375" s="203"/>
      <c r="Q375" s="203"/>
      <c r="R375" s="203"/>
    </row>
    <row r="376" spans="1:18" s="32" customFormat="1" ht="65.25" hidden="1" customHeight="1">
      <c r="A376" s="82" t="s">
        <v>615</v>
      </c>
      <c r="B376" s="149">
        <v>757</v>
      </c>
      <c r="C376" s="84" t="s">
        <v>72</v>
      </c>
      <c r="D376" s="84" t="s">
        <v>19</v>
      </c>
      <c r="E376" s="84" t="s">
        <v>614</v>
      </c>
      <c r="F376" s="84"/>
      <c r="G376" s="87">
        <f>G377</f>
        <v>0</v>
      </c>
      <c r="H376" s="87">
        <f t="shared" ref="H376:I376" si="91">H377</f>
        <v>0</v>
      </c>
      <c r="I376" s="87">
        <f t="shared" si="91"/>
        <v>0</v>
      </c>
      <c r="J376" s="177"/>
      <c r="K376" s="203"/>
      <c r="L376" s="203"/>
      <c r="M376" s="203"/>
      <c r="N376" s="203"/>
      <c r="O376" s="203"/>
      <c r="P376" s="203"/>
      <c r="Q376" s="203"/>
      <c r="R376" s="203"/>
    </row>
    <row r="377" spans="1:18" s="32" customFormat="1" ht="25.5" hidden="1" customHeight="1">
      <c r="A377" s="82" t="s">
        <v>30</v>
      </c>
      <c r="B377" s="149">
        <v>757</v>
      </c>
      <c r="C377" s="84" t="s">
        <v>72</v>
      </c>
      <c r="D377" s="84" t="s">
        <v>19</v>
      </c>
      <c r="E377" s="84" t="s">
        <v>614</v>
      </c>
      <c r="F377" s="84" t="s">
        <v>31</v>
      </c>
      <c r="G377" s="87">
        <f>G378</f>
        <v>0</v>
      </c>
      <c r="H377" s="87">
        <v>0</v>
      </c>
      <c r="I377" s="87">
        <v>0</v>
      </c>
      <c r="J377" s="177"/>
      <c r="K377" s="203"/>
      <c r="L377" s="203"/>
      <c r="M377" s="203"/>
      <c r="N377" s="203"/>
      <c r="O377" s="203"/>
      <c r="P377" s="203"/>
      <c r="Q377" s="203"/>
      <c r="R377" s="203"/>
    </row>
    <row r="378" spans="1:18" s="32" customFormat="1" ht="17.25" hidden="1" customHeight="1">
      <c r="A378" s="82" t="s">
        <v>32</v>
      </c>
      <c r="B378" s="149">
        <v>757</v>
      </c>
      <c r="C378" s="84" t="s">
        <v>72</v>
      </c>
      <c r="D378" s="84" t="s">
        <v>19</v>
      </c>
      <c r="E378" s="84" t="s">
        <v>614</v>
      </c>
      <c r="F378" s="84" t="s">
        <v>33</v>
      </c>
      <c r="G378" s="87"/>
      <c r="H378" s="87">
        <v>0</v>
      </c>
      <c r="I378" s="87">
        <v>0</v>
      </c>
      <c r="J378" s="177"/>
      <c r="K378" s="203"/>
      <c r="L378" s="203"/>
      <c r="M378" s="203"/>
      <c r="N378" s="203"/>
      <c r="O378" s="203"/>
      <c r="P378" s="203"/>
      <c r="Q378" s="203"/>
      <c r="R378" s="203"/>
    </row>
    <row r="379" spans="1:18" s="18" customFormat="1" ht="25.5" hidden="1">
      <c r="A379" s="82" t="s">
        <v>474</v>
      </c>
      <c r="B379" s="149">
        <v>757</v>
      </c>
      <c r="C379" s="84" t="s">
        <v>72</v>
      </c>
      <c r="D379" s="84" t="s">
        <v>19</v>
      </c>
      <c r="E379" s="84" t="s">
        <v>262</v>
      </c>
      <c r="F379" s="84"/>
      <c r="G379" s="87">
        <f>G380</f>
        <v>0</v>
      </c>
      <c r="H379" s="87">
        <f t="shared" ref="H379:I381" si="92">H380</f>
        <v>0</v>
      </c>
      <c r="I379" s="87">
        <f t="shared" si="92"/>
        <v>0</v>
      </c>
      <c r="J379" s="177"/>
      <c r="K379" s="200"/>
      <c r="L379" s="200"/>
      <c r="M379" s="200"/>
      <c r="N379" s="200"/>
      <c r="O379" s="200"/>
      <c r="P379" s="200"/>
      <c r="Q379" s="200"/>
      <c r="R379" s="200"/>
    </row>
    <row r="380" spans="1:18" s="18" customFormat="1" ht="25.5" hidden="1">
      <c r="A380" s="82" t="s">
        <v>473</v>
      </c>
      <c r="B380" s="149">
        <v>757</v>
      </c>
      <c r="C380" s="84" t="s">
        <v>72</v>
      </c>
      <c r="D380" s="84" t="s">
        <v>19</v>
      </c>
      <c r="E380" s="84" t="s">
        <v>445</v>
      </c>
      <c r="F380" s="84"/>
      <c r="G380" s="87">
        <f>G381</f>
        <v>0</v>
      </c>
      <c r="H380" s="87">
        <f t="shared" si="92"/>
        <v>0</v>
      </c>
      <c r="I380" s="87">
        <f t="shared" si="92"/>
        <v>0</v>
      </c>
      <c r="J380" s="177"/>
      <c r="K380" s="200"/>
      <c r="L380" s="200"/>
      <c r="M380" s="200"/>
      <c r="N380" s="200"/>
      <c r="O380" s="200"/>
      <c r="P380" s="200"/>
      <c r="Q380" s="200"/>
      <c r="R380" s="200"/>
    </row>
    <row r="381" spans="1:18" s="18" customFormat="1" ht="25.5" hidden="1">
      <c r="A381" s="82" t="s">
        <v>96</v>
      </c>
      <c r="B381" s="149">
        <v>757</v>
      </c>
      <c r="C381" s="84" t="s">
        <v>72</v>
      </c>
      <c r="D381" s="84" t="s">
        <v>19</v>
      </c>
      <c r="E381" s="84" t="s">
        <v>445</v>
      </c>
      <c r="F381" s="84" t="s">
        <v>348</v>
      </c>
      <c r="G381" s="87">
        <f>G382</f>
        <v>0</v>
      </c>
      <c r="H381" s="87">
        <f t="shared" si="92"/>
        <v>0</v>
      </c>
      <c r="I381" s="87">
        <f t="shared" si="92"/>
        <v>0</v>
      </c>
      <c r="J381" s="177"/>
      <c r="K381" s="200"/>
      <c r="L381" s="200"/>
      <c r="M381" s="200"/>
      <c r="N381" s="200"/>
      <c r="O381" s="200"/>
      <c r="P381" s="200"/>
      <c r="Q381" s="200"/>
      <c r="R381" s="200"/>
    </row>
    <row r="382" spans="1:18" s="18" customFormat="1" ht="89.25" hidden="1">
      <c r="A382" s="133" t="s">
        <v>420</v>
      </c>
      <c r="B382" s="149">
        <v>757</v>
      </c>
      <c r="C382" s="84" t="s">
        <v>72</v>
      </c>
      <c r="D382" s="84" t="s">
        <v>19</v>
      </c>
      <c r="E382" s="84" t="s">
        <v>445</v>
      </c>
      <c r="F382" s="84" t="s">
        <v>419</v>
      </c>
      <c r="G382" s="87">
        <f>50000-50000</f>
        <v>0</v>
      </c>
      <c r="H382" s="87"/>
      <c r="I382" s="87"/>
      <c r="J382" s="177"/>
      <c r="K382" s="200"/>
      <c r="L382" s="200"/>
      <c r="M382" s="200"/>
      <c r="N382" s="200"/>
      <c r="O382" s="200"/>
      <c r="P382" s="200"/>
      <c r="Q382" s="200"/>
      <c r="R382" s="200"/>
    </row>
    <row r="383" spans="1:18" s="33" customFormat="1" ht="15" hidden="1" customHeight="1">
      <c r="A383" s="82" t="s">
        <v>71</v>
      </c>
      <c r="B383" s="149">
        <v>757</v>
      </c>
      <c r="C383" s="84" t="s">
        <v>72</v>
      </c>
      <c r="D383" s="84" t="s">
        <v>28</v>
      </c>
      <c r="E383" s="168"/>
      <c r="F383" s="168"/>
      <c r="G383" s="93">
        <f>G384</f>
        <v>0</v>
      </c>
      <c r="H383" s="93">
        <f>H384+H116</f>
        <v>0</v>
      </c>
      <c r="I383" s="93">
        <f>I384+I116</f>
        <v>0</v>
      </c>
      <c r="J383" s="195"/>
      <c r="K383" s="211"/>
      <c r="L383" s="211"/>
      <c r="M383" s="211"/>
      <c r="N383" s="211"/>
      <c r="O383" s="211"/>
      <c r="P383" s="211"/>
      <c r="Q383" s="211"/>
      <c r="R383" s="211"/>
    </row>
    <row r="384" spans="1:18" s="28" customFormat="1" ht="28.5" hidden="1" customHeight="1">
      <c r="A384" s="139" t="s">
        <v>484</v>
      </c>
      <c r="B384" s="149">
        <v>757</v>
      </c>
      <c r="C384" s="84" t="s">
        <v>72</v>
      </c>
      <c r="D384" s="84" t="s">
        <v>28</v>
      </c>
      <c r="E384" s="84" t="s">
        <v>195</v>
      </c>
      <c r="F384" s="84"/>
      <c r="G384" s="87">
        <f>G385</f>
        <v>0</v>
      </c>
      <c r="H384" s="87">
        <f>H385</f>
        <v>0</v>
      </c>
      <c r="I384" s="87">
        <f>I385</f>
        <v>0</v>
      </c>
      <c r="J384" s="177"/>
      <c r="K384" s="204"/>
      <c r="L384" s="204"/>
      <c r="M384" s="204"/>
      <c r="N384" s="204"/>
      <c r="O384" s="204"/>
      <c r="P384" s="204"/>
      <c r="Q384" s="204"/>
      <c r="R384" s="204"/>
    </row>
    <row r="385" spans="1:18" s="28" customFormat="1" ht="27.75" hidden="1" customHeight="1">
      <c r="A385" s="139" t="s">
        <v>73</v>
      </c>
      <c r="B385" s="149">
        <v>757</v>
      </c>
      <c r="C385" s="84" t="s">
        <v>72</v>
      </c>
      <c r="D385" s="84" t="s">
        <v>28</v>
      </c>
      <c r="E385" s="84" t="s">
        <v>206</v>
      </c>
      <c r="F385" s="84"/>
      <c r="G385" s="87">
        <f>G386</f>
        <v>0</v>
      </c>
      <c r="H385" s="87">
        <f t="shared" ref="H385:I385" si="93">H386</f>
        <v>0</v>
      </c>
      <c r="I385" s="87">
        <f t="shared" si="93"/>
        <v>0</v>
      </c>
      <c r="J385" s="177"/>
      <c r="K385" s="204"/>
      <c r="L385" s="204"/>
      <c r="M385" s="204"/>
      <c r="N385" s="204"/>
      <c r="O385" s="204"/>
      <c r="P385" s="204"/>
      <c r="Q385" s="204"/>
      <c r="R385" s="204"/>
    </row>
    <row r="386" spans="1:18" s="32" customFormat="1" ht="28.5" hidden="1" customHeight="1">
      <c r="A386" s="82" t="s">
        <v>36</v>
      </c>
      <c r="B386" s="149">
        <v>757</v>
      </c>
      <c r="C386" s="84" t="s">
        <v>72</v>
      </c>
      <c r="D386" s="84" t="s">
        <v>28</v>
      </c>
      <c r="E386" s="84" t="s">
        <v>206</v>
      </c>
      <c r="F386" s="84" t="s">
        <v>37</v>
      </c>
      <c r="G386" s="87">
        <f>G387</f>
        <v>0</v>
      </c>
      <c r="H386" s="87">
        <f>H387</f>
        <v>0</v>
      </c>
      <c r="I386" s="87">
        <f>I387</f>
        <v>0</v>
      </c>
      <c r="J386" s="177"/>
      <c r="K386" s="203"/>
      <c r="L386" s="203"/>
      <c r="M386" s="203"/>
      <c r="N386" s="203"/>
      <c r="O386" s="203"/>
      <c r="P386" s="203"/>
      <c r="Q386" s="203"/>
      <c r="R386" s="203"/>
    </row>
    <row r="387" spans="1:18" s="32" customFormat="1" ht="25.5" hidden="1">
      <c r="A387" s="82" t="s">
        <v>38</v>
      </c>
      <c r="B387" s="149">
        <v>757</v>
      </c>
      <c r="C387" s="84" t="s">
        <v>72</v>
      </c>
      <c r="D387" s="84" t="s">
        <v>28</v>
      </c>
      <c r="E387" s="84" t="s">
        <v>206</v>
      </c>
      <c r="F387" s="84" t="s">
        <v>39</v>
      </c>
      <c r="G387" s="87"/>
      <c r="H387" s="87"/>
      <c r="I387" s="87"/>
      <c r="J387" s="177"/>
      <c r="K387" s="205"/>
      <c r="L387" s="203"/>
      <c r="M387" s="203"/>
      <c r="N387" s="203"/>
      <c r="O387" s="203"/>
      <c r="P387" s="203"/>
      <c r="Q387" s="203"/>
      <c r="R387" s="203"/>
    </row>
    <row r="388" spans="1:18" s="124" customFormat="1">
      <c r="A388" s="314" t="s">
        <v>74</v>
      </c>
      <c r="B388" s="86"/>
      <c r="C388" s="315"/>
      <c r="D388" s="315"/>
      <c r="E388" s="315"/>
      <c r="F388" s="315"/>
      <c r="G388" s="316">
        <f>G21+G32+G131+G1763+G367</f>
        <v>192837038.87000003</v>
      </c>
      <c r="H388" s="316">
        <f>H32+H131+H367+H1763+H21</f>
        <v>171680871.13</v>
      </c>
      <c r="I388" s="316">
        <f>I32+I131+I367+I1763+I21</f>
        <v>166920448.11000001</v>
      </c>
      <c r="J388" s="192"/>
      <c r="K388" s="208"/>
      <c r="L388" s="207"/>
      <c r="M388" s="207"/>
      <c r="N388" s="207"/>
      <c r="O388" s="207"/>
      <c r="P388" s="207"/>
      <c r="Q388" s="207"/>
      <c r="R388" s="207"/>
    </row>
    <row r="389" spans="1:18" s="124" customFormat="1" hidden="1">
      <c r="A389" s="138"/>
      <c r="B389" s="273"/>
      <c r="C389" s="162"/>
      <c r="D389" s="162"/>
      <c r="E389" s="162"/>
      <c r="F389" s="162"/>
      <c r="G389" s="96"/>
      <c r="H389" s="96"/>
      <c r="I389" s="96"/>
      <c r="J389" s="192"/>
      <c r="K389" s="208"/>
      <c r="L389" s="207"/>
      <c r="M389" s="207"/>
      <c r="N389" s="207"/>
      <c r="O389" s="207"/>
      <c r="P389" s="207"/>
      <c r="Q389" s="207"/>
      <c r="R389" s="207"/>
    </row>
    <row r="390" spans="1:18" s="124" customFormat="1" hidden="1">
      <c r="A390" s="138"/>
      <c r="B390" s="273"/>
      <c r="C390" s="162"/>
      <c r="D390" s="162"/>
      <c r="E390" s="162"/>
      <c r="F390" s="162"/>
      <c r="G390" s="96"/>
      <c r="H390" s="96"/>
      <c r="I390" s="96"/>
      <c r="J390" s="192"/>
      <c r="K390" s="208"/>
      <c r="L390" s="207"/>
      <c r="M390" s="207"/>
      <c r="N390" s="207"/>
      <c r="O390" s="207"/>
      <c r="P390" s="207"/>
      <c r="Q390" s="207"/>
      <c r="R390" s="207"/>
    </row>
    <row r="391" spans="1:18" s="124" customFormat="1" hidden="1">
      <c r="A391" s="138"/>
      <c r="B391" s="273"/>
      <c r="C391" s="162"/>
      <c r="D391" s="162"/>
      <c r="E391" s="162"/>
      <c r="F391" s="162"/>
      <c r="G391" s="96"/>
      <c r="H391" s="96"/>
      <c r="I391" s="96"/>
      <c r="J391" s="192"/>
      <c r="K391" s="208"/>
      <c r="L391" s="207"/>
      <c r="M391" s="207"/>
      <c r="N391" s="207"/>
      <c r="O391" s="207"/>
      <c r="P391" s="207"/>
      <c r="Q391" s="207"/>
      <c r="R391" s="207"/>
    </row>
    <row r="392" spans="1:18" s="122" customFormat="1" ht="38.25">
      <c r="A392" s="321" t="s">
        <v>986</v>
      </c>
      <c r="B392" s="322">
        <v>763</v>
      </c>
      <c r="C392" s="323"/>
      <c r="D392" s="323"/>
      <c r="E392" s="323"/>
      <c r="F392" s="323"/>
      <c r="G392" s="324"/>
      <c r="H392" s="324"/>
      <c r="I392" s="324"/>
      <c r="J392" s="197"/>
      <c r="K392" s="212"/>
      <c r="L392" s="212"/>
      <c r="M392" s="212"/>
      <c r="N392" s="212"/>
      <c r="O392" s="212"/>
      <c r="P392" s="212"/>
      <c r="Q392" s="212"/>
      <c r="R392" s="212"/>
    </row>
    <row r="393" spans="1:18">
      <c r="A393" s="275" t="s">
        <v>18</v>
      </c>
      <c r="B393" s="269">
        <v>763</v>
      </c>
      <c r="C393" s="270" t="s">
        <v>19</v>
      </c>
      <c r="D393" s="270"/>
      <c r="E393" s="270"/>
      <c r="F393" s="270"/>
      <c r="G393" s="267">
        <f>G394+G403</f>
        <v>12982813</v>
      </c>
      <c r="H393" s="267">
        <f>H394+H403</f>
        <v>12527275</v>
      </c>
      <c r="I393" s="267">
        <f>I394+I403</f>
        <v>12642404</v>
      </c>
      <c r="J393" s="191"/>
    </row>
    <row r="394" spans="1:18" s="33" customFormat="1" ht="51">
      <c r="A394" s="82" t="s">
        <v>75</v>
      </c>
      <c r="B394" s="149">
        <v>763</v>
      </c>
      <c r="C394" s="84" t="s">
        <v>19</v>
      </c>
      <c r="D394" s="84" t="s">
        <v>54</v>
      </c>
      <c r="E394" s="84"/>
      <c r="F394" s="168"/>
      <c r="G394" s="87">
        <f>SUM(G395)</f>
        <v>12183285</v>
      </c>
      <c r="H394" s="87">
        <f>SUM(H395)</f>
        <v>12297275</v>
      </c>
      <c r="I394" s="87">
        <f>SUM(I395)</f>
        <v>12412404</v>
      </c>
      <c r="J394" s="177"/>
      <c r="K394" s="211"/>
      <c r="L394" s="211"/>
      <c r="M394" s="211"/>
      <c r="N394" s="211"/>
      <c r="O394" s="211"/>
      <c r="P394" s="211"/>
      <c r="Q394" s="211"/>
      <c r="R394" s="211"/>
    </row>
    <row r="395" spans="1:18" s="33" customFormat="1" ht="38.25">
      <c r="A395" s="82" t="s">
        <v>440</v>
      </c>
      <c r="B395" s="149">
        <v>763</v>
      </c>
      <c r="C395" s="84" t="s">
        <v>19</v>
      </c>
      <c r="D395" s="84" t="s">
        <v>54</v>
      </c>
      <c r="E395" s="84" t="s">
        <v>207</v>
      </c>
      <c r="F395" s="168"/>
      <c r="G395" s="87">
        <f>G396</f>
        <v>12183285</v>
      </c>
      <c r="H395" s="87">
        <f>H396</f>
        <v>12297275</v>
      </c>
      <c r="I395" s="87">
        <f>I396</f>
        <v>12412404</v>
      </c>
      <c r="J395" s="177"/>
      <c r="K395" s="211"/>
      <c r="L395" s="211"/>
      <c r="M395" s="211"/>
      <c r="N395" s="211"/>
      <c r="O395" s="211"/>
      <c r="P395" s="211"/>
      <c r="Q395" s="211"/>
      <c r="R395" s="211"/>
    </row>
    <row r="396" spans="1:18" s="33" customFormat="1" ht="25.5">
      <c r="A396" s="82" t="s">
        <v>76</v>
      </c>
      <c r="B396" s="149">
        <v>763</v>
      </c>
      <c r="C396" s="84" t="s">
        <v>19</v>
      </c>
      <c r="D396" s="84" t="s">
        <v>54</v>
      </c>
      <c r="E396" s="84" t="s">
        <v>208</v>
      </c>
      <c r="F396" s="168"/>
      <c r="G396" s="87">
        <f>SUM(G397+G399+G402)</f>
        <v>12183285</v>
      </c>
      <c r="H396" s="87">
        <f>SUM(H397+H399+H402)</f>
        <v>12297275</v>
      </c>
      <c r="I396" s="87">
        <f>SUM(I397+I399+I402)</f>
        <v>12412404</v>
      </c>
      <c r="J396" s="177"/>
      <c r="K396" s="211"/>
      <c r="L396" s="211"/>
      <c r="M396" s="211"/>
      <c r="N396" s="211"/>
      <c r="O396" s="211"/>
      <c r="P396" s="211"/>
      <c r="Q396" s="211"/>
      <c r="R396" s="211"/>
    </row>
    <row r="397" spans="1:18" ht="63.75">
      <c r="A397" s="82" t="s">
        <v>55</v>
      </c>
      <c r="B397" s="149">
        <v>763</v>
      </c>
      <c r="C397" s="84" t="s">
        <v>19</v>
      </c>
      <c r="D397" s="84" t="s">
        <v>54</v>
      </c>
      <c r="E397" s="84" t="s">
        <v>208</v>
      </c>
      <c r="F397" s="84" t="s">
        <v>58</v>
      </c>
      <c r="G397" s="87">
        <f>SUM(G398)</f>
        <v>11480921</v>
      </c>
      <c r="H397" s="87">
        <f>SUM(H398)</f>
        <v>11598911</v>
      </c>
      <c r="I397" s="87">
        <f>SUM(I398)</f>
        <v>11714040</v>
      </c>
      <c r="J397" s="177"/>
    </row>
    <row r="398" spans="1:18" ht="25.5">
      <c r="A398" s="82" t="s">
        <v>56</v>
      </c>
      <c r="B398" s="149">
        <v>763</v>
      </c>
      <c r="C398" s="84" t="s">
        <v>19</v>
      </c>
      <c r="D398" s="84" t="s">
        <v>54</v>
      </c>
      <c r="E398" s="84" t="s">
        <v>208</v>
      </c>
      <c r="F398" s="84" t="s">
        <v>59</v>
      </c>
      <c r="G398" s="87">
        <f>10077748+1403173</f>
        <v>11480921</v>
      </c>
      <c r="H398" s="87">
        <f>10181707+1417204</f>
        <v>11598911</v>
      </c>
      <c r="I398" s="87">
        <f>10282664+1431376</f>
        <v>11714040</v>
      </c>
      <c r="J398" s="177"/>
    </row>
    <row r="399" spans="1:18" ht="25.5">
      <c r="A399" s="82" t="s">
        <v>36</v>
      </c>
      <c r="B399" s="149">
        <v>763</v>
      </c>
      <c r="C399" s="84" t="s">
        <v>19</v>
      </c>
      <c r="D399" s="84" t="s">
        <v>54</v>
      </c>
      <c r="E399" s="84" t="s">
        <v>208</v>
      </c>
      <c r="F399" s="84" t="s">
        <v>37</v>
      </c>
      <c r="G399" s="87">
        <f>SUM(G400)</f>
        <v>678999</v>
      </c>
      <c r="H399" s="87">
        <f>SUM(H400)</f>
        <v>680364</v>
      </c>
      <c r="I399" s="87">
        <f>SUM(I400)</f>
        <v>680364</v>
      </c>
      <c r="J399" s="177"/>
    </row>
    <row r="400" spans="1:18" ht="25.5">
      <c r="A400" s="82" t="s">
        <v>38</v>
      </c>
      <c r="B400" s="149">
        <v>763</v>
      </c>
      <c r="C400" s="84" t="s">
        <v>19</v>
      </c>
      <c r="D400" s="84" t="s">
        <v>54</v>
      </c>
      <c r="E400" s="84" t="s">
        <v>208</v>
      </c>
      <c r="F400" s="84" t="s">
        <v>39</v>
      </c>
      <c r="G400" s="87">
        <v>678999</v>
      </c>
      <c r="H400" s="87">
        <f>582364+98000</f>
        <v>680364</v>
      </c>
      <c r="I400" s="87">
        <f>582364+98000</f>
        <v>680364</v>
      </c>
      <c r="J400" s="177"/>
    </row>
    <row r="401" spans="1:16" ht="19.5" customHeight="1">
      <c r="A401" s="136" t="s">
        <v>63</v>
      </c>
      <c r="B401" s="149">
        <v>763</v>
      </c>
      <c r="C401" s="84" t="s">
        <v>19</v>
      </c>
      <c r="D401" s="84" t="s">
        <v>54</v>
      </c>
      <c r="E401" s="84" t="s">
        <v>208</v>
      </c>
      <c r="F401" s="84" t="s">
        <v>64</v>
      </c>
      <c r="G401" s="87">
        <f>G402</f>
        <v>23365</v>
      </c>
      <c r="H401" s="87">
        <f>H402</f>
        <v>18000</v>
      </c>
      <c r="I401" s="87">
        <f>I402</f>
        <v>18000</v>
      </c>
      <c r="J401" s="177"/>
    </row>
    <row r="402" spans="1:16" ht="16.5" customHeight="1">
      <c r="A402" s="136" t="s">
        <v>144</v>
      </c>
      <c r="B402" s="149">
        <v>763</v>
      </c>
      <c r="C402" s="84" t="s">
        <v>19</v>
      </c>
      <c r="D402" s="84" t="s">
        <v>54</v>
      </c>
      <c r="E402" s="84" t="s">
        <v>208</v>
      </c>
      <c r="F402" s="84" t="s">
        <v>67</v>
      </c>
      <c r="G402" s="87">
        <v>23365</v>
      </c>
      <c r="H402" s="87">
        <v>18000</v>
      </c>
      <c r="I402" s="87">
        <v>18000</v>
      </c>
      <c r="J402" s="177"/>
    </row>
    <row r="403" spans="1:16" ht="18.75" customHeight="1">
      <c r="A403" s="137" t="s">
        <v>22</v>
      </c>
      <c r="B403" s="149">
        <v>763</v>
      </c>
      <c r="C403" s="84" t="s">
        <v>19</v>
      </c>
      <c r="D403" s="84" t="s">
        <v>23</v>
      </c>
      <c r="E403" s="84"/>
      <c r="F403" s="84"/>
      <c r="G403" s="87">
        <f>G404+G410</f>
        <v>799528</v>
      </c>
      <c r="H403" s="87">
        <f>H404</f>
        <v>230000</v>
      </c>
      <c r="I403" s="87">
        <f>I404</f>
        <v>230000</v>
      </c>
      <c r="J403" s="177"/>
    </row>
    <row r="404" spans="1:16" ht="39.75" customHeight="1">
      <c r="A404" s="82" t="s">
        <v>440</v>
      </c>
      <c r="B404" s="149">
        <v>763</v>
      </c>
      <c r="C404" s="84" t="s">
        <v>19</v>
      </c>
      <c r="D404" s="84" t="s">
        <v>23</v>
      </c>
      <c r="E404" s="84" t="s">
        <v>207</v>
      </c>
      <c r="F404" s="84"/>
      <c r="G404" s="87">
        <f>G405</f>
        <v>569000</v>
      </c>
      <c r="H404" s="87">
        <f t="shared" ref="H404:I404" si="94">H405</f>
        <v>230000</v>
      </c>
      <c r="I404" s="87">
        <f t="shared" si="94"/>
        <v>230000</v>
      </c>
      <c r="J404" s="177"/>
    </row>
    <row r="405" spans="1:16" ht="41.25" customHeight="1">
      <c r="A405" s="82" t="s">
        <v>838</v>
      </c>
      <c r="B405" s="149">
        <v>763</v>
      </c>
      <c r="C405" s="84" t="s">
        <v>19</v>
      </c>
      <c r="D405" s="84" t="s">
        <v>23</v>
      </c>
      <c r="E405" s="84" t="s">
        <v>209</v>
      </c>
      <c r="F405" s="84"/>
      <c r="G405" s="87">
        <f>G406+G408</f>
        <v>569000</v>
      </c>
      <c r="H405" s="87">
        <f t="shared" ref="H405:I405" si="95">H406+H408</f>
        <v>230000</v>
      </c>
      <c r="I405" s="87">
        <f t="shared" si="95"/>
        <v>230000</v>
      </c>
      <c r="J405" s="177"/>
      <c r="P405" s="224"/>
    </row>
    <row r="406" spans="1:16" ht="27.75" customHeight="1">
      <c r="A406" s="82" t="s">
        <v>36</v>
      </c>
      <c r="B406" s="149">
        <v>763</v>
      </c>
      <c r="C406" s="84" t="s">
        <v>19</v>
      </c>
      <c r="D406" s="84" t="s">
        <v>23</v>
      </c>
      <c r="E406" s="84" t="s">
        <v>209</v>
      </c>
      <c r="F406" s="84" t="s">
        <v>37</v>
      </c>
      <c r="G406" s="87">
        <f t="shared" ref="G406:I406" si="96">G407</f>
        <v>559600</v>
      </c>
      <c r="H406" s="87">
        <f t="shared" si="96"/>
        <v>230000</v>
      </c>
      <c r="I406" s="87">
        <f t="shared" si="96"/>
        <v>230000</v>
      </c>
      <c r="J406" s="177"/>
    </row>
    <row r="407" spans="1:16" ht="28.5" customHeight="1">
      <c r="A407" s="82" t="s">
        <v>38</v>
      </c>
      <c r="B407" s="149">
        <v>763</v>
      </c>
      <c r="C407" s="84" t="s">
        <v>19</v>
      </c>
      <c r="D407" s="84" t="s">
        <v>23</v>
      </c>
      <c r="E407" s="84" t="s">
        <v>209</v>
      </c>
      <c r="F407" s="84" t="s">
        <v>39</v>
      </c>
      <c r="G407" s="87">
        <f>150000+1230000-1150000-9400+95000+14000+230000</f>
        <v>559600</v>
      </c>
      <c r="H407" s="87">
        <f t="shared" ref="H407:I407" si="97">150000+1230000-1150000</f>
        <v>230000</v>
      </c>
      <c r="I407" s="87">
        <f t="shared" si="97"/>
        <v>230000</v>
      </c>
      <c r="J407" s="177"/>
    </row>
    <row r="408" spans="1:16">
      <c r="A408" s="82" t="s">
        <v>63</v>
      </c>
      <c r="B408" s="149">
        <v>763</v>
      </c>
      <c r="C408" s="84" t="s">
        <v>19</v>
      </c>
      <c r="D408" s="84" t="s">
        <v>23</v>
      </c>
      <c r="E408" s="84" t="s">
        <v>209</v>
      </c>
      <c r="F408" s="84" t="s">
        <v>64</v>
      </c>
      <c r="G408" s="87">
        <f>G409</f>
        <v>9400</v>
      </c>
      <c r="H408" s="87">
        <v>0</v>
      </c>
      <c r="I408" s="87">
        <v>0</v>
      </c>
      <c r="J408" s="177"/>
      <c r="K408" s="209"/>
    </row>
    <row r="409" spans="1:16" ht="15" customHeight="1">
      <c r="A409" s="82" t="s">
        <v>144</v>
      </c>
      <c r="B409" s="149">
        <v>763</v>
      </c>
      <c r="C409" s="84" t="s">
        <v>19</v>
      </c>
      <c r="D409" s="84" t="s">
        <v>23</v>
      </c>
      <c r="E409" s="84" t="s">
        <v>209</v>
      </c>
      <c r="F409" s="84" t="s">
        <v>67</v>
      </c>
      <c r="G409" s="87">
        <f>9400</f>
        <v>9400</v>
      </c>
      <c r="H409" s="87">
        <v>0</v>
      </c>
      <c r="I409" s="87">
        <v>0</v>
      </c>
      <c r="J409" s="177"/>
      <c r="K409" s="209"/>
    </row>
    <row r="410" spans="1:16" ht="28.5" customHeight="1">
      <c r="A410" s="82" t="s">
        <v>169</v>
      </c>
      <c r="B410" s="149">
        <v>763</v>
      </c>
      <c r="C410" s="84" t="s">
        <v>19</v>
      </c>
      <c r="D410" s="84" t="s">
        <v>23</v>
      </c>
      <c r="E410" s="84" t="s">
        <v>1077</v>
      </c>
      <c r="F410" s="84"/>
      <c r="G410" s="87">
        <f>G411</f>
        <v>230528</v>
      </c>
      <c r="H410" s="87">
        <f t="shared" ref="H410:I410" si="98">H411</f>
        <v>0</v>
      </c>
      <c r="I410" s="87">
        <f t="shared" si="98"/>
        <v>0</v>
      </c>
      <c r="J410" s="177"/>
    </row>
    <row r="411" spans="1:16" ht="28.5" customHeight="1">
      <c r="A411" s="82" t="s">
        <v>169</v>
      </c>
      <c r="B411" s="149">
        <v>763</v>
      </c>
      <c r="C411" s="84" t="s">
        <v>19</v>
      </c>
      <c r="D411" s="84" t="s">
        <v>23</v>
      </c>
      <c r="E411" s="84" t="s">
        <v>275</v>
      </c>
      <c r="F411" s="84"/>
      <c r="G411" s="87">
        <f>G412</f>
        <v>230528</v>
      </c>
      <c r="H411" s="87"/>
      <c r="I411" s="87"/>
      <c r="J411" s="177"/>
    </row>
    <row r="412" spans="1:16" ht="27.75" customHeight="1">
      <c r="A412" s="82" t="s">
        <v>36</v>
      </c>
      <c r="B412" s="149">
        <v>763</v>
      </c>
      <c r="C412" s="84" t="s">
        <v>19</v>
      </c>
      <c r="D412" s="84" t="s">
        <v>23</v>
      </c>
      <c r="E412" s="84" t="s">
        <v>275</v>
      </c>
      <c r="F412" s="84" t="s">
        <v>37</v>
      </c>
      <c r="G412" s="87">
        <f t="shared" ref="G412:I412" si="99">G413</f>
        <v>230528</v>
      </c>
      <c r="H412" s="87">
        <f t="shared" si="99"/>
        <v>0</v>
      </c>
      <c r="I412" s="87">
        <f t="shared" si="99"/>
        <v>0</v>
      </c>
      <c r="J412" s="177"/>
    </row>
    <row r="413" spans="1:16" ht="28.5" customHeight="1">
      <c r="A413" s="82" t="s">
        <v>38</v>
      </c>
      <c r="B413" s="149">
        <v>763</v>
      </c>
      <c r="C413" s="84" t="s">
        <v>19</v>
      </c>
      <c r="D413" s="84" t="s">
        <v>23</v>
      </c>
      <c r="E413" s="84" t="s">
        <v>275</v>
      </c>
      <c r="F413" s="84" t="s">
        <v>39</v>
      </c>
      <c r="G413" s="87">
        <v>230528</v>
      </c>
      <c r="H413" s="87"/>
      <c r="I413" s="87"/>
      <c r="J413" s="177"/>
    </row>
    <row r="414" spans="1:16">
      <c r="A414" s="268" t="s">
        <v>86</v>
      </c>
      <c r="B414" s="269">
        <v>763</v>
      </c>
      <c r="C414" s="270" t="s">
        <v>54</v>
      </c>
      <c r="D414" s="270"/>
      <c r="E414" s="270"/>
      <c r="F414" s="270"/>
      <c r="G414" s="267">
        <f>SUM(G420)+G415</f>
        <v>1346000</v>
      </c>
      <c r="H414" s="267">
        <f>SUM(H420)</f>
        <v>560000</v>
      </c>
      <c r="I414" s="267">
        <f>SUM(I420)</f>
        <v>560000</v>
      </c>
      <c r="J414" s="191"/>
    </row>
    <row r="415" spans="1:16" hidden="1">
      <c r="A415" s="278" t="s">
        <v>790</v>
      </c>
      <c r="B415" s="149">
        <v>763</v>
      </c>
      <c r="C415" s="147" t="s">
        <v>54</v>
      </c>
      <c r="D415" s="147" t="s">
        <v>173</v>
      </c>
      <c r="E415" s="270"/>
      <c r="F415" s="270"/>
      <c r="G415" s="93">
        <f>G417</f>
        <v>0</v>
      </c>
      <c r="H415" s="93">
        <f t="shared" ref="H415:I415" si="100">H417</f>
        <v>0</v>
      </c>
      <c r="I415" s="93">
        <f t="shared" si="100"/>
        <v>0</v>
      </c>
      <c r="J415" s="195"/>
    </row>
    <row r="416" spans="1:16" ht="53.25" hidden="1" customHeight="1">
      <c r="A416" s="82" t="s">
        <v>440</v>
      </c>
      <c r="B416" s="149">
        <v>763</v>
      </c>
      <c r="C416" s="84" t="s">
        <v>54</v>
      </c>
      <c r="D416" s="84" t="s">
        <v>173</v>
      </c>
      <c r="E416" s="149" t="s">
        <v>207</v>
      </c>
      <c r="F416" s="149"/>
      <c r="G416" s="87">
        <f>G417</f>
        <v>0</v>
      </c>
      <c r="H416" s="87">
        <f t="shared" ref="H416:I416" si="101">H417</f>
        <v>0</v>
      </c>
      <c r="I416" s="87">
        <f t="shared" si="101"/>
        <v>0</v>
      </c>
      <c r="J416" s="177"/>
    </row>
    <row r="417" spans="1:10" ht="40.5" hidden="1" customHeight="1">
      <c r="A417" s="82" t="s">
        <v>789</v>
      </c>
      <c r="B417" s="149">
        <v>763</v>
      </c>
      <c r="C417" s="84" t="s">
        <v>54</v>
      </c>
      <c r="D417" s="84" t="s">
        <v>173</v>
      </c>
      <c r="E417" s="149" t="s">
        <v>800</v>
      </c>
      <c r="F417" s="149"/>
      <c r="G417" s="87">
        <f>G418</f>
        <v>0</v>
      </c>
      <c r="H417" s="87">
        <f>H419</f>
        <v>0</v>
      </c>
      <c r="I417" s="87">
        <f>I419</f>
        <v>0</v>
      </c>
      <c r="J417" s="177"/>
    </row>
    <row r="418" spans="1:10" ht="25.5" hidden="1">
      <c r="A418" s="82" t="s">
        <v>36</v>
      </c>
      <c r="B418" s="149">
        <v>763</v>
      </c>
      <c r="C418" s="84" t="s">
        <v>54</v>
      </c>
      <c r="D418" s="84" t="s">
        <v>173</v>
      </c>
      <c r="E418" s="149" t="s">
        <v>800</v>
      </c>
      <c r="F418" s="149">
        <v>200</v>
      </c>
      <c r="G418" s="87">
        <f t="shared" ref="G418:I418" si="102">G419</f>
        <v>0</v>
      </c>
      <c r="H418" s="87">
        <f t="shared" si="102"/>
        <v>0</v>
      </c>
      <c r="I418" s="87">
        <f t="shared" si="102"/>
        <v>0</v>
      </c>
      <c r="J418" s="177"/>
    </row>
    <row r="419" spans="1:10" ht="48" hidden="1" customHeight="1">
      <c r="A419" s="82" t="s">
        <v>38</v>
      </c>
      <c r="B419" s="149">
        <v>763</v>
      </c>
      <c r="C419" s="84" t="s">
        <v>54</v>
      </c>
      <c r="D419" s="84" t="s">
        <v>173</v>
      </c>
      <c r="E419" s="149" t="s">
        <v>800</v>
      </c>
      <c r="F419" s="149">
        <v>240</v>
      </c>
      <c r="G419" s="87"/>
      <c r="H419" s="85"/>
      <c r="I419" s="85"/>
      <c r="J419" s="178"/>
    </row>
    <row r="420" spans="1:10">
      <c r="A420" s="82" t="s">
        <v>87</v>
      </c>
      <c r="B420" s="149">
        <v>763</v>
      </c>
      <c r="C420" s="84" t="s">
        <v>54</v>
      </c>
      <c r="D420" s="84" t="s">
        <v>88</v>
      </c>
      <c r="E420" s="84"/>
      <c r="F420" s="84"/>
      <c r="G420" s="87">
        <f>G421</f>
        <v>1346000</v>
      </c>
      <c r="H420" s="87">
        <f>H421</f>
        <v>560000</v>
      </c>
      <c r="I420" s="87">
        <f>I421</f>
        <v>560000</v>
      </c>
      <c r="J420" s="177"/>
    </row>
    <row r="421" spans="1:10" ht="38.25">
      <c r="A421" s="82" t="s">
        <v>440</v>
      </c>
      <c r="B421" s="149">
        <v>763</v>
      </c>
      <c r="C421" s="84" t="s">
        <v>54</v>
      </c>
      <c r="D421" s="84" t="s">
        <v>88</v>
      </c>
      <c r="E421" s="84" t="s">
        <v>207</v>
      </c>
      <c r="F421" s="84"/>
      <c r="G421" s="87">
        <f>G422+G425+G428+G431++G434+G437+G440+G443+G446</f>
        <v>1346000</v>
      </c>
      <c r="H421" s="87">
        <f>H422+H425+H437+H440</f>
        <v>560000</v>
      </c>
      <c r="I421" s="87">
        <f>I422+I425+I437</f>
        <v>560000</v>
      </c>
      <c r="J421" s="177"/>
    </row>
    <row r="422" spans="1:10" ht="116.25" customHeight="1">
      <c r="A422" s="82" t="s">
        <v>279</v>
      </c>
      <c r="B422" s="149">
        <v>763</v>
      </c>
      <c r="C422" s="84" t="s">
        <v>54</v>
      </c>
      <c r="D422" s="84" t="s">
        <v>88</v>
      </c>
      <c r="E422" s="84" t="s">
        <v>212</v>
      </c>
      <c r="F422" s="84"/>
      <c r="G422" s="87">
        <f>G423</f>
        <v>1076000</v>
      </c>
      <c r="H422" s="87">
        <f t="shared" ref="H422:I422" si="103">H423</f>
        <v>225000</v>
      </c>
      <c r="I422" s="87">
        <f t="shared" si="103"/>
        <v>250000</v>
      </c>
      <c r="J422" s="177"/>
    </row>
    <row r="423" spans="1:10" ht="25.5">
      <c r="A423" s="82" t="s">
        <v>36</v>
      </c>
      <c r="B423" s="149">
        <v>763</v>
      </c>
      <c r="C423" s="84" t="s">
        <v>54</v>
      </c>
      <c r="D423" s="84" t="s">
        <v>88</v>
      </c>
      <c r="E423" s="84" t="s">
        <v>212</v>
      </c>
      <c r="F423" s="84" t="s">
        <v>37</v>
      </c>
      <c r="G423" s="87">
        <f>SUM(G424)</f>
        <v>1076000</v>
      </c>
      <c r="H423" s="87">
        <f>SUM(H424)</f>
        <v>225000</v>
      </c>
      <c r="I423" s="87">
        <f>SUM(I424)</f>
        <v>250000</v>
      </c>
      <c r="J423" s="177"/>
    </row>
    <row r="424" spans="1:10" ht="30.75" customHeight="1">
      <c r="A424" s="82" t="s">
        <v>38</v>
      </c>
      <c r="B424" s="149">
        <v>763</v>
      </c>
      <c r="C424" s="84" t="s">
        <v>54</v>
      </c>
      <c r="D424" s="84" t="s">
        <v>88</v>
      </c>
      <c r="E424" s="84" t="s">
        <v>212</v>
      </c>
      <c r="F424" s="84" t="s">
        <v>39</v>
      </c>
      <c r="G424" s="87">
        <f>250000+800000+26000</f>
        <v>1076000</v>
      </c>
      <c r="H424" s="87">
        <f>250000-25000</f>
        <v>225000</v>
      </c>
      <c r="I424" s="87">
        <v>250000</v>
      </c>
      <c r="J424" s="177"/>
    </row>
    <row r="425" spans="1:10" ht="107.25" customHeight="1">
      <c r="A425" s="136" t="s">
        <v>644</v>
      </c>
      <c r="B425" s="149">
        <v>763</v>
      </c>
      <c r="C425" s="84" t="s">
        <v>54</v>
      </c>
      <c r="D425" s="84" t="s">
        <v>88</v>
      </c>
      <c r="E425" s="84" t="s">
        <v>213</v>
      </c>
      <c r="F425" s="84"/>
      <c r="G425" s="87">
        <f>G426</f>
        <v>270000</v>
      </c>
      <c r="H425" s="87">
        <f t="shared" ref="H425:I425" si="104">H426</f>
        <v>241000</v>
      </c>
      <c r="I425" s="87">
        <f t="shared" si="104"/>
        <v>270000</v>
      </c>
      <c r="J425" s="177"/>
    </row>
    <row r="426" spans="1:10" ht="25.5">
      <c r="A426" s="82" t="s">
        <v>36</v>
      </c>
      <c r="B426" s="149">
        <v>763</v>
      </c>
      <c r="C426" s="84" t="s">
        <v>54</v>
      </c>
      <c r="D426" s="84" t="s">
        <v>88</v>
      </c>
      <c r="E426" s="84" t="s">
        <v>213</v>
      </c>
      <c r="F426" s="84" t="s">
        <v>37</v>
      </c>
      <c r="G426" s="87">
        <f>SUM(G427)</f>
        <v>270000</v>
      </c>
      <c r="H426" s="87">
        <f>SUM(H427)</f>
        <v>241000</v>
      </c>
      <c r="I426" s="87">
        <f>SUM(I427)</f>
        <v>270000</v>
      </c>
      <c r="J426" s="177"/>
    </row>
    <row r="427" spans="1:10" ht="25.5" customHeight="1">
      <c r="A427" s="82" t="s">
        <v>38</v>
      </c>
      <c r="B427" s="149">
        <v>763</v>
      </c>
      <c r="C427" s="84" t="s">
        <v>54</v>
      </c>
      <c r="D427" s="84" t="s">
        <v>88</v>
      </c>
      <c r="E427" s="84" t="s">
        <v>213</v>
      </c>
      <c r="F427" s="84" t="s">
        <v>39</v>
      </c>
      <c r="G427" s="87">
        <v>270000</v>
      </c>
      <c r="H427" s="87">
        <f>270000-29000</f>
        <v>241000</v>
      </c>
      <c r="I427" s="87">
        <v>270000</v>
      </c>
      <c r="J427" s="177"/>
    </row>
    <row r="428" spans="1:10" ht="78" hidden="1" customHeight="1">
      <c r="A428" s="136" t="s">
        <v>597</v>
      </c>
      <c r="B428" s="149">
        <v>763</v>
      </c>
      <c r="C428" s="84" t="s">
        <v>54</v>
      </c>
      <c r="D428" s="84" t="s">
        <v>88</v>
      </c>
      <c r="E428" s="84" t="s">
        <v>565</v>
      </c>
      <c r="F428" s="84"/>
      <c r="G428" s="87">
        <f>G429</f>
        <v>0</v>
      </c>
      <c r="H428" s="87">
        <v>0</v>
      </c>
      <c r="I428" s="87">
        <v>0</v>
      </c>
      <c r="J428" s="177"/>
    </row>
    <row r="429" spans="1:10" ht="25.5" hidden="1">
      <c r="A429" s="82" t="s">
        <v>36</v>
      </c>
      <c r="B429" s="149">
        <v>763</v>
      </c>
      <c r="C429" s="84" t="s">
        <v>54</v>
      </c>
      <c r="D429" s="84" t="s">
        <v>88</v>
      </c>
      <c r="E429" s="84" t="s">
        <v>565</v>
      </c>
      <c r="F429" s="84" t="s">
        <v>37</v>
      </c>
      <c r="G429" s="87">
        <f>SUM(G430)</f>
        <v>0</v>
      </c>
      <c r="H429" s="87">
        <f>SUM(H430)</f>
        <v>0</v>
      </c>
      <c r="I429" s="87">
        <f>SUM(I430)</f>
        <v>0</v>
      </c>
      <c r="J429" s="177"/>
    </row>
    <row r="430" spans="1:10" ht="25.5" hidden="1" customHeight="1">
      <c r="A430" s="82" t="s">
        <v>38</v>
      </c>
      <c r="B430" s="149">
        <v>763</v>
      </c>
      <c r="C430" s="84" t="s">
        <v>54</v>
      </c>
      <c r="D430" s="84" t="s">
        <v>88</v>
      </c>
      <c r="E430" s="84" t="s">
        <v>565</v>
      </c>
      <c r="F430" s="84" t="s">
        <v>39</v>
      </c>
      <c r="G430" s="87"/>
      <c r="H430" s="87">
        <v>0</v>
      </c>
      <c r="I430" s="87">
        <v>0</v>
      </c>
      <c r="J430" s="177"/>
    </row>
    <row r="431" spans="1:10" ht="23.25" hidden="1" customHeight="1">
      <c r="A431" s="279" t="s">
        <v>567</v>
      </c>
      <c r="B431" s="149">
        <v>763</v>
      </c>
      <c r="C431" s="84" t="s">
        <v>54</v>
      </c>
      <c r="D431" s="84" t="s">
        <v>88</v>
      </c>
      <c r="E431" s="84" t="s">
        <v>566</v>
      </c>
      <c r="F431" s="84"/>
      <c r="G431" s="87">
        <f>G432</f>
        <v>0</v>
      </c>
      <c r="H431" s="87">
        <v>0</v>
      </c>
      <c r="I431" s="87">
        <v>0</v>
      </c>
      <c r="J431" s="177"/>
    </row>
    <row r="432" spans="1:10" ht="25.5" hidden="1">
      <c r="A432" s="82" t="s">
        <v>36</v>
      </c>
      <c r="B432" s="149">
        <v>763</v>
      </c>
      <c r="C432" s="84" t="s">
        <v>54</v>
      </c>
      <c r="D432" s="84" t="s">
        <v>88</v>
      </c>
      <c r="E432" s="84" t="s">
        <v>566</v>
      </c>
      <c r="F432" s="84" t="s">
        <v>37</v>
      </c>
      <c r="G432" s="87">
        <f>SUM(G433)</f>
        <v>0</v>
      </c>
      <c r="H432" s="87">
        <f>SUM(H433)</f>
        <v>0</v>
      </c>
      <c r="I432" s="87">
        <f>SUM(I433)</f>
        <v>0</v>
      </c>
      <c r="J432" s="177"/>
    </row>
    <row r="433" spans="1:10" ht="25.5" hidden="1" customHeight="1">
      <c r="A433" s="82" t="s">
        <v>38</v>
      </c>
      <c r="B433" s="149">
        <v>763</v>
      </c>
      <c r="C433" s="84" t="s">
        <v>54</v>
      </c>
      <c r="D433" s="84" t="s">
        <v>88</v>
      </c>
      <c r="E433" s="84" t="s">
        <v>566</v>
      </c>
      <c r="F433" s="84" t="s">
        <v>39</v>
      </c>
      <c r="G433" s="87"/>
      <c r="H433" s="87">
        <v>0</v>
      </c>
      <c r="I433" s="87">
        <v>0</v>
      </c>
      <c r="J433" s="177"/>
    </row>
    <row r="434" spans="1:10" ht="23.25" hidden="1" customHeight="1">
      <c r="A434" s="279" t="s">
        <v>569</v>
      </c>
      <c r="B434" s="149">
        <v>763</v>
      </c>
      <c r="C434" s="84" t="s">
        <v>54</v>
      </c>
      <c r="D434" s="84" t="s">
        <v>88</v>
      </c>
      <c r="E434" s="84" t="s">
        <v>568</v>
      </c>
      <c r="F434" s="84"/>
      <c r="G434" s="87">
        <f>G435</f>
        <v>0</v>
      </c>
      <c r="H434" s="87">
        <v>0</v>
      </c>
      <c r="I434" s="87">
        <v>0</v>
      </c>
      <c r="J434" s="177"/>
    </row>
    <row r="435" spans="1:10" ht="25.5" hidden="1">
      <c r="A435" s="82" t="s">
        <v>36</v>
      </c>
      <c r="B435" s="149">
        <v>763</v>
      </c>
      <c r="C435" s="84" t="s">
        <v>54</v>
      </c>
      <c r="D435" s="84" t="s">
        <v>88</v>
      </c>
      <c r="E435" s="84" t="s">
        <v>568</v>
      </c>
      <c r="F435" s="84" t="s">
        <v>37</v>
      </c>
      <c r="G435" s="87">
        <f>SUM(G436)</f>
        <v>0</v>
      </c>
      <c r="H435" s="87">
        <f>SUM(H436)</f>
        <v>0</v>
      </c>
      <c r="I435" s="87">
        <f>SUM(I436)</f>
        <v>0</v>
      </c>
      <c r="J435" s="177"/>
    </row>
    <row r="436" spans="1:10" ht="25.5" hidden="1" customHeight="1">
      <c r="A436" s="82" t="s">
        <v>38</v>
      </c>
      <c r="B436" s="149">
        <v>763</v>
      </c>
      <c r="C436" s="84" t="s">
        <v>54</v>
      </c>
      <c r="D436" s="84" t="s">
        <v>88</v>
      </c>
      <c r="E436" s="84" t="s">
        <v>568</v>
      </c>
      <c r="F436" s="84" t="s">
        <v>39</v>
      </c>
      <c r="G436" s="87"/>
      <c r="H436" s="87">
        <v>0</v>
      </c>
      <c r="I436" s="87">
        <v>0</v>
      </c>
      <c r="J436" s="177"/>
    </row>
    <row r="437" spans="1:10" ht="34.5" customHeight="1">
      <c r="A437" s="82" t="s">
        <v>583</v>
      </c>
      <c r="B437" s="149">
        <v>763</v>
      </c>
      <c r="C437" s="84" t="s">
        <v>54</v>
      </c>
      <c r="D437" s="84" t="s">
        <v>88</v>
      </c>
      <c r="E437" s="84" t="s">
        <v>582</v>
      </c>
      <c r="F437" s="84"/>
      <c r="G437" s="87">
        <f>G438</f>
        <v>0</v>
      </c>
      <c r="H437" s="87">
        <f>SUM(H438)</f>
        <v>40000</v>
      </c>
      <c r="I437" s="87">
        <f>SUM(I438)</f>
        <v>40000</v>
      </c>
      <c r="J437" s="177"/>
    </row>
    <row r="438" spans="1:10" ht="25.5">
      <c r="A438" s="82" t="s">
        <v>36</v>
      </c>
      <c r="B438" s="149">
        <v>763</v>
      </c>
      <c r="C438" s="84" t="s">
        <v>54</v>
      </c>
      <c r="D438" s="84" t="s">
        <v>88</v>
      </c>
      <c r="E438" s="84" t="s">
        <v>582</v>
      </c>
      <c r="F438" s="84" t="s">
        <v>37</v>
      </c>
      <c r="G438" s="87">
        <f>SUM(G439)</f>
        <v>0</v>
      </c>
      <c r="H438" s="87">
        <f>SUM(H439)</f>
        <v>40000</v>
      </c>
      <c r="I438" s="87">
        <f>SUM(I439)</f>
        <v>40000</v>
      </c>
      <c r="J438" s="177"/>
    </row>
    <row r="439" spans="1:10" ht="30.75" customHeight="1">
      <c r="A439" s="82" t="s">
        <v>38</v>
      </c>
      <c r="B439" s="149">
        <v>763</v>
      </c>
      <c r="C439" s="84" t="s">
        <v>54</v>
      </c>
      <c r="D439" s="84" t="s">
        <v>88</v>
      </c>
      <c r="E439" s="84" t="s">
        <v>582</v>
      </c>
      <c r="F439" s="84" t="s">
        <v>39</v>
      </c>
      <c r="G439" s="87">
        <f>40000-40000</f>
        <v>0</v>
      </c>
      <c r="H439" s="87">
        <v>40000</v>
      </c>
      <c r="I439" s="87">
        <v>40000</v>
      </c>
      <c r="J439" s="177"/>
    </row>
    <row r="440" spans="1:10" ht="34.5" customHeight="1">
      <c r="A440" s="82" t="s">
        <v>792</v>
      </c>
      <c r="B440" s="149">
        <v>763</v>
      </c>
      <c r="C440" s="84" t="s">
        <v>54</v>
      </c>
      <c r="D440" s="84" t="s">
        <v>88</v>
      </c>
      <c r="E440" s="84" t="s">
        <v>791</v>
      </c>
      <c r="F440" s="84"/>
      <c r="G440" s="87">
        <f>G441</f>
        <v>0</v>
      </c>
      <c r="H440" s="87">
        <f>SUM(H441)</f>
        <v>54000</v>
      </c>
      <c r="I440" s="87">
        <f>SUM(I441)</f>
        <v>0</v>
      </c>
      <c r="J440" s="177"/>
    </row>
    <row r="441" spans="1:10" ht="25.5">
      <c r="A441" s="82" t="s">
        <v>36</v>
      </c>
      <c r="B441" s="149">
        <v>763</v>
      </c>
      <c r="C441" s="84" t="s">
        <v>54</v>
      </c>
      <c r="D441" s="84" t="s">
        <v>88</v>
      </c>
      <c r="E441" s="84" t="s">
        <v>791</v>
      </c>
      <c r="F441" s="84" t="s">
        <v>37</v>
      </c>
      <c r="G441" s="87">
        <f>SUM(G442)</f>
        <v>0</v>
      </c>
      <c r="H441" s="87">
        <f>SUM(H442)</f>
        <v>54000</v>
      </c>
      <c r="I441" s="87">
        <f>SUM(I442)</f>
        <v>0</v>
      </c>
      <c r="J441" s="177"/>
    </row>
    <row r="442" spans="1:10" ht="30.75" customHeight="1">
      <c r="A442" s="82" t="s">
        <v>38</v>
      </c>
      <c r="B442" s="149">
        <v>763</v>
      </c>
      <c r="C442" s="84" t="s">
        <v>54</v>
      </c>
      <c r="D442" s="84" t="s">
        <v>88</v>
      </c>
      <c r="E442" s="84" t="s">
        <v>791</v>
      </c>
      <c r="F442" s="84" t="s">
        <v>39</v>
      </c>
      <c r="G442" s="87">
        <v>0</v>
      </c>
      <c r="H442" s="87">
        <v>54000</v>
      </c>
      <c r="I442" s="87">
        <v>0</v>
      </c>
      <c r="J442" s="177"/>
    </row>
    <row r="443" spans="1:10" ht="34.5" customHeight="1">
      <c r="A443" s="82" t="s">
        <v>802</v>
      </c>
      <c r="B443" s="149">
        <v>763</v>
      </c>
      <c r="C443" s="84" t="s">
        <v>54</v>
      </c>
      <c r="D443" s="84" t="s">
        <v>88</v>
      </c>
      <c r="E443" s="84" t="s">
        <v>801</v>
      </c>
      <c r="F443" s="84"/>
      <c r="G443" s="87">
        <f>G444</f>
        <v>0</v>
      </c>
      <c r="H443" s="87">
        <f>SUM(H444)</f>
        <v>0</v>
      </c>
      <c r="I443" s="87">
        <f>SUM(I444)</f>
        <v>0</v>
      </c>
      <c r="J443" s="177"/>
    </row>
    <row r="444" spans="1:10" ht="25.5">
      <c r="A444" s="82" t="s">
        <v>36</v>
      </c>
      <c r="B444" s="149">
        <v>763</v>
      </c>
      <c r="C444" s="84" t="s">
        <v>54</v>
      </c>
      <c r="D444" s="84" t="s">
        <v>88</v>
      </c>
      <c r="E444" s="84" t="s">
        <v>801</v>
      </c>
      <c r="F444" s="84" t="s">
        <v>37</v>
      </c>
      <c r="G444" s="87">
        <f>SUM(G445)</f>
        <v>0</v>
      </c>
      <c r="H444" s="87">
        <f>SUM(H445)</f>
        <v>0</v>
      </c>
      <c r="I444" s="87">
        <f>SUM(I445)</f>
        <v>0</v>
      </c>
      <c r="J444" s="177"/>
    </row>
    <row r="445" spans="1:10" ht="30.75" customHeight="1">
      <c r="A445" s="82" t="s">
        <v>38</v>
      </c>
      <c r="B445" s="149">
        <v>763</v>
      </c>
      <c r="C445" s="84" t="s">
        <v>54</v>
      </c>
      <c r="D445" s="84" t="s">
        <v>88</v>
      </c>
      <c r="E445" s="84" t="s">
        <v>801</v>
      </c>
      <c r="F445" s="84" t="s">
        <v>39</v>
      </c>
      <c r="G445" s="87"/>
      <c r="H445" s="87"/>
      <c r="I445" s="87"/>
      <c r="J445" s="177"/>
    </row>
    <row r="446" spans="1:10" ht="34.5" customHeight="1">
      <c r="A446" s="82" t="s">
        <v>805</v>
      </c>
      <c r="B446" s="149">
        <v>763</v>
      </c>
      <c r="C446" s="84" t="s">
        <v>54</v>
      </c>
      <c r="D446" s="84" t="s">
        <v>88</v>
      </c>
      <c r="E446" s="84" t="s">
        <v>804</v>
      </c>
      <c r="F446" s="84"/>
      <c r="G446" s="87">
        <f>G447</f>
        <v>0</v>
      </c>
      <c r="H446" s="87">
        <f>SUM(H447)</f>
        <v>0</v>
      </c>
      <c r="I446" s="87">
        <f>SUM(I447)</f>
        <v>0</v>
      </c>
      <c r="J446" s="177"/>
    </row>
    <row r="447" spans="1:10" ht="25.5">
      <c r="A447" s="82" t="s">
        <v>36</v>
      </c>
      <c r="B447" s="149">
        <v>763</v>
      </c>
      <c r="C447" s="84" t="s">
        <v>54</v>
      </c>
      <c r="D447" s="84" t="s">
        <v>88</v>
      </c>
      <c r="E447" s="84" t="s">
        <v>804</v>
      </c>
      <c r="F447" s="84" t="s">
        <v>37</v>
      </c>
      <c r="G447" s="87">
        <f>SUM(G448)</f>
        <v>0</v>
      </c>
      <c r="H447" s="87">
        <f>SUM(H448)</f>
        <v>0</v>
      </c>
      <c r="I447" s="87">
        <f>SUM(I448)</f>
        <v>0</v>
      </c>
      <c r="J447" s="177"/>
    </row>
    <row r="448" spans="1:10" ht="30.75" customHeight="1">
      <c r="A448" s="82" t="s">
        <v>38</v>
      </c>
      <c r="B448" s="149">
        <v>763</v>
      </c>
      <c r="C448" s="84" t="s">
        <v>54</v>
      </c>
      <c r="D448" s="84" t="s">
        <v>88</v>
      </c>
      <c r="E448" s="84" t="s">
        <v>804</v>
      </c>
      <c r="F448" s="84" t="s">
        <v>39</v>
      </c>
      <c r="G448" s="87"/>
      <c r="H448" s="87">
        <v>0</v>
      </c>
      <c r="I448" s="87">
        <v>0</v>
      </c>
      <c r="J448" s="177"/>
    </row>
    <row r="449" spans="1:18">
      <c r="A449" s="134" t="s">
        <v>346</v>
      </c>
      <c r="B449" s="155">
        <v>763</v>
      </c>
      <c r="C449" s="270" t="s">
        <v>173</v>
      </c>
      <c r="D449" s="270"/>
      <c r="E449" s="270"/>
      <c r="F449" s="270"/>
      <c r="G449" s="267">
        <f>G450</f>
        <v>3376000</v>
      </c>
      <c r="H449" s="267">
        <f t="shared" ref="H449:I449" si="105">H450</f>
        <v>2836000</v>
      </c>
      <c r="I449" s="267">
        <f t="shared" si="105"/>
        <v>2836000</v>
      </c>
      <c r="J449" s="191"/>
      <c r="P449" s="209"/>
      <c r="Q449" s="209"/>
    </row>
    <row r="450" spans="1:18">
      <c r="A450" s="132" t="s">
        <v>174</v>
      </c>
      <c r="B450" s="149">
        <v>763</v>
      </c>
      <c r="C450" s="153" t="s">
        <v>173</v>
      </c>
      <c r="D450" s="153" t="s">
        <v>19</v>
      </c>
      <c r="E450" s="270"/>
      <c r="F450" s="270"/>
      <c r="G450" s="94">
        <f>G451+G469+G459</f>
        <v>3376000</v>
      </c>
      <c r="H450" s="94">
        <f t="shared" ref="H450:I450" si="106">H451+H469</f>
        <v>2836000</v>
      </c>
      <c r="I450" s="94">
        <f t="shared" si="106"/>
        <v>2836000</v>
      </c>
      <c r="J450" s="194"/>
      <c r="K450" s="194"/>
      <c r="L450" s="194"/>
      <c r="M450" s="194"/>
      <c r="N450" s="194"/>
      <c r="O450" s="194"/>
    </row>
    <row r="451" spans="1:18" ht="51">
      <c r="A451" s="82" t="s">
        <v>494</v>
      </c>
      <c r="B451" s="149">
        <v>763</v>
      </c>
      <c r="C451" s="84" t="s">
        <v>173</v>
      </c>
      <c r="D451" s="84" t="s">
        <v>19</v>
      </c>
      <c r="E451" s="84" t="s">
        <v>295</v>
      </c>
      <c r="F451" s="84"/>
      <c r="G451" s="87">
        <f>G454+G458+G465+G468</f>
        <v>3373929.2</v>
      </c>
      <c r="H451" s="87">
        <f t="shared" ref="H451:I451" si="107">H454+H458+H465+H468</f>
        <v>2836000</v>
      </c>
      <c r="I451" s="87">
        <f t="shared" si="107"/>
        <v>2836000</v>
      </c>
      <c r="J451" s="177"/>
    </row>
    <row r="452" spans="1:18" s="18" customFormat="1" ht="20.25" customHeight="1">
      <c r="A452" s="82" t="s">
        <v>85</v>
      </c>
      <c r="B452" s="149">
        <v>763</v>
      </c>
      <c r="C452" s="84" t="s">
        <v>173</v>
      </c>
      <c r="D452" s="84" t="s">
        <v>19</v>
      </c>
      <c r="E452" s="84" t="s">
        <v>84</v>
      </c>
      <c r="F452" s="84"/>
      <c r="G452" s="87">
        <f t="shared" ref="G452:I453" si="108">G453</f>
        <v>453929.2</v>
      </c>
      <c r="H452" s="87">
        <f t="shared" si="108"/>
        <v>656000</v>
      </c>
      <c r="I452" s="87">
        <f t="shared" si="108"/>
        <v>656000</v>
      </c>
      <c r="J452" s="177"/>
      <c r="K452" s="200"/>
      <c r="L452" s="200"/>
      <c r="M452" s="200"/>
      <c r="N452" s="200"/>
      <c r="O452" s="200"/>
      <c r="P452" s="200"/>
      <c r="Q452" s="200"/>
      <c r="R452" s="200"/>
    </row>
    <row r="453" spans="1:18" ht="30.75" customHeight="1">
      <c r="A453" s="82" t="s">
        <v>36</v>
      </c>
      <c r="B453" s="149">
        <v>763</v>
      </c>
      <c r="C453" s="84" t="s">
        <v>173</v>
      </c>
      <c r="D453" s="84" t="s">
        <v>19</v>
      </c>
      <c r="E453" s="84" t="s">
        <v>84</v>
      </c>
      <c r="F453" s="84" t="s">
        <v>37</v>
      </c>
      <c r="G453" s="87">
        <f t="shared" si="108"/>
        <v>453929.2</v>
      </c>
      <c r="H453" s="87">
        <f t="shared" si="108"/>
        <v>656000</v>
      </c>
      <c r="I453" s="87">
        <f t="shared" si="108"/>
        <v>656000</v>
      </c>
      <c r="J453" s="177"/>
    </row>
    <row r="454" spans="1:18" s="18" customFormat="1" ht="34.5" customHeight="1">
      <c r="A454" s="82" t="s">
        <v>38</v>
      </c>
      <c r="B454" s="149">
        <v>763</v>
      </c>
      <c r="C454" s="84" t="s">
        <v>173</v>
      </c>
      <c r="D454" s="84" t="s">
        <v>19</v>
      </c>
      <c r="E454" s="84" t="s">
        <v>84</v>
      </c>
      <c r="F454" s="84" t="s">
        <v>39</v>
      </c>
      <c r="G454" s="87">
        <f>50000+606000-200000-2070.8</f>
        <v>453929.2</v>
      </c>
      <c r="H454" s="87">
        <f t="shared" ref="H454:I454" si="109">50000+606000</f>
        <v>656000</v>
      </c>
      <c r="I454" s="87">
        <f t="shared" si="109"/>
        <v>656000</v>
      </c>
      <c r="J454" s="177"/>
      <c r="K454" s="200"/>
      <c r="L454" s="200"/>
      <c r="M454" s="200"/>
      <c r="N454" s="200"/>
      <c r="O454" s="200"/>
      <c r="P454" s="200"/>
      <c r="Q454" s="200"/>
      <c r="R454" s="200"/>
    </row>
    <row r="455" spans="1:18" s="3" customFormat="1" ht="52.5" hidden="1" customHeight="1">
      <c r="A455" s="82"/>
      <c r="B455" s="149">
        <v>763</v>
      </c>
      <c r="C455" s="84"/>
      <c r="D455" s="84"/>
      <c r="E455" s="84"/>
      <c r="F455" s="84"/>
      <c r="G455" s="87"/>
      <c r="H455" s="87"/>
      <c r="I455" s="87"/>
      <c r="J455" s="177"/>
      <c r="K455" s="199"/>
      <c r="L455" s="199"/>
      <c r="M455" s="199"/>
      <c r="N455" s="199"/>
      <c r="O455" s="199"/>
      <c r="P455" s="199"/>
      <c r="Q455" s="199"/>
      <c r="R455" s="199"/>
    </row>
    <row r="456" spans="1:18" s="18" customFormat="1" ht="63" customHeight="1">
      <c r="A456" s="82" t="s">
        <v>81</v>
      </c>
      <c r="B456" s="149">
        <v>763</v>
      </c>
      <c r="C456" s="84" t="s">
        <v>173</v>
      </c>
      <c r="D456" s="84" t="s">
        <v>19</v>
      </c>
      <c r="E456" s="84" t="s">
        <v>80</v>
      </c>
      <c r="F456" s="84"/>
      <c r="G456" s="87">
        <f t="shared" ref="G456:I461" si="110">G457</f>
        <v>2920000</v>
      </c>
      <c r="H456" s="87">
        <f t="shared" si="110"/>
        <v>2180000</v>
      </c>
      <c r="I456" s="87">
        <f t="shared" si="110"/>
        <v>2180000</v>
      </c>
      <c r="J456" s="177"/>
      <c r="K456" s="200"/>
      <c r="L456" s="200"/>
      <c r="M456" s="200"/>
      <c r="N456" s="200"/>
      <c r="O456" s="200"/>
      <c r="P456" s="200"/>
      <c r="Q456" s="200"/>
      <c r="R456" s="200"/>
    </row>
    <row r="457" spans="1:18" ht="30.75" customHeight="1">
      <c r="A457" s="82" t="s">
        <v>36</v>
      </c>
      <c r="B457" s="149">
        <v>763</v>
      </c>
      <c r="C457" s="84" t="s">
        <v>173</v>
      </c>
      <c r="D457" s="84" t="s">
        <v>19</v>
      </c>
      <c r="E457" s="84" t="s">
        <v>80</v>
      </c>
      <c r="F457" s="84" t="s">
        <v>37</v>
      </c>
      <c r="G457" s="87">
        <f t="shared" si="110"/>
        <v>2920000</v>
      </c>
      <c r="H457" s="87">
        <f t="shared" si="110"/>
        <v>2180000</v>
      </c>
      <c r="I457" s="87">
        <f t="shared" si="110"/>
        <v>2180000</v>
      </c>
      <c r="J457" s="177"/>
    </row>
    <row r="458" spans="1:18" s="18" customFormat="1" ht="34.5" customHeight="1">
      <c r="A458" s="82" t="s">
        <v>38</v>
      </c>
      <c r="B458" s="149">
        <v>763</v>
      </c>
      <c r="C458" s="84" t="s">
        <v>173</v>
      </c>
      <c r="D458" s="84" t="s">
        <v>19</v>
      </c>
      <c r="E458" s="84" t="s">
        <v>80</v>
      </c>
      <c r="F458" s="84" t="s">
        <v>39</v>
      </c>
      <c r="G458" s="87">
        <f>2180000+740000</f>
        <v>2920000</v>
      </c>
      <c r="H458" s="87">
        <v>2180000</v>
      </c>
      <c r="I458" s="87">
        <v>2180000</v>
      </c>
      <c r="J458" s="177"/>
      <c r="K458" s="200"/>
      <c r="L458" s="200"/>
      <c r="M458" s="200"/>
      <c r="N458" s="200"/>
      <c r="O458" s="200"/>
      <c r="P458" s="200"/>
      <c r="Q458" s="200"/>
      <c r="R458" s="200"/>
    </row>
    <row r="459" spans="1:18" s="18" customFormat="1" ht="34.5" customHeight="1">
      <c r="A459" s="82" t="s">
        <v>1118</v>
      </c>
      <c r="B459" s="149">
        <v>763</v>
      </c>
      <c r="C459" s="84" t="s">
        <v>173</v>
      </c>
      <c r="D459" s="84" t="s">
        <v>19</v>
      </c>
      <c r="E459" s="84" t="s">
        <v>1117</v>
      </c>
      <c r="F459" s="84"/>
      <c r="G459" s="87">
        <f>G460</f>
        <v>2070.8000000000002</v>
      </c>
      <c r="H459" s="87"/>
      <c r="I459" s="87"/>
      <c r="J459" s="177"/>
      <c r="K459" s="200"/>
      <c r="L459" s="200"/>
      <c r="M459" s="200"/>
      <c r="N459" s="200"/>
      <c r="O459" s="200"/>
      <c r="P459" s="200"/>
      <c r="Q459" s="200"/>
      <c r="R459" s="200"/>
    </row>
    <row r="460" spans="1:18" s="18" customFormat="1" ht="32.25" customHeight="1">
      <c r="A460" s="82" t="s">
        <v>333</v>
      </c>
      <c r="B460" s="149">
        <v>763</v>
      </c>
      <c r="C460" s="84" t="s">
        <v>173</v>
      </c>
      <c r="D460" s="84" t="s">
        <v>19</v>
      </c>
      <c r="E460" s="84" t="s">
        <v>1116</v>
      </c>
      <c r="F460" s="84"/>
      <c r="G460" s="87">
        <f t="shared" si="110"/>
        <v>2070.8000000000002</v>
      </c>
      <c r="H460" s="87">
        <f t="shared" si="110"/>
        <v>0</v>
      </c>
      <c r="I460" s="87">
        <f t="shared" si="110"/>
        <v>0</v>
      </c>
      <c r="J460" s="177"/>
      <c r="K460" s="200"/>
      <c r="L460" s="200"/>
      <c r="M460" s="200"/>
      <c r="N460" s="200"/>
      <c r="O460" s="200"/>
      <c r="P460" s="200"/>
      <c r="Q460" s="200"/>
      <c r="R460" s="200"/>
    </row>
    <row r="461" spans="1:18" ht="25.5" customHeight="1">
      <c r="A461" s="82" t="s">
        <v>63</v>
      </c>
      <c r="B461" s="149">
        <v>763</v>
      </c>
      <c r="C461" s="84" t="s">
        <v>173</v>
      </c>
      <c r="D461" s="84" t="s">
        <v>19</v>
      </c>
      <c r="E461" s="84" t="s">
        <v>1116</v>
      </c>
      <c r="F461" s="84" t="s">
        <v>64</v>
      </c>
      <c r="G461" s="87">
        <f t="shared" si="110"/>
        <v>2070.8000000000002</v>
      </c>
      <c r="H461" s="87">
        <f t="shared" si="110"/>
        <v>0</v>
      </c>
      <c r="I461" s="87">
        <f t="shared" si="110"/>
        <v>0</v>
      </c>
      <c r="J461" s="177"/>
    </row>
    <row r="462" spans="1:18" s="18" customFormat="1" ht="26.25" customHeight="1">
      <c r="A462" s="82" t="s">
        <v>328</v>
      </c>
      <c r="B462" s="149">
        <v>763</v>
      </c>
      <c r="C462" s="84" t="s">
        <v>173</v>
      </c>
      <c r="D462" s="84" t="s">
        <v>19</v>
      </c>
      <c r="E462" s="84" t="s">
        <v>1116</v>
      </c>
      <c r="F462" s="84" t="s">
        <v>327</v>
      </c>
      <c r="G462" s="87">
        <v>2070.8000000000002</v>
      </c>
      <c r="H462" s="87"/>
      <c r="I462" s="87"/>
      <c r="J462" s="177"/>
      <c r="K462" s="200"/>
      <c r="L462" s="200"/>
      <c r="M462" s="200"/>
      <c r="N462" s="200"/>
      <c r="O462" s="200"/>
      <c r="P462" s="200"/>
      <c r="Q462" s="200"/>
      <c r="R462" s="200"/>
    </row>
    <row r="463" spans="1:18" s="124" customFormat="1">
      <c r="A463" s="314" t="s">
        <v>74</v>
      </c>
      <c r="B463" s="86"/>
      <c r="C463" s="315"/>
      <c r="D463" s="315"/>
      <c r="E463" s="315"/>
      <c r="F463" s="315"/>
      <c r="G463" s="316">
        <f>G393+G414+G449</f>
        <v>17704813</v>
      </c>
      <c r="H463" s="316">
        <f t="shared" ref="H463:I463" si="111">H393+H414+H449</f>
        <v>15923275</v>
      </c>
      <c r="I463" s="316">
        <f t="shared" si="111"/>
        <v>16038404</v>
      </c>
      <c r="J463" s="192"/>
      <c r="K463" s="207"/>
      <c r="L463" s="207"/>
      <c r="M463" s="207"/>
      <c r="N463" s="207"/>
      <c r="O463" s="207"/>
      <c r="P463" s="207"/>
      <c r="Q463" s="207"/>
      <c r="R463" s="207"/>
    </row>
    <row r="464" spans="1:18" s="125" customFormat="1" ht="50.25" customHeight="1">
      <c r="A464" s="321" t="s">
        <v>987</v>
      </c>
      <c r="B464" s="322">
        <v>774</v>
      </c>
      <c r="C464" s="323"/>
      <c r="D464" s="323"/>
      <c r="E464" s="323"/>
      <c r="F464" s="323"/>
      <c r="G464" s="324"/>
      <c r="H464" s="324"/>
      <c r="I464" s="324"/>
      <c r="J464" s="197"/>
      <c r="K464" s="213"/>
      <c r="L464" s="213"/>
      <c r="M464" s="213"/>
      <c r="N464" s="213"/>
      <c r="O464" s="213"/>
      <c r="P464" s="213"/>
      <c r="Q464" s="213"/>
      <c r="R464" s="213"/>
    </row>
    <row r="465" spans="1:18" hidden="1">
      <c r="A465" s="275" t="s">
        <v>18</v>
      </c>
      <c r="B465" s="269">
        <v>774</v>
      </c>
      <c r="C465" s="270" t="s">
        <v>19</v>
      </c>
      <c r="D465" s="270"/>
      <c r="E465" s="270"/>
      <c r="F465" s="270"/>
      <c r="G465" s="267">
        <f t="shared" ref="G465:I469" si="112">G466</f>
        <v>0</v>
      </c>
      <c r="H465" s="267">
        <f t="shared" si="112"/>
        <v>0</v>
      </c>
      <c r="I465" s="267">
        <f t="shared" si="112"/>
        <v>0</v>
      </c>
      <c r="J465" s="191"/>
    </row>
    <row r="466" spans="1:18" ht="18.75" hidden="1" customHeight="1">
      <c r="A466" s="137" t="s">
        <v>22</v>
      </c>
      <c r="B466" s="149">
        <v>774</v>
      </c>
      <c r="C466" s="84" t="s">
        <v>19</v>
      </c>
      <c r="D466" s="84" t="s">
        <v>23</v>
      </c>
      <c r="E466" s="84"/>
      <c r="F466" s="84"/>
      <c r="G466" s="87">
        <f t="shared" si="112"/>
        <v>0</v>
      </c>
      <c r="H466" s="87">
        <f t="shared" si="112"/>
        <v>0</v>
      </c>
      <c r="I466" s="87">
        <f t="shared" si="112"/>
        <v>0</v>
      </c>
      <c r="J466" s="177"/>
    </row>
    <row r="467" spans="1:18" s="22" customFormat="1" ht="26.25" hidden="1" customHeight="1">
      <c r="A467" s="82" t="s">
        <v>164</v>
      </c>
      <c r="B467" s="149">
        <v>774</v>
      </c>
      <c r="C467" s="84" t="s">
        <v>19</v>
      </c>
      <c r="D467" s="84" t="s">
        <v>23</v>
      </c>
      <c r="E467" s="147" t="s">
        <v>210</v>
      </c>
      <c r="F467" s="156"/>
      <c r="G467" s="87">
        <f t="shared" si="112"/>
        <v>0</v>
      </c>
      <c r="H467" s="87">
        <f t="shared" si="112"/>
        <v>0</v>
      </c>
      <c r="I467" s="87">
        <f t="shared" si="112"/>
        <v>0</v>
      </c>
      <c r="J467" s="177"/>
      <c r="K467" s="208"/>
      <c r="L467" s="207"/>
      <c r="M467" s="207"/>
      <c r="N467" s="207"/>
      <c r="O467" s="207"/>
      <c r="P467" s="207"/>
      <c r="Q467" s="207"/>
      <c r="R467" s="207"/>
    </row>
    <row r="468" spans="1:18" s="22" customFormat="1" ht="26.25" hidden="1" customHeight="1">
      <c r="A468" s="82" t="s">
        <v>431</v>
      </c>
      <c r="B468" s="149">
        <v>774</v>
      </c>
      <c r="C468" s="84" t="s">
        <v>19</v>
      </c>
      <c r="D468" s="84" t="s">
        <v>23</v>
      </c>
      <c r="E468" s="84" t="s">
        <v>514</v>
      </c>
      <c r="F468" s="156"/>
      <c r="G468" s="87">
        <f t="shared" si="112"/>
        <v>0</v>
      </c>
      <c r="H468" s="87">
        <f t="shared" si="112"/>
        <v>0</v>
      </c>
      <c r="I468" s="87">
        <f t="shared" si="112"/>
        <v>0</v>
      </c>
      <c r="J468" s="177"/>
      <c r="K468" s="208"/>
      <c r="L468" s="207"/>
      <c r="M468" s="207"/>
      <c r="N468" s="207"/>
      <c r="O468" s="207"/>
      <c r="P468" s="207"/>
      <c r="Q468" s="207"/>
      <c r="R468" s="207"/>
    </row>
    <row r="469" spans="1:18" ht="40.5" hidden="1" customHeight="1">
      <c r="A469" s="82" t="s">
        <v>431</v>
      </c>
      <c r="B469" s="149">
        <v>774</v>
      </c>
      <c r="C469" s="84" t="s">
        <v>19</v>
      </c>
      <c r="D469" s="84" t="s">
        <v>23</v>
      </c>
      <c r="E469" s="84" t="s">
        <v>430</v>
      </c>
      <c r="F469" s="84"/>
      <c r="G469" s="87">
        <f t="shared" si="112"/>
        <v>0</v>
      </c>
      <c r="H469" s="87">
        <f t="shared" si="112"/>
        <v>0</v>
      </c>
      <c r="I469" s="87">
        <f t="shared" si="112"/>
        <v>0</v>
      </c>
      <c r="J469" s="177"/>
      <c r="K469" s="209"/>
    </row>
    <row r="470" spans="1:18" hidden="1">
      <c r="A470" s="82" t="s">
        <v>63</v>
      </c>
      <c r="B470" s="149">
        <v>774</v>
      </c>
      <c r="C470" s="84" t="s">
        <v>19</v>
      </c>
      <c r="D470" s="84" t="s">
        <v>23</v>
      </c>
      <c r="E470" s="84" t="s">
        <v>430</v>
      </c>
      <c r="F470" s="84" t="s">
        <v>64</v>
      </c>
      <c r="G470" s="87">
        <f>G471</f>
        <v>0</v>
      </c>
      <c r="H470" s="87">
        <v>0</v>
      </c>
      <c r="I470" s="87">
        <v>0</v>
      </c>
      <c r="J470" s="177"/>
      <c r="K470" s="209"/>
    </row>
    <row r="471" spans="1:18" ht="15" hidden="1" customHeight="1">
      <c r="A471" s="82" t="s">
        <v>328</v>
      </c>
      <c r="B471" s="149">
        <v>774</v>
      </c>
      <c r="C471" s="84" t="s">
        <v>19</v>
      </c>
      <c r="D471" s="84" t="s">
        <v>23</v>
      </c>
      <c r="E471" s="84" t="s">
        <v>430</v>
      </c>
      <c r="F471" s="84" t="s">
        <v>327</v>
      </c>
      <c r="G471" s="87"/>
      <c r="H471" s="87">
        <v>0</v>
      </c>
      <c r="I471" s="87">
        <v>0</v>
      </c>
      <c r="J471" s="177"/>
      <c r="K471" s="209"/>
    </row>
    <row r="472" spans="1:18" ht="25.5">
      <c r="A472" s="268" t="s">
        <v>168</v>
      </c>
      <c r="B472" s="269">
        <v>774</v>
      </c>
      <c r="C472" s="270" t="s">
        <v>70</v>
      </c>
      <c r="D472" s="270"/>
      <c r="E472" s="270"/>
      <c r="F472" s="270"/>
      <c r="G472" s="267">
        <f>G473</f>
        <v>200000</v>
      </c>
      <c r="H472" s="267">
        <f t="shared" ref="H472:I472" si="113">H473</f>
        <v>200000</v>
      </c>
      <c r="I472" s="267">
        <f t="shared" si="113"/>
        <v>200000</v>
      </c>
      <c r="J472" s="191"/>
      <c r="M472" s="209"/>
      <c r="N472" s="209"/>
      <c r="O472" s="209"/>
      <c r="P472" s="209"/>
    </row>
    <row r="473" spans="1:18" s="46" customFormat="1" ht="25.5">
      <c r="A473" s="82" t="s">
        <v>335</v>
      </c>
      <c r="B473" s="149">
        <v>774</v>
      </c>
      <c r="C473" s="84" t="s">
        <v>70</v>
      </c>
      <c r="D473" s="84" t="s">
        <v>309</v>
      </c>
      <c r="E473" s="84"/>
      <c r="F473" s="84"/>
      <c r="G473" s="87">
        <f>G474</f>
        <v>200000</v>
      </c>
      <c r="H473" s="87">
        <f t="shared" ref="H473:I473" si="114">H474</f>
        <v>200000</v>
      </c>
      <c r="I473" s="87">
        <f t="shared" si="114"/>
        <v>200000</v>
      </c>
      <c r="J473" s="177"/>
      <c r="K473" s="186"/>
      <c r="L473" s="214"/>
      <c r="M473" s="214"/>
      <c r="N473" s="214"/>
      <c r="O473" s="222"/>
      <c r="P473" s="222"/>
      <c r="Q473" s="222"/>
      <c r="R473" s="222"/>
    </row>
    <row r="474" spans="1:18" ht="38.25">
      <c r="A474" s="82" t="s">
        <v>483</v>
      </c>
      <c r="B474" s="149">
        <v>774</v>
      </c>
      <c r="C474" s="84" t="s">
        <v>70</v>
      </c>
      <c r="D474" s="84" t="s">
        <v>309</v>
      </c>
      <c r="E474" s="84" t="s">
        <v>256</v>
      </c>
      <c r="F474" s="84"/>
      <c r="G474" s="87">
        <f t="shared" ref="G474:I476" si="115">G475</f>
        <v>200000</v>
      </c>
      <c r="H474" s="87">
        <f t="shared" si="115"/>
        <v>200000</v>
      </c>
      <c r="I474" s="87">
        <f t="shared" si="115"/>
        <v>200000</v>
      </c>
      <c r="J474" s="177"/>
      <c r="L474" s="209"/>
    </row>
    <row r="475" spans="1:18" ht="38.25">
      <c r="A475" s="82" t="s">
        <v>336</v>
      </c>
      <c r="B475" s="149">
        <v>774</v>
      </c>
      <c r="C475" s="84" t="s">
        <v>70</v>
      </c>
      <c r="D475" s="84" t="s">
        <v>309</v>
      </c>
      <c r="E475" s="84" t="s">
        <v>257</v>
      </c>
      <c r="F475" s="84"/>
      <c r="G475" s="87">
        <f>G476+G478</f>
        <v>200000</v>
      </c>
      <c r="H475" s="87">
        <f t="shared" ref="H475:I475" si="116">H476+H478</f>
        <v>200000</v>
      </c>
      <c r="I475" s="87">
        <f t="shared" si="116"/>
        <v>200000</v>
      </c>
      <c r="J475" s="177"/>
      <c r="L475" s="209"/>
    </row>
    <row r="476" spans="1:18" ht="25.5" hidden="1">
      <c r="A476" s="82" t="s">
        <v>38</v>
      </c>
      <c r="B476" s="149">
        <v>774</v>
      </c>
      <c r="C476" s="84" t="s">
        <v>70</v>
      </c>
      <c r="D476" s="84" t="s">
        <v>309</v>
      </c>
      <c r="E476" s="84" t="s">
        <v>257</v>
      </c>
      <c r="F476" s="84" t="s">
        <v>37</v>
      </c>
      <c r="G476" s="87">
        <f t="shared" si="115"/>
        <v>0</v>
      </c>
      <c r="H476" s="87">
        <f t="shared" si="115"/>
        <v>0</v>
      </c>
      <c r="I476" s="87">
        <f t="shared" si="115"/>
        <v>0</v>
      </c>
      <c r="J476" s="177"/>
    </row>
    <row r="477" spans="1:18" ht="31.5" hidden="1" customHeight="1">
      <c r="A477" s="82" t="s">
        <v>38</v>
      </c>
      <c r="B477" s="149">
        <v>774</v>
      </c>
      <c r="C477" s="84" t="s">
        <v>70</v>
      </c>
      <c r="D477" s="84" t="s">
        <v>309</v>
      </c>
      <c r="E477" s="84" t="s">
        <v>257</v>
      </c>
      <c r="F477" s="84" t="s">
        <v>39</v>
      </c>
      <c r="G477" s="87"/>
      <c r="H477" s="87"/>
      <c r="I477" s="87"/>
      <c r="J477" s="177"/>
    </row>
    <row r="478" spans="1:18" s="18" customFormat="1" ht="25.5">
      <c r="A478" s="82" t="s">
        <v>30</v>
      </c>
      <c r="B478" s="149">
        <v>774</v>
      </c>
      <c r="C478" s="84" t="s">
        <v>70</v>
      </c>
      <c r="D478" s="84" t="s">
        <v>309</v>
      </c>
      <c r="E478" s="84" t="s">
        <v>257</v>
      </c>
      <c r="F478" s="84" t="s">
        <v>31</v>
      </c>
      <c r="G478" s="87">
        <f t="shared" ref="G478:I478" si="117">G479</f>
        <v>200000</v>
      </c>
      <c r="H478" s="87">
        <f t="shared" si="117"/>
        <v>200000</v>
      </c>
      <c r="I478" s="87">
        <f t="shared" si="117"/>
        <v>200000</v>
      </c>
      <c r="J478" s="177"/>
      <c r="K478" s="200"/>
      <c r="L478" s="200"/>
      <c r="M478" s="200"/>
      <c r="N478" s="200"/>
      <c r="O478" s="200"/>
      <c r="P478" s="200"/>
      <c r="Q478" s="200"/>
      <c r="R478" s="200"/>
    </row>
    <row r="479" spans="1:18" s="18" customFormat="1">
      <c r="A479" s="82" t="s">
        <v>32</v>
      </c>
      <c r="B479" s="149">
        <v>774</v>
      </c>
      <c r="C479" s="84" t="s">
        <v>70</v>
      </c>
      <c r="D479" s="84" t="s">
        <v>309</v>
      </c>
      <c r="E479" s="84" t="s">
        <v>257</v>
      </c>
      <c r="F479" s="84" t="s">
        <v>33</v>
      </c>
      <c r="G479" s="87">
        <v>200000</v>
      </c>
      <c r="H479" s="87">
        <v>200000</v>
      </c>
      <c r="I479" s="87">
        <v>200000</v>
      </c>
      <c r="J479" s="177"/>
      <c r="K479" s="200"/>
      <c r="L479" s="200"/>
      <c r="M479" s="215"/>
      <c r="N479" s="200"/>
      <c r="O479" s="200"/>
      <c r="P479" s="200"/>
      <c r="Q479" s="200"/>
      <c r="R479" s="200"/>
    </row>
    <row r="480" spans="1:18" ht="19.5" hidden="1" customHeight="1">
      <c r="A480" s="154" t="s">
        <v>172</v>
      </c>
      <c r="B480" s="155">
        <v>774</v>
      </c>
      <c r="C480" s="156" t="s">
        <v>54</v>
      </c>
      <c r="D480" s="156" t="s">
        <v>123</v>
      </c>
      <c r="E480" s="156"/>
      <c r="F480" s="156"/>
      <c r="G480" s="157">
        <f>G481</f>
        <v>0</v>
      </c>
      <c r="H480" s="157">
        <f t="shared" ref="H480:I483" si="118">H481</f>
        <v>0</v>
      </c>
      <c r="I480" s="157">
        <f t="shared" si="118"/>
        <v>0</v>
      </c>
      <c r="J480" s="196"/>
    </row>
    <row r="481" spans="1:19" ht="47.25" hidden="1" customHeight="1">
      <c r="A481" s="82" t="s">
        <v>459</v>
      </c>
      <c r="B481" s="149">
        <v>774</v>
      </c>
      <c r="C481" s="84" t="s">
        <v>54</v>
      </c>
      <c r="D481" s="84" t="s">
        <v>123</v>
      </c>
      <c r="E481" s="84" t="s">
        <v>458</v>
      </c>
      <c r="F481" s="84"/>
      <c r="G481" s="87">
        <f>G482</f>
        <v>0</v>
      </c>
      <c r="H481" s="87">
        <f t="shared" si="118"/>
        <v>0</v>
      </c>
      <c r="I481" s="87">
        <f t="shared" si="118"/>
        <v>0</v>
      </c>
      <c r="J481" s="177"/>
    </row>
    <row r="482" spans="1:19" ht="33.75" hidden="1" customHeight="1">
      <c r="A482" s="82" t="s">
        <v>457</v>
      </c>
      <c r="B482" s="149">
        <v>774</v>
      </c>
      <c r="C482" s="84" t="s">
        <v>54</v>
      </c>
      <c r="D482" s="84" t="s">
        <v>123</v>
      </c>
      <c r="E482" s="84" t="s">
        <v>455</v>
      </c>
      <c r="F482" s="84"/>
      <c r="G482" s="87">
        <f>G483</f>
        <v>0</v>
      </c>
      <c r="H482" s="87">
        <f t="shared" si="118"/>
        <v>0</v>
      </c>
      <c r="I482" s="87">
        <f t="shared" si="118"/>
        <v>0</v>
      </c>
      <c r="J482" s="177"/>
    </row>
    <row r="483" spans="1:19" ht="30.75" hidden="1" customHeight="1">
      <c r="A483" s="82" t="s">
        <v>456</v>
      </c>
      <c r="B483" s="149">
        <v>774</v>
      </c>
      <c r="C483" s="84" t="s">
        <v>54</v>
      </c>
      <c r="D483" s="84" t="s">
        <v>123</v>
      </c>
      <c r="E483" s="84" t="s">
        <v>455</v>
      </c>
      <c r="F483" s="84" t="s">
        <v>37</v>
      </c>
      <c r="G483" s="87">
        <f>G484</f>
        <v>0</v>
      </c>
      <c r="H483" s="87">
        <f t="shared" si="118"/>
        <v>0</v>
      </c>
      <c r="I483" s="87">
        <f t="shared" si="118"/>
        <v>0</v>
      </c>
      <c r="J483" s="177"/>
    </row>
    <row r="484" spans="1:19" ht="33" hidden="1" customHeight="1">
      <c r="A484" s="82" t="s">
        <v>38</v>
      </c>
      <c r="B484" s="149">
        <v>774</v>
      </c>
      <c r="C484" s="84" t="s">
        <v>54</v>
      </c>
      <c r="D484" s="84" t="s">
        <v>123</v>
      </c>
      <c r="E484" s="84" t="s">
        <v>455</v>
      </c>
      <c r="F484" s="84" t="s">
        <v>39</v>
      </c>
      <c r="G484" s="87">
        <f>63000-63000</f>
        <v>0</v>
      </c>
      <c r="H484" s="87"/>
      <c r="I484" s="87"/>
      <c r="J484" s="177"/>
    </row>
    <row r="485" spans="1:19">
      <c r="A485" s="268" t="s">
        <v>25</v>
      </c>
      <c r="B485" s="269">
        <v>774</v>
      </c>
      <c r="C485" s="270" t="s">
        <v>26</v>
      </c>
      <c r="D485" s="270"/>
      <c r="E485" s="270"/>
      <c r="F485" s="270"/>
      <c r="G485" s="267">
        <f>G486+G565+G809+G925+G977</f>
        <v>1221287436.7900002</v>
      </c>
      <c r="H485" s="267">
        <f>H486+H565+H809+H925+H977</f>
        <v>1037319657.14</v>
      </c>
      <c r="I485" s="267">
        <f>I486+I565+I809+I925+I977</f>
        <v>1027165898.0899999</v>
      </c>
      <c r="J485" s="191"/>
      <c r="K485" s="209"/>
    </row>
    <row r="486" spans="1:19">
      <c r="A486" s="82" t="s">
        <v>89</v>
      </c>
      <c r="B486" s="149">
        <v>774</v>
      </c>
      <c r="C486" s="84" t="s">
        <v>26</v>
      </c>
      <c r="D486" s="84" t="s">
        <v>19</v>
      </c>
      <c r="E486" s="84"/>
      <c r="F486" s="84"/>
      <c r="G486" s="87">
        <f>G487+G557+G561</f>
        <v>333466206.06999999</v>
      </c>
      <c r="H486" s="87">
        <f>H487+H557+H561</f>
        <v>324865367</v>
      </c>
      <c r="I486" s="87">
        <f>I487+I557+I561</f>
        <v>334575673</v>
      </c>
      <c r="J486" s="177"/>
    </row>
    <row r="487" spans="1:19" s="18" customFormat="1" ht="25.5">
      <c r="A487" s="82" t="s">
        <v>477</v>
      </c>
      <c r="B487" s="149">
        <v>774</v>
      </c>
      <c r="C487" s="84" t="s">
        <v>26</v>
      </c>
      <c r="D487" s="84" t="s">
        <v>19</v>
      </c>
      <c r="E487" s="84" t="s">
        <v>189</v>
      </c>
      <c r="F487" s="84"/>
      <c r="G487" s="87">
        <f>G488+G515</f>
        <v>333466206.06999999</v>
      </c>
      <c r="H487" s="87">
        <f>H488+H515</f>
        <v>324865367</v>
      </c>
      <c r="I487" s="87">
        <f>I488+I515</f>
        <v>334575673</v>
      </c>
      <c r="J487" s="177"/>
      <c r="K487" s="200"/>
      <c r="L487" s="200"/>
      <c r="M487" s="200"/>
      <c r="N487" s="200"/>
      <c r="O487" s="200"/>
      <c r="P487" s="200"/>
      <c r="Q487" s="200"/>
      <c r="R487" s="200"/>
    </row>
    <row r="488" spans="1:19" s="18" customFormat="1" ht="30" customHeight="1">
      <c r="A488" s="82" t="s">
        <v>90</v>
      </c>
      <c r="B488" s="84" t="s">
        <v>94</v>
      </c>
      <c r="C488" s="84" t="s">
        <v>26</v>
      </c>
      <c r="D488" s="84" t="s">
        <v>19</v>
      </c>
      <c r="E488" s="84" t="s">
        <v>215</v>
      </c>
      <c r="F488" s="84"/>
      <c r="G488" s="87">
        <f>G489+G492+G495+G501+G507+G509+G498+G504</f>
        <v>329440263.56999999</v>
      </c>
      <c r="H488" s="87">
        <f>H489+H492+H495+H501+H507+H509+H498+H504</f>
        <v>322362799</v>
      </c>
      <c r="I488" s="87">
        <f>I489+I492+I495+I501+I507+I509+I498+I504</f>
        <v>330673105</v>
      </c>
      <c r="J488" s="177"/>
      <c r="K488" s="200"/>
      <c r="L488" s="200"/>
      <c r="M488" s="200"/>
      <c r="N488" s="200"/>
      <c r="O488" s="200"/>
      <c r="P488" s="200"/>
      <c r="Q488" s="200"/>
      <c r="R488" s="200"/>
    </row>
    <row r="489" spans="1:19" ht="50.25" customHeight="1">
      <c r="A489" s="82" t="s">
        <v>3</v>
      </c>
      <c r="B489" s="84" t="s">
        <v>94</v>
      </c>
      <c r="C489" s="84" t="s">
        <v>26</v>
      </c>
      <c r="D489" s="84" t="s">
        <v>19</v>
      </c>
      <c r="E489" s="84" t="s">
        <v>912</v>
      </c>
      <c r="F489" s="84"/>
      <c r="G489" s="87">
        <f t="shared" ref="G489:I490" si="119">G490</f>
        <v>22876916.75</v>
      </c>
      <c r="H489" s="87">
        <f t="shared" si="119"/>
        <v>16087000</v>
      </c>
      <c r="I489" s="87">
        <f t="shared" si="119"/>
        <v>17852599</v>
      </c>
      <c r="J489" s="177"/>
    </row>
    <row r="490" spans="1:19" s="18" customFormat="1" ht="25.5">
      <c r="A490" s="82" t="s">
        <v>30</v>
      </c>
      <c r="B490" s="84" t="s">
        <v>94</v>
      </c>
      <c r="C490" s="84" t="s">
        <v>26</v>
      </c>
      <c r="D490" s="84" t="s">
        <v>19</v>
      </c>
      <c r="E490" s="84" t="s">
        <v>912</v>
      </c>
      <c r="F490" s="84" t="s">
        <v>31</v>
      </c>
      <c r="G490" s="87">
        <f t="shared" si="119"/>
        <v>22876916.75</v>
      </c>
      <c r="H490" s="87">
        <f t="shared" si="119"/>
        <v>16087000</v>
      </c>
      <c r="I490" s="87">
        <f t="shared" si="119"/>
        <v>17852599</v>
      </c>
      <c r="J490" s="177"/>
      <c r="K490" s="200"/>
      <c r="L490" s="200"/>
      <c r="M490" s="200"/>
      <c r="N490" s="200"/>
      <c r="O490" s="200"/>
      <c r="P490" s="200"/>
      <c r="Q490" s="200"/>
      <c r="R490" s="200"/>
    </row>
    <row r="491" spans="1:19" s="18" customFormat="1">
      <c r="A491" s="82" t="s">
        <v>32</v>
      </c>
      <c r="B491" s="84" t="s">
        <v>94</v>
      </c>
      <c r="C491" s="84" t="s">
        <v>26</v>
      </c>
      <c r="D491" s="84" t="s">
        <v>19</v>
      </c>
      <c r="E491" s="84" t="s">
        <v>912</v>
      </c>
      <c r="F491" s="84" t="s">
        <v>33</v>
      </c>
      <c r="G491" s="87">
        <v>22876916.75</v>
      </c>
      <c r="H491" s="87">
        <v>16087000</v>
      </c>
      <c r="I491" s="87">
        <v>17852599</v>
      </c>
      <c r="J491" s="177"/>
      <c r="K491" s="200"/>
      <c r="L491" s="200"/>
      <c r="M491" s="215"/>
      <c r="N491" s="200"/>
      <c r="O491" s="200"/>
      <c r="P491" s="200"/>
      <c r="Q491" s="200"/>
      <c r="R491" s="200"/>
    </row>
    <row r="492" spans="1:19" s="18" customFormat="1" ht="15" customHeight="1">
      <c r="A492" s="82" t="s">
        <v>91</v>
      </c>
      <c r="B492" s="149">
        <v>774</v>
      </c>
      <c r="C492" s="84" t="s">
        <v>26</v>
      </c>
      <c r="D492" s="84" t="s">
        <v>19</v>
      </c>
      <c r="E492" s="84" t="s">
        <v>134</v>
      </c>
      <c r="F492" s="84"/>
      <c r="G492" s="87">
        <f t="shared" ref="G492:I493" si="120">G493</f>
        <v>196446497.49000001</v>
      </c>
      <c r="H492" s="87">
        <f t="shared" si="120"/>
        <v>201074385</v>
      </c>
      <c r="I492" s="87">
        <f t="shared" si="120"/>
        <v>207277689</v>
      </c>
      <c r="J492" s="177"/>
      <c r="K492" s="200"/>
      <c r="L492" s="200"/>
      <c r="M492" s="200"/>
      <c r="N492" s="200"/>
      <c r="O492" s="200"/>
      <c r="P492" s="200"/>
      <c r="Q492" s="215"/>
      <c r="R492" s="215"/>
      <c r="S492" s="17"/>
    </row>
    <row r="493" spans="1:19" s="18" customFormat="1" ht="25.5">
      <c r="A493" s="82" t="s">
        <v>30</v>
      </c>
      <c r="B493" s="149">
        <v>774</v>
      </c>
      <c r="C493" s="84" t="s">
        <v>26</v>
      </c>
      <c r="D493" s="84" t="s">
        <v>19</v>
      </c>
      <c r="E493" s="84" t="s">
        <v>134</v>
      </c>
      <c r="F493" s="84" t="s">
        <v>31</v>
      </c>
      <c r="G493" s="87">
        <f t="shared" si="120"/>
        <v>196446497.49000001</v>
      </c>
      <c r="H493" s="87">
        <f t="shared" si="120"/>
        <v>201074385</v>
      </c>
      <c r="I493" s="87">
        <f t="shared" si="120"/>
        <v>207277689</v>
      </c>
      <c r="J493" s="177"/>
      <c r="K493" s="200"/>
      <c r="L493" s="200"/>
      <c r="M493" s="200"/>
      <c r="N493" s="200"/>
      <c r="O493" s="200"/>
      <c r="P493" s="200"/>
      <c r="Q493" s="215"/>
      <c r="R493" s="215"/>
      <c r="S493" s="17"/>
    </row>
    <row r="494" spans="1:19" s="18" customFormat="1">
      <c r="A494" s="82" t="s">
        <v>32</v>
      </c>
      <c r="B494" s="149">
        <v>774</v>
      </c>
      <c r="C494" s="84" t="s">
        <v>26</v>
      </c>
      <c r="D494" s="84" t="s">
        <v>19</v>
      </c>
      <c r="E494" s="84" t="s">
        <v>134</v>
      </c>
      <c r="F494" s="84" t="s">
        <v>33</v>
      </c>
      <c r="G494" s="87">
        <v>196446497.49000001</v>
      </c>
      <c r="H494" s="87">
        <v>201074385</v>
      </c>
      <c r="I494" s="87">
        <v>207277689</v>
      </c>
      <c r="J494" s="177"/>
      <c r="K494" s="200"/>
      <c r="L494" s="200"/>
      <c r="M494" s="200"/>
      <c r="N494" s="200"/>
      <c r="O494" s="200"/>
      <c r="P494" s="200"/>
      <c r="Q494" s="215"/>
      <c r="R494" s="215"/>
      <c r="S494" s="17"/>
    </row>
    <row r="495" spans="1:19" s="18" customFormat="1" ht="25.5">
      <c r="A495" s="82" t="s">
        <v>93</v>
      </c>
      <c r="B495" s="149">
        <v>774</v>
      </c>
      <c r="C495" s="84" t="s">
        <v>26</v>
      </c>
      <c r="D495" s="84" t="s">
        <v>19</v>
      </c>
      <c r="E495" s="84" t="s">
        <v>217</v>
      </c>
      <c r="F495" s="84"/>
      <c r="G495" s="87">
        <f t="shared" ref="G495:I499" si="121">G496</f>
        <v>105878296.25</v>
      </c>
      <c r="H495" s="87">
        <f t="shared" si="121"/>
        <v>98500729</v>
      </c>
      <c r="I495" s="87">
        <f t="shared" si="121"/>
        <v>98842132</v>
      </c>
      <c r="J495" s="177"/>
      <c r="K495" s="200"/>
      <c r="L495" s="200"/>
      <c r="M495" s="200"/>
      <c r="N495" s="200"/>
      <c r="O495" s="200"/>
      <c r="P495" s="200"/>
      <c r="Q495" s="215"/>
      <c r="R495" s="215"/>
      <c r="S495" s="17"/>
    </row>
    <row r="496" spans="1:19" s="18" customFormat="1" ht="25.5">
      <c r="A496" s="82" t="s">
        <v>30</v>
      </c>
      <c r="B496" s="149">
        <v>774</v>
      </c>
      <c r="C496" s="84" t="s">
        <v>26</v>
      </c>
      <c r="D496" s="84" t="s">
        <v>19</v>
      </c>
      <c r="E496" s="84" t="s">
        <v>217</v>
      </c>
      <c r="F496" s="84" t="s">
        <v>31</v>
      </c>
      <c r="G496" s="87">
        <f t="shared" si="121"/>
        <v>105878296.25</v>
      </c>
      <c r="H496" s="87">
        <f t="shared" si="121"/>
        <v>98500729</v>
      </c>
      <c r="I496" s="87">
        <f t="shared" si="121"/>
        <v>98842132</v>
      </c>
      <c r="J496" s="177"/>
      <c r="K496" s="200"/>
      <c r="L496" s="200"/>
      <c r="M496" s="200"/>
      <c r="N496" s="200"/>
      <c r="O496" s="200"/>
      <c r="P496" s="200"/>
      <c r="Q496" s="215"/>
      <c r="R496" s="215"/>
      <c r="S496" s="17"/>
    </row>
    <row r="497" spans="1:19" s="18" customFormat="1" ht="24.75" customHeight="1">
      <c r="A497" s="82" t="s">
        <v>32</v>
      </c>
      <c r="B497" s="149">
        <v>774</v>
      </c>
      <c r="C497" s="84" t="s">
        <v>26</v>
      </c>
      <c r="D497" s="84" t="s">
        <v>19</v>
      </c>
      <c r="E497" s="84" t="s">
        <v>217</v>
      </c>
      <c r="F497" s="84" t="s">
        <v>33</v>
      </c>
      <c r="G497" s="87">
        <f>103803805+812371.25+1262120</f>
        <v>105878296.25</v>
      </c>
      <c r="H497" s="87">
        <v>98500729</v>
      </c>
      <c r="I497" s="87">
        <f>101842132-3000000</f>
        <v>98842132</v>
      </c>
      <c r="J497" s="177"/>
      <c r="K497" s="200"/>
      <c r="L497" s="200"/>
      <c r="M497" s="200"/>
      <c r="N497" s="200"/>
      <c r="O497" s="200"/>
      <c r="P497" s="200"/>
      <c r="Q497" s="215"/>
      <c r="R497" s="215"/>
      <c r="S497" s="17"/>
    </row>
    <row r="498" spans="1:19" s="18" customFormat="1">
      <c r="A498" s="82" t="s">
        <v>858</v>
      </c>
      <c r="B498" s="149">
        <v>774</v>
      </c>
      <c r="C498" s="84" t="s">
        <v>26</v>
      </c>
      <c r="D498" s="84" t="s">
        <v>19</v>
      </c>
      <c r="E498" s="84" t="s">
        <v>876</v>
      </c>
      <c r="F498" s="84"/>
      <c r="G498" s="87">
        <f t="shared" si="121"/>
        <v>600165.93000000005</v>
      </c>
      <c r="H498" s="87">
        <f t="shared" si="121"/>
        <v>780454</v>
      </c>
      <c r="I498" s="87">
        <f t="shared" si="121"/>
        <v>780454</v>
      </c>
      <c r="J498" s="177"/>
      <c r="K498" s="200"/>
      <c r="L498" s="200"/>
      <c r="M498" s="200"/>
      <c r="N498" s="200"/>
      <c r="O498" s="200"/>
      <c r="P498" s="200"/>
      <c r="Q498" s="215"/>
      <c r="R498" s="215"/>
      <c r="S498" s="17"/>
    </row>
    <row r="499" spans="1:19" s="18" customFormat="1" ht="25.5">
      <c r="A499" s="82" t="s">
        <v>30</v>
      </c>
      <c r="B499" s="149">
        <v>774</v>
      </c>
      <c r="C499" s="84" t="s">
        <v>26</v>
      </c>
      <c r="D499" s="84" t="s">
        <v>19</v>
      </c>
      <c r="E499" s="84" t="s">
        <v>876</v>
      </c>
      <c r="F499" s="84" t="s">
        <v>31</v>
      </c>
      <c r="G499" s="87">
        <f t="shared" si="121"/>
        <v>600165.93000000005</v>
      </c>
      <c r="H499" s="87">
        <f t="shared" si="121"/>
        <v>780454</v>
      </c>
      <c r="I499" s="87">
        <f t="shared" si="121"/>
        <v>780454</v>
      </c>
      <c r="J499" s="177"/>
      <c r="K499" s="200"/>
      <c r="L499" s="200"/>
      <c r="M499" s="200"/>
      <c r="N499" s="200"/>
      <c r="O499" s="200"/>
      <c r="P499" s="200"/>
      <c r="Q499" s="215"/>
      <c r="R499" s="215"/>
      <c r="S499" s="17"/>
    </row>
    <row r="500" spans="1:19" s="18" customFormat="1">
      <c r="A500" s="82" t="s">
        <v>32</v>
      </c>
      <c r="B500" s="149">
        <v>774</v>
      </c>
      <c r="C500" s="84" t="s">
        <v>26</v>
      </c>
      <c r="D500" s="84" t="s">
        <v>19</v>
      </c>
      <c r="E500" s="84" t="s">
        <v>876</v>
      </c>
      <c r="F500" s="84" t="s">
        <v>33</v>
      </c>
      <c r="G500" s="87">
        <f>632228.79-32062.86</f>
        <v>600165.93000000005</v>
      </c>
      <c r="H500" s="87">
        <v>780454</v>
      </c>
      <c r="I500" s="87">
        <v>780454</v>
      </c>
      <c r="J500" s="177"/>
      <c r="K500" s="200"/>
      <c r="L500" s="200"/>
      <c r="M500" s="200"/>
      <c r="N500" s="200"/>
      <c r="O500" s="200"/>
      <c r="P500" s="200"/>
      <c r="Q500" s="215"/>
      <c r="R500" s="215"/>
      <c r="S500" s="17"/>
    </row>
    <row r="501" spans="1:19" s="18" customFormat="1" ht="31.5" customHeight="1">
      <c r="A501" s="280" t="s">
        <v>125</v>
      </c>
      <c r="B501" s="84" t="s">
        <v>94</v>
      </c>
      <c r="C501" s="84" t="s">
        <v>26</v>
      </c>
      <c r="D501" s="84" t="s">
        <v>19</v>
      </c>
      <c r="E501" s="84" t="s">
        <v>226</v>
      </c>
      <c r="F501" s="84"/>
      <c r="G501" s="87">
        <f t="shared" ref="G501:I505" si="122">G502</f>
        <v>888490</v>
      </c>
      <c r="H501" s="87">
        <f t="shared" si="122"/>
        <v>888490</v>
      </c>
      <c r="I501" s="87">
        <f t="shared" si="122"/>
        <v>888490</v>
      </c>
      <c r="J501" s="177"/>
      <c r="K501" s="200"/>
      <c r="L501" s="200"/>
      <c r="M501" s="200"/>
      <c r="N501" s="200"/>
      <c r="O501" s="200"/>
      <c r="P501" s="200"/>
      <c r="Q501" s="215"/>
      <c r="R501" s="215"/>
      <c r="S501" s="17"/>
    </row>
    <row r="502" spans="1:19" s="18" customFormat="1" ht="25.5">
      <c r="A502" s="82" t="s">
        <v>30</v>
      </c>
      <c r="B502" s="84" t="s">
        <v>94</v>
      </c>
      <c r="C502" s="84" t="s">
        <v>26</v>
      </c>
      <c r="D502" s="84" t="s">
        <v>19</v>
      </c>
      <c r="E502" s="84" t="s">
        <v>226</v>
      </c>
      <c r="F502" s="84" t="s">
        <v>31</v>
      </c>
      <c r="G502" s="87">
        <f t="shared" si="122"/>
        <v>888490</v>
      </c>
      <c r="H502" s="87">
        <f t="shared" si="122"/>
        <v>888490</v>
      </c>
      <c r="I502" s="87">
        <f t="shared" si="122"/>
        <v>888490</v>
      </c>
      <c r="J502" s="177"/>
      <c r="K502" s="200"/>
      <c r="L502" s="200"/>
      <c r="M502" s="200"/>
      <c r="N502" s="200"/>
      <c r="O502" s="200"/>
      <c r="P502" s="200"/>
      <c r="Q502" s="200"/>
      <c r="R502" s="200"/>
    </row>
    <row r="503" spans="1:19">
      <c r="A503" s="82" t="s">
        <v>32</v>
      </c>
      <c r="B503" s="84" t="s">
        <v>94</v>
      </c>
      <c r="C503" s="84" t="s">
        <v>26</v>
      </c>
      <c r="D503" s="84" t="s">
        <v>19</v>
      </c>
      <c r="E503" s="84" t="s">
        <v>226</v>
      </c>
      <c r="F503" s="84" t="s">
        <v>33</v>
      </c>
      <c r="G503" s="87">
        <v>888490</v>
      </c>
      <c r="H503" s="87">
        <v>888490</v>
      </c>
      <c r="I503" s="87">
        <v>888490</v>
      </c>
      <c r="J503" s="177"/>
    </row>
    <row r="504" spans="1:19" s="18" customFormat="1" ht="42.75" customHeight="1">
      <c r="A504" s="280" t="s">
        <v>877</v>
      </c>
      <c r="B504" s="84" t="s">
        <v>94</v>
      </c>
      <c r="C504" s="84" t="s">
        <v>26</v>
      </c>
      <c r="D504" s="84" t="s">
        <v>19</v>
      </c>
      <c r="E504" s="84" t="s">
        <v>616</v>
      </c>
      <c r="F504" s="84"/>
      <c r="G504" s="87">
        <f t="shared" si="122"/>
        <v>0</v>
      </c>
      <c r="H504" s="87">
        <f t="shared" si="122"/>
        <v>857216</v>
      </c>
      <c r="I504" s="87">
        <f t="shared" si="122"/>
        <v>857216</v>
      </c>
      <c r="J504" s="177"/>
      <c r="K504" s="200"/>
      <c r="L504" s="200"/>
      <c r="M504" s="200"/>
      <c r="N504" s="200"/>
      <c r="O504" s="200"/>
      <c r="P504" s="200"/>
      <c r="Q504" s="215"/>
      <c r="R504" s="215"/>
      <c r="S504" s="17"/>
    </row>
    <row r="505" spans="1:19" s="18" customFormat="1" ht="25.5">
      <c r="A505" s="82" t="s">
        <v>30</v>
      </c>
      <c r="B505" s="84" t="s">
        <v>94</v>
      </c>
      <c r="C505" s="84" t="s">
        <v>26</v>
      </c>
      <c r="D505" s="84" t="s">
        <v>19</v>
      </c>
      <c r="E505" s="84" t="s">
        <v>616</v>
      </c>
      <c r="F505" s="84" t="s">
        <v>31</v>
      </c>
      <c r="G505" s="87">
        <f t="shared" si="122"/>
        <v>0</v>
      </c>
      <c r="H505" s="87">
        <f t="shared" si="122"/>
        <v>857216</v>
      </c>
      <c r="I505" s="87">
        <f t="shared" si="122"/>
        <v>857216</v>
      </c>
      <c r="J505" s="177"/>
      <c r="K505" s="200"/>
      <c r="L505" s="200"/>
      <c r="M505" s="200"/>
      <c r="N505" s="200"/>
      <c r="O505" s="200"/>
      <c r="P505" s="200"/>
      <c r="Q505" s="215"/>
      <c r="R505" s="215"/>
      <c r="S505" s="17"/>
    </row>
    <row r="506" spans="1:19">
      <c r="A506" s="82" t="s">
        <v>32</v>
      </c>
      <c r="B506" s="84" t="s">
        <v>94</v>
      </c>
      <c r="C506" s="84" t="s">
        <v>26</v>
      </c>
      <c r="D506" s="84" t="s">
        <v>19</v>
      </c>
      <c r="E506" s="84" t="s">
        <v>616</v>
      </c>
      <c r="F506" s="84" t="s">
        <v>33</v>
      </c>
      <c r="G506" s="87">
        <f>257165-257165</f>
        <v>0</v>
      </c>
      <c r="H506" s="87">
        <f>600051+257165</f>
        <v>857216</v>
      </c>
      <c r="I506" s="87">
        <f>600051+257165</f>
        <v>857216</v>
      </c>
      <c r="J506" s="177"/>
    </row>
    <row r="507" spans="1:19" s="3" customFormat="1" ht="42.75" hidden="1" customHeight="1">
      <c r="A507" s="82" t="s">
        <v>741</v>
      </c>
      <c r="B507" s="149">
        <v>774</v>
      </c>
      <c r="C507" s="84" t="s">
        <v>26</v>
      </c>
      <c r="D507" s="84" t="s">
        <v>19</v>
      </c>
      <c r="E507" s="84" t="s">
        <v>728</v>
      </c>
      <c r="F507" s="84"/>
      <c r="G507" s="87">
        <f>G508</f>
        <v>0</v>
      </c>
      <c r="H507" s="87">
        <f>H508</f>
        <v>0</v>
      </c>
      <c r="I507" s="87">
        <f>I508</f>
        <v>0</v>
      </c>
      <c r="J507" s="177"/>
      <c r="K507" s="199"/>
      <c r="L507" s="199"/>
      <c r="M507" s="199"/>
      <c r="N507" s="199"/>
      <c r="O507" s="199"/>
      <c r="P507" s="199"/>
      <c r="Q507" s="199"/>
      <c r="R507" s="199"/>
    </row>
    <row r="508" spans="1:19" s="3" customFormat="1" hidden="1">
      <c r="A508" s="82" t="s">
        <v>32</v>
      </c>
      <c r="B508" s="149">
        <v>774</v>
      </c>
      <c r="C508" s="84" t="s">
        <v>26</v>
      </c>
      <c r="D508" s="84" t="s">
        <v>19</v>
      </c>
      <c r="E508" s="84" t="s">
        <v>728</v>
      </c>
      <c r="F508" s="84" t="s">
        <v>33</v>
      </c>
      <c r="G508" s="87"/>
      <c r="H508" s="87"/>
      <c r="I508" s="87"/>
      <c r="J508" s="177"/>
      <c r="K508" s="199"/>
      <c r="L508" s="199"/>
      <c r="M508" s="199"/>
      <c r="N508" s="199"/>
      <c r="O508" s="199"/>
      <c r="P508" s="199"/>
      <c r="Q508" s="199"/>
      <c r="R508" s="199"/>
    </row>
    <row r="509" spans="1:19" s="18" customFormat="1" ht="51" customHeight="1">
      <c r="A509" s="280" t="s">
        <v>882</v>
      </c>
      <c r="B509" s="84" t="s">
        <v>94</v>
      </c>
      <c r="C509" s="84" t="s">
        <v>26</v>
      </c>
      <c r="D509" s="84" t="s">
        <v>19</v>
      </c>
      <c r="E509" s="84" t="s">
        <v>878</v>
      </c>
      <c r="F509" s="84"/>
      <c r="G509" s="87">
        <f t="shared" ref="G509:I513" si="123">G510</f>
        <v>2749897.1499999994</v>
      </c>
      <c r="H509" s="87">
        <f t="shared" si="123"/>
        <v>4174525</v>
      </c>
      <c r="I509" s="87">
        <f t="shared" si="123"/>
        <v>4174525</v>
      </c>
      <c r="J509" s="177"/>
      <c r="K509" s="200"/>
      <c r="L509" s="200"/>
      <c r="M509" s="200"/>
      <c r="N509" s="200"/>
      <c r="O509" s="200"/>
      <c r="P509" s="200"/>
      <c r="Q509" s="200"/>
      <c r="R509" s="200"/>
    </row>
    <row r="510" spans="1:19" s="18" customFormat="1" ht="25.5">
      <c r="A510" s="82" t="s">
        <v>30</v>
      </c>
      <c r="B510" s="84" t="s">
        <v>94</v>
      </c>
      <c r="C510" s="84" t="s">
        <v>26</v>
      </c>
      <c r="D510" s="84" t="s">
        <v>19</v>
      </c>
      <c r="E510" s="84" t="s">
        <v>878</v>
      </c>
      <c r="F510" s="84" t="s">
        <v>31</v>
      </c>
      <c r="G510" s="87">
        <f t="shared" si="123"/>
        <v>2749897.1499999994</v>
      </c>
      <c r="H510" s="87">
        <f t="shared" si="123"/>
        <v>4174525</v>
      </c>
      <c r="I510" s="87">
        <f t="shared" si="123"/>
        <v>4174525</v>
      </c>
      <c r="J510" s="177"/>
      <c r="K510" s="200"/>
      <c r="L510" s="200"/>
      <c r="M510" s="200"/>
      <c r="N510" s="200"/>
      <c r="O510" s="200"/>
      <c r="P510" s="200"/>
      <c r="Q510" s="200"/>
      <c r="R510" s="200"/>
    </row>
    <row r="511" spans="1:19">
      <c r="A511" s="82" t="s">
        <v>32</v>
      </c>
      <c r="B511" s="84" t="s">
        <v>94</v>
      </c>
      <c r="C511" s="84" t="s">
        <v>26</v>
      </c>
      <c r="D511" s="84" t="s">
        <v>19</v>
      </c>
      <c r="E511" s="84" t="s">
        <v>878</v>
      </c>
      <c r="F511" s="84" t="s">
        <v>33</v>
      </c>
      <c r="G511" s="87">
        <f>4233923-16508.49-1467517.36</f>
        <v>2749897.1499999994</v>
      </c>
      <c r="H511" s="87">
        <v>4174525</v>
      </c>
      <c r="I511" s="87">
        <v>4174525</v>
      </c>
      <c r="J511" s="177"/>
    </row>
    <row r="512" spans="1:19" s="18" customFormat="1" ht="45.75" hidden="1" customHeight="1">
      <c r="A512" s="280" t="s">
        <v>617</v>
      </c>
      <c r="B512" s="84" t="s">
        <v>94</v>
      </c>
      <c r="C512" s="84" t="s">
        <v>26</v>
      </c>
      <c r="D512" s="84" t="s">
        <v>19</v>
      </c>
      <c r="E512" s="84" t="s">
        <v>616</v>
      </c>
      <c r="F512" s="84"/>
      <c r="G512" s="87">
        <f t="shared" si="123"/>
        <v>0</v>
      </c>
      <c r="H512" s="87">
        <f t="shared" si="123"/>
        <v>0</v>
      </c>
      <c r="I512" s="87">
        <f t="shared" si="123"/>
        <v>0</v>
      </c>
      <c r="J512" s="177"/>
      <c r="K512" s="200"/>
      <c r="L512" s="200"/>
      <c r="M512" s="200"/>
      <c r="N512" s="200"/>
      <c r="O512" s="200"/>
      <c r="P512" s="200"/>
      <c r="Q512" s="200"/>
      <c r="R512" s="200"/>
    </row>
    <row r="513" spans="1:19" s="18" customFormat="1" ht="25.5" hidden="1">
      <c r="A513" s="82" t="s">
        <v>30</v>
      </c>
      <c r="B513" s="84" t="s">
        <v>94</v>
      </c>
      <c r="C513" s="84" t="s">
        <v>26</v>
      </c>
      <c r="D513" s="84" t="s">
        <v>19</v>
      </c>
      <c r="E513" s="84" t="s">
        <v>616</v>
      </c>
      <c r="F513" s="84" t="s">
        <v>31</v>
      </c>
      <c r="G513" s="87">
        <f t="shared" si="123"/>
        <v>0</v>
      </c>
      <c r="H513" s="87">
        <f t="shared" si="123"/>
        <v>0</v>
      </c>
      <c r="I513" s="87">
        <f t="shared" si="123"/>
        <v>0</v>
      </c>
      <c r="J513" s="177"/>
      <c r="K513" s="200"/>
      <c r="L513" s="200"/>
      <c r="M513" s="200"/>
      <c r="N513" s="200"/>
      <c r="O513" s="200"/>
      <c r="P513" s="200"/>
      <c r="Q513" s="200"/>
      <c r="R513" s="200"/>
    </row>
    <row r="514" spans="1:19" hidden="1">
      <c r="A514" s="82" t="s">
        <v>32</v>
      </c>
      <c r="B514" s="84" t="s">
        <v>94</v>
      </c>
      <c r="C514" s="84" t="s">
        <v>26</v>
      </c>
      <c r="D514" s="84" t="s">
        <v>19</v>
      </c>
      <c r="E514" s="84" t="s">
        <v>616</v>
      </c>
      <c r="F514" s="84" t="s">
        <v>33</v>
      </c>
      <c r="G514" s="87"/>
      <c r="H514" s="87"/>
      <c r="I514" s="87"/>
      <c r="J514" s="177"/>
    </row>
    <row r="515" spans="1:19" s="3" customFormat="1" ht="25.5">
      <c r="A515" s="82" t="s">
        <v>0</v>
      </c>
      <c r="B515" s="149">
        <v>774</v>
      </c>
      <c r="C515" s="84" t="s">
        <v>26</v>
      </c>
      <c r="D515" s="84" t="s">
        <v>19</v>
      </c>
      <c r="E515" s="84" t="s">
        <v>218</v>
      </c>
      <c r="F515" s="84"/>
      <c r="G515" s="87">
        <f>G533+G544+G550+G556+G545+G516+G551+G528+G527+G522+G519</f>
        <v>4025942.5</v>
      </c>
      <c r="H515" s="87">
        <f>H533+H544+H550+H556+H545+H516+H551+H528</f>
        <v>2502568</v>
      </c>
      <c r="I515" s="87">
        <f>I533+I544+I550+I556+I545+I516+I551+I528</f>
        <v>3902568</v>
      </c>
      <c r="J515" s="177"/>
      <c r="K515" s="199"/>
      <c r="L515" s="199"/>
      <c r="M515" s="199"/>
      <c r="N515" s="199"/>
      <c r="O515" s="199"/>
      <c r="P515" s="199"/>
      <c r="Q515" s="199"/>
      <c r="R515" s="199"/>
    </row>
    <row r="516" spans="1:19" ht="25.5" hidden="1" customHeight="1">
      <c r="A516" s="82" t="s">
        <v>776</v>
      </c>
      <c r="B516" s="149">
        <v>774</v>
      </c>
      <c r="C516" s="84" t="s">
        <v>26</v>
      </c>
      <c r="D516" s="84" t="s">
        <v>19</v>
      </c>
      <c r="E516" s="84" t="s">
        <v>775</v>
      </c>
      <c r="F516" s="149"/>
      <c r="G516" s="87">
        <f t="shared" ref="G516:I517" si="124">G517</f>
        <v>0</v>
      </c>
      <c r="H516" s="87">
        <f t="shared" si="124"/>
        <v>0</v>
      </c>
      <c r="I516" s="87">
        <f t="shared" si="124"/>
        <v>0</v>
      </c>
      <c r="J516" s="177"/>
    </row>
    <row r="517" spans="1:19" ht="25.5" hidden="1" customHeight="1">
      <c r="A517" s="82" t="s">
        <v>30</v>
      </c>
      <c r="B517" s="149">
        <v>774</v>
      </c>
      <c r="C517" s="84" t="s">
        <v>26</v>
      </c>
      <c r="D517" s="84" t="s">
        <v>19</v>
      </c>
      <c r="E517" s="84" t="s">
        <v>775</v>
      </c>
      <c r="F517" s="84" t="s">
        <v>31</v>
      </c>
      <c r="G517" s="87">
        <f t="shared" si="124"/>
        <v>0</v>
      </c>
      <c r="H517" s="87">
        <f t="shared" si="124"/>
        <v>0</v>
      </c>
      <c r="I517" s="87">
        <f t="shared" si="124"/>
        <v>0</v>
      </c>
      <c r="J517" s="177"/>
    </row>
    <row r="518" spans="1:19" ht="25.5" hidden="1" customHeight="1">
      <c r="A518" s="82" t="s">
        <v>32</v>
      </c>
      <c r="B518" s="149">
        <v>774</v>
      </c>
      <c r="C518" s="84" t="s">
        <v>26</v>
      </c>
      <c r="D518" s="84" t="s">
        <v>19</v>
      </c>
      <c r="E518" s="84" t="s">
        <v>775</v>
      </c>
      <c r="F518" s="84" t="s">
        <v>33</v>
      </c>
      <c r="G518" s="87"/>
      <c r="H518" s="87"/>
      <c r="I518" s="87"/>
      <c r="J518" s="177"/>
    </row>
    <row r="519" spans="1:19" s="18" customFormat="1" ht="25.5">
      <c r="A519" s="82" t="s">
        <v>1132</v>
      </c>
      <c r="B519" s="149">
        <v>774</v>
      </c>
      <c r="C519" s="84" t="s">
        <v>26</v>
      </c>
      <c r="D519" s="84" t="s">
        <v>19</v>
      </c>
      <c r="E519" s="84" t="s">
        <v>1133</v>
      </c>
      <c r="F519" s="84"/>
      <c r="G519" s="87">
        <f t="shared" ref="G519:I520" si="125">G520</f>
        <v>300000</v>
      </c>
      <c r="H519" s="87">
        <f t="shared" si="125"/>
        <v>0</v>
      </c>
      <c r="I519" s="87">
        <f t="shared" si="125"/>
        <v>0</v>
      </c>
      <c r="J519" s="177"/>
      <c r="K519" s="200"/>
      <c r="L519" s="200"/>
      <c r="M519" s="200"/>
      <c r="N519" s="200"/>
      <c r="O519" s="200"/>
      <c r="P519" s="200"/>
      <c r="Q519" s="215"/>
      <c r="R519" s="215"/>
      <c r="S519" s="17"/>
    </row>
    <row r="520" spans="1:19" s="18" customFormat="1" ht="25.5">
      <c r="A520" s="82" t="s">
        <v>30</v>
      </c>
      <c r="B520" s="149">
        <v>774</v>
      </c>
      <c r="C520" s="84" t="s">
        <v>26</v>
      </c>
      <c r="D520" s="84" t="s">
        <v>19</v>
      </c>
      <c r="E520" s="84" t="s">
        <v>1133</v>
      </c>
      <c r="F520" s="84" t="s">
        <v>31</v>
      </c>
      <c r="G520" s="87">
        <f t="shared" si="125"/>
        <v>300000</v>
      </c>
      <c r="H520" s="87">
        <f t="shared" si="125"/>
        <v>0</v>
      </c>
      <c r="I520" s="87">
        <f t="shared" si="125"/>
        <v>0</v>
      </c>
      <c r="J520" s="177"/>
      <c r="K520" s="200"/>
      <c r="L520" s="200"/>
      <c r="M520" s="200"/>
      <c r="N520" s="200"/>
      <c r="O520" s="200"/>
      <c r="P520" s="200"/>
      <c r="Q520" s="215"/>
      <c r="R520" s="215"/>
      <c r="S520" s="17"/>
    </row>
    <row r="521" spans="1:19" s="18" customFormat="1">
      <c r="A521" s="82" t="s">
        <v>32</v>
      </c>
      <c r="B521" s="149">
        <v>774</v>
      </c>
      <c r="C521" s="84" t="s">
        <v>26</v>
      </c>
      <c r="D521" s="84" t="s">
        <v>19</v>
      </c>
      <c r="E521" s="84" t="s">
        <v>1133</v>
      </c>
      <c r="F521" s="84" t="s">
        <v>33</v>
      </c>
      <c r="G521" s="87">
        <v>300000</v>
      </c>
      <c r="H521" s="87"/>
      <c r="I521" s="87"/>
      <c r="J521" s="177"/>
      <c r="K521" s="200"/>
      <c r="L521" s="200"/>
      <c r="M521" s="200"/>
      <c r="N521" s="200"/>
      <c r="O521" s="200"/>
      <c r="P521" s="200"/>
      <c r="Q521" s="215"/>
      <c r="R521" s="215"/>
      <c r="S521" s="17"/>
    </row>
    <row r="522" spans="1:19" s="3" customFormat="1" ht="25.5">
      <c r="A522" s="82" t="s">
        <v>1014</v>
      </c>
      <c r="B522" s="149">
        <v>774</v>
      </c>
      <c r="C522" s="84" t="s">
        <v>26</v>
      </c>
      <c r="D522" s="84" t="s">
        <v>19</v>
      </c>
      <c r="E522" s="84" t="s">
        <v>219</v>
      </c>
      <c r="F522" s="84"/>
      <c r="G522" s="87">
        <f t="shared" ref="G522:I523" si="126">G523</f>
        <v>2082996.42</v>
      </c>
      <c r="H522" s="87">
        <f t="shared" si="126"/>
        <v>0</v>
      </c>
      <c r="I522" s="87">
        <f t="shared" si="126"/>
        <v>0</v>
      </c>
      <c r="J522" s="177"/>
      <c r="K522" s="199"/>
      <c r="L522" s="199"/>
      <c r="M522" s="199"/>
      <c r="N522" s="199"/>
      <c r="O522" s="199"/>
      <c r="P522" s="199"/>
      <c r="Q522" s="199"/>
      <c r="R522" s="199"/>
    </row>
    <row r="523" spans="1:19" s="3" customFormat="1" ht="25.5">
      <c r="A523" s="82" t="s">
        <v>30</v>
      </c>
      <c r="B523" s="149">
        <v>774</v>
      </c>
      <c r="C523" s="84" t="s">
        <v>26</v>
      </c>
      <c r="D523" s="84" t="s">
        <v>19</v>
      </c>
      <c r="E523" s="84" t="s">
        <v>219</v>
      </c>
      <c r="F523" s="84" t="s">
        <v>31</v>
      </c>
      <c r="G523" s="87">
        <f t="shared" si="126"/>
        <v>2082996.42</v>
      </c>
      <c r="H523" s="87">
        <f t="shared" si="126"/>
        <v>0</v>
      </c>
      <c r="I523" s="87">
        <f t="shared" si="126"/>
        <v>0</v>
      </c>
      <c r="J523" s="177"/>
      <c r="K523" s="199"/>
      <c r="L523" s="199"/>
      <c r="M523" s="199"/>
      <c r="N523" s="199"/>
      <c r="O523" s="199"/>
      <c r="P523" s="199"/>
      <c r="Q523" s="199"/>
      <c r="R523" s="199"/>
    </row>
    <row r="524" spans="1:19" s="3" customFormat="1">
      <c r="A524" s="82" t="s">
        <v>32</v>
      </c>
      <c r="B524" s="149">
        <v>774</v>
      </c>
      <c r="C524" s="84" t="s">
        <v>26</v>
      </c>
      <c r="D524" s="84" t="s">
        <v>19</v>
      </c>
      <c r="E524" s="84" t="s">
        <v>219</v>
      </c>
      <c r="F524" s="84" t="s">
        <v>33</v>
      </c>
      <c r="G524" s="87">
        <f>2083259.42-263</f>
        <v>2082996.42</v>
      </c>
      <c r="H524" s="87">
        <v>0</v>
      </c>
      <c r="I524" s="87">
        <v>0</v>
      </c>
      <c r="J524" s="177"/>
      <c r="K524" s="199"/>
      <c r="L524" s="199"/>
      <c r="M524" s="199"/>
      <c r="N524" s="199"/>
      <c r="O524" s="199"/>
      <c r="P524" s="199"/>
      <c r="Q524" s="199"/>
      <c r="R524" s="199"/>
    </row>
    <row r="525" spans="1:19" s="3" customFormat="1" ht="25.5">
      <c r="A525" s="82" t="s">
        <v>1013</v>
      </c>
      <c r="B525" s="149">
        <v>774</v>
      </c>
      <c r="C525" s="84" t="s">
        <v>26</v>
      </c>
      <c r="D525" s="84" t="s">
        <v>19</v>
      </c>
      <c r="E525" s="84" t="s">
        <v>1011</v>
      </c>
      <c r="F525" s="84"/>
      <c r="G525" s="87">
        <f t="shared" ref="G525:I526" si="127">G526</f>
        <v>642065</v>
      </c>
      <c r="H525" s="87">
        <f t="shared" si="127"/>
        <v>0</v>
      </c>
      <c r="I525" s="87">
        <f t="shared" si="127"/>
        <v>0</v>
      </c>
      <c r="J525" s="177"/>
      <c r="K525" s="199"/>
      <c r="L525" s="199"/>
      <c r="M525" s="199"/>
      <c r="N525" s="199"/>
      <c r="O525" s="199"/>
      <c r="P525" s="199"/>
      <c r="Q525" s="199"/>
      <c r="R525" s="199"/>
    </row>
    <row r="526" spans="1:19" s="3" customFormat="1" ht="25.5">
      <c r="A526" s="82" t="s">
        <v>30</v>
      </c>
      <c r="B526" s="149">
        <v>774</v>
      </c>
      <c r="C526" s="84" t="s">
        <v>26</v>
      </c>
      <c r="D526" s="84" t="s">
        <v>19</v>
      </c>
      <c r="E526" s="84" t="s">
        <v>1011</v>
      </c>
      <c r="F526" s="84" t="s">
        <v>31</v>
      </c>
      <c r="G526" s="87">
        <f t="shared" si="127"/>
        <v>642065</v>
      </c>
      <c r="H526" s="87">
        <f t="shared" si="127"/>
        <v>0</v>
      </c>
      <c r="I526" s="87">
        <f t="shared" si="127"/>
        <v>0</v>
      </c>
      <c r="J526" s="177"/>
      <c r="K526" s="199"/>
      <c r="L526" s="199"/>
      <c r="M526" s="199"/>
      <c r="N526" s="199"/>
      <c r="O526" s="199"/>
      <c r="P526" s="199"/>
      <c r="Q526" s="199"/>
      <c r="R526" s="199"/>
    </row>
    <row r="527" spans="1:19" s="3" customFormat="1">
      <c r="A527" s="82" t="s">
        <v>32</v>
      </c>
      <c r="B527" s="149">
        <v>774</v>
      </c>
      <c r="C527" s="84" t="s">
        <v>26</v>
      </c>
      <c r="D527" s="84" t="s">
        <v>19</v>
      </c>
      <c r="E527" s="84" t="s">
        <v>1011</v>
      </c>
      <c r="F527" s="84" t="s">
        <v>33</v>
      </c>
      <c r="G527" s="87">
        <f>184790+308292+31000+117983</f>
        <v>642065</v>
      </c>
      <c r="H527" s="87"/>
      <c r="I527" s="87"/>
      <c r="J527" s="177"/>
      <c r="K527" s="199"/>
      <c r="L527" s="199"/>
      <c r="M527" s="199"/>
      <c r="N527" s="199"/>
      <c r="O527" s="199"/>
      <c r="P527" s="199"/>
      <c r="Q527" s="199"/>
      <c r="R527" s="199"/>
    </row>
    <row r="528" spans="1:19" s="3" customFormat="1" ht="65.25" customHeight="1">
      <c r="A528" s="82" t="s">
        <v>964</v>
      </c>
      <c r="B528" s="149">
        <v>774</v>
      </c>
      <c r="C528" s="84" t="s">
        <v>26</v>
      </c>
      <c r="D528" s="84" t="s">
        <v>19</v>
      </c>
      <c r="E528" s="84" t="s">
        <v>738</v>
      </c>
      <c r="F528" s="84"/>
      <c r="G528" s="87">
        <f t="shared" ref="G528:I529" si="128">G529</f>
        <v>0</v>
      </c>
      <c r="H528" s="87">
        <f t="shared" si="128"/>
        <v>975565</v>
      </c>
      <c r="I528" s="87">
        <f t="shared" si="128"/>
        <v>1975565</v>
      </c>
      <c r="J528" s="177"/>
      <c r="K528" s="199"/>
      <c r="L528" s="199"/>
      <c r="M528" s="199"/>
      <c r="N528" s="199"/>
      <c r="O528" s="199"/>
      <c r="P528" s="199"/>
      <c r="Q528" s="199"/>
      <c r="R528" s="199"/>
    </row>
    <row r="529" spans="1:18" s="3" customFormat="1" ht="25.5">
      <c r="A529" s="82" t="s">
        <v>30</v>
      </c>
      <c r="B529" s="149">
        <v>774</v>
      </c>
      <c r="C529" s="84" t="s">
        <v>26</v>
      </c>
      <c r="D529" s="84" t="s">
        <v>19</v>
      </c>
      <c r="E529" s="84" t="s">
        <v>738</v>
      </c>
      <c r="F529" s="84" t="s">
        <v>31</v>
      </c>
      <c r="G529" s="87">
        <f t="shared" si="128"/>
        <v>0</v>
      </c>
      <c r="H529" s="87">
        <f t="shared" si="128"/>
        <v>975565</v>
      </c>
      <c r="I529" s="87">
        <f t="shared" si="128"/>
        <v>1975565</v>
      </c>
      <c r="J529" s="177"/>
      <c r="K529" s="199"/>
      <c r="L529" s="199"/>
      <c r="M529" s="199"/>
      <c r="N529" s="199"/>
      <c r="O529" s="199"/>
      <c r="P529" s="199"/>
      <c r="Q529" s="199"/>
      <c r="R529" s="199"/>
    </row>
    <row r="530" spans="1:18" s="3" customFormat="1">
      <c r="A530" s="82" t="s">
        <v>32</v>
      </c>
      <c r="B530" s="149">
        <v>774</v>
      </c>
      <c r="C530" s="84" t="s">
        <v>26</v>
      </c>
      <c r="D530" s="84" t="s">
        <v>19</v>
      </c>
      <c r="E530" s="84" t="s">
        <v>738</v>
      </c>
      <c r="F530" s="84" t="s">
        <v>33</v>
      </c>
      <c r="G530" s="87">
        <v>0</v>
      </c>
      <c r="H530" s="87">
        <v>975565</v>
      </c>
      <c r="I530" s="87">
        <v>1975565</v>
      </c>
      <c r="J530" s="177"/>
      <c r="K530" s="199"/>
      <c r="L530" s="199"/>
      <c r="M530" s="199"/>
      <c r="N530" s="199"/>
      <c r="O530" s="199"/>
      <c r="P530" s="199"/>
      <c r="Q530" s="199"/>
      <c r="R530" s="199"/>
    </row>
    <row r="531" spans="1:18" ht="25.5" customHeight="1">
      <c r="A531" s="82" t="s">
        <v>294</v>
      </c>
      <c r="B531" s="149">
        <v>774</v>
      </c>
      <c r="C531" s="84" t="s">
        <v>26</v>
      </c>
      <c r="D531" s="84" t="s">
        <v>19</v>
      </c>
      <c r="E531" s="84" t="s">
        <v>293</v>
      </c>
      <c r="F531" s="149"/>
      <c r="G531" s="87">
        <f t="shared" ref="G531:I532" si="129">G532</f>
        <v>1000881.08</v>
      </c>
      <c r="H531" s="87">
        <f t="shared" si="129"/>
        <v>1027003</v>
      </c>
      <c r="I531" s="87">
        <f t="shared" si="129"/>
        <v>1427003</v>
      </c>
      <c r="J531" s="177"/>
    </row>
    <row r="532" spans="1:18" ht="25.5" customHeight="1">
      <c r="A532" s="82" t="s">
        <v>30</v>
      </c>
      <c r="B532" s="149">
        <v>774</v>
      </c>
      <c r="C532" s="84" t="s">
        <v>26</v>
      </c>
      <c r="D532" s="84" t="s">
        <v>19</v>
      </c>
      <c r="E532" s="84" t="s">
        <v>293</v>
      </c>
      <c r="F532" s="84" t="s">
        <v>31</v>
      </c>
      <c r="G532" s="87">
        <f t="shared" si="129"/>
        <v>1000881.08</v>
      </c>
      <c r="H532" s="87">
        <f t="shared" si="129"/>
        <v>1027003</v>
      </c>
      <c r="I532" s="87">
        <f t="shared" si="129"/>
        <v>1427003</v>
      </c>
      <c r="J532" s="177"/>
    </row>
    <row r="533" spans="1:18" ht="25.5" customHeight="1">
      <c r="A533" s="82" t="s">
        <v>32</v>
      </c>
      <c r="B533" s="149">
        <v>774</v>
      </c>
      <c r="C533" s="84" t="s">
        <v>26</v>
      </c>
      <c r="D533" s="84" t="s">
        <v>19</v>
      </c>
      <c r="E533" s="84" t="s">
        <v>293</v>
      </c>
      <c r="F533" s="84" t="s">
        <v>33</v>
      </c>
      <c r="G533" s="87">
        <f>927003+200000-126121.92</f>
        <v>1000881.08</v>
      </c>
      <c r="H533" s="87">
        <f>827003+200000</f>
        <v>1027003</v>
      </c>
      <c r="I533" s="87">
        <f>1227003+200000</f>
        <v>1427003</v>
      </c>
      <c r="J533" s="177"/>
    </row>
    <row r="534" spans="1:18" ht="96" hidden="1" customHeight="1">
      <c r="A534" s="82" t="s">
        <v>4</v>
      </c>
      <c r="B534" s="149">
        <v>774</v>
      </c>
      <c r="C534" s="84" t="s">
        <v>26</v>
      </c>
      <c r="D534" s="84" t="s">
        <v>19</v>
      </c>
      <c r="E534" s="84" t="s">
        <v>5</v>
      </c>
      <c r="F534" s="149"/>
      <c r="G534" s="87">
        <f t="shared" ref="G534:I535" si="130">G535</f>
        <v>0</v>
      </c>
      <c r="H534" s="87">
        <f t="shared" si="130"/>
        <v>0</v>
      </c>
      <c r="I534" s="87">
        <f t="shared" si="130"/>
        <v>0</v>
      </c>
      <c r="J534" s="177"/>
    </row>
    <row r="535" spans="1:18" ht="25.5" hidden="1" customHeight="1">
      <c r="A535" s="82" t="s">
        <v>30</v>
      </c>
      <c r="B535" s="149">
        <v>774</v>
      </c>
      <c r="C535" s="84" t="s">
        <v>26</v>
      </c>
      <c r="D535" s="84" t="s">
        <v>19</v>
      </c>
      <c r="E535" s="84" t="s">
        <v>5</v>
      </c>
      <c r="F535" s="84" t="s">
        <v>31</v>
      </c>
      <c r="G535" s="87">
        <f t="shared" si="130"/>
        <v>0</v>
      </c>
      <c r="H535" s="87">
        <f t="shared" si="130"/>
        <v>0</v>
      </c>
      <c r="I535" s="87">
        <f t="shared" si="130"/>
        <v>0</v>
      </c>
      <c r="J535" s="177"/>
    </row>
    <row r="536" spans="1:18" ht="25.5" hidden="1" customHeight="1">
      <c r="A536" s="82" t="s">
        <v>32</v>
      </c>
      <c r="B536" s="149">
        <v>774</v>
      </c>
      <c r="C536" s="84" t="s">
        <v>26</v>
      </c>
      <c r="D536" s="84" t="s">
        <v>19</v>
      </c>
      <c r="E536" s="84" t="s">
        <v>5</v>
      </c>
      <c r="F536" s="84" t="s">
        <v>33</v>
      </c>
      <c r="G536" s="87"/>
      <c r="H536" s="87"/>
      <c r="I536" s="87"/>
      <c r="J536" s="177"/>
    </row>
    <row r="537" spans="1:18" ht="96" hidden="1" customHeight="1">
      <c r="A537" s="133" t="s">
        <v>42</v>
      </c>
      <c r="B537" s="149">
        <v>774</v>
      </c>
      <c r="C537" s="84" t="s">
        <v>26</v>
      </c>
      <c r="D537" s="84" t="s">
        <v>19</v>
      </c>
      <c r="E537" s="84" t="s">
        <v>41</v>
      </c>
      <c r="F537" s="149"/>
      <c r="G537" s="87">
        <f t="shared" ref="G537:I538" si="131">G538</f>
        <v>0</v>
      </c>
      <c r="H537" s="87">
        <f t="shared" si="131"/>
        <v>0</v>
      </c>
      <c r="I537" s="87">
        <f t="shared" si="131"/>
        <v>0</v>
      </c>
      <c r="J537" s="177"/>
    </row>
    <row r="538" spans="1:18" ht="25.5" hidden="1" customHeight="1">
      <c r="A538" s="82" t="s">
        <v>30</v>
      </c>
      <c r="B538" s="149">
        <v>774</v>
      </c>
      <c r="C538" s="84" t="s">
        <v>26</v>
      </c>
      <c r="D538" s="84" t="s">
        <v>19</v>
      </c>
      <c r="E538" s="84" t="s">
        <v>5</v>
      </c>
      <c r="F538" s="84" t="s">
        <v>31</v>
      </c>
      <c r="G538" s="87">
        <f t="shared" si="131"/>
        <v>0</v>
      </c>
      <c r="H538" s="87">
        <f t="shared" si="131"/>
        <v>0</v>
      </c>
      <c r="I538" s="87">
        <f t="shared" si="131"/>
        <v>0</v>
      </c>
      <c r="J538" s="177"/>
    </row>
    <row r="539" spans="1:18" ht="25.5" hidden="1" customHeight="1">
      <c r="A539" s="82" t="s">
        <v>32</v>
      </c>
      <c r="B539" s="149">
        <v>774</v>
      </c>
      <c r="C539" s="84" t="s">
        <v>26</v>
      </c>
      <c r="D539" s="84" t="s">
        <v>19</v>
      </c>
      <c r="E539" s="84" t="s">
        <v>5</v>
      </c>
      <c r="F539" s="84" t="s">
        <v>33</v>
      </c>
      <c r="G539" s="87"/>
      <c r="H539" s="87"/>
      <c r="I539" s="87"/>
      <c r="J539" s="177"/>
    </row>
    <row r="540" spans="1:18" ht="48" hidden="1" customHeight="1">
      <c r="A540" s="82" t="s">
        <v>388</v>
      </c>
      <c r="B540" s="149">
        <v>774</v>
      </c>
      <c r="C540" s="84" t="s">
        <v>26</v>
      </c>
      <c r="D540" s="84" t="s">
        <v>19</v>
      </c>
      <c r="E540" s="84" t="s">
        <v>384</v>
      </c>
      <c r="F540" s="84"/>
      <c r="G540" s="87">
        <f>G541</f>
        <v>0</v>
      </c>
      <c r="H540" s="87">
        <f>H541</f>
        <v>0</v>
      </c>
      <c r="I540" s="87">
        <f>I541</f>
        <v>0</v>
      </c>
      <c r="J540" s="177"/>
    </row>
    <row r="541" spans="1:18" ht="25.5" hidden="1" customHeight="1">
      <c r="A541" s="82" t="s">
        <v>32</v>
      </c>
      <c r="B541" s="149">
        <v>774</v>
      </c>
      <c r="C541" s="84" t="s">
        <v>26</v>
      </c>
      <c r="D541" s="84" t="s">
        <v>19</v>
      </c>
      <c r="E541" s="84" t="s">
        <v>384</v>
      </c>
      <c r="F541" s="84" t="s">
        <v>33</v>
      </c>
      <c r="G541" s="87"/>
      <c r="H541" s="87"/>
      <c r="I541" s="87"/>
      <c r="J541" s="177"/>
    </row>
    <row r="542" spans="1:18" s="3" customFormat="1" hidden="1">
      <c r="A542" s="82" t="s">
        <v>1</v>
      </c>
      <c r="B542" s="149">
        <v>774</v>
      </c>
      <c r="C542" s="84" t="s">
        <v>26</v>
      </c>
      <c r="D542" s="84" t="s">
        <v>19</v>
      </c>
      <c r="E542" s="84" t="s">
        <v>219</v>
      </c>
      <c r="F542" s="84"/>
      <c r="G542" s="87">
        <f t="shared" ref="G542:I543" si="132">G543</f>
        <v>0</v>
      </c>
      <c r="H542" s="87">
        <f t="shared" si="132"/>
        <v>0</v>
      </c>
      <c r="I542" s="87">
        <f t="shared" si="132"/>
        <v>0</v>
      </c>
      <c r="J542" s="177"/>
      <c r="K542" s="199"/>
      <c r="L542" s="199"/>
      <c r="M542" s="199"/>
      <c r="N542" s="199"/>
      <c r="O542" s="199"/>
      <c r="P542" s="199"/>
      <c r="Q542" s="199"/>
      <c r="R542" s="199"/>
    </row>
    <row r="543" spans="1:18" s="3" customFormat="1" ht="25.5" hidden="1">
      <c r="A543" s="82" t="s">
        <v>30</v>
      </c>
      <c r="B543" s="149">
        <v>774</v>
      </c>
      <c r="C543" s="84" t="s">
        <v>26</v>
      </c>
      <c r="D543" s="84" t="s">
        <v>19</v>
      </c>
      <c r="E543" s="84" t="s">
        <v>219</v>
      </c>
      <c r="F543" s="84" t="s">
        <v>31</v>
      </c>
      <c r="G543" s="87">
        <f t="shared" si="132"/>
        <v>0</v>
      </c>
      <c r="H543" s="87">
        <f t="shared" si="132"/>
        <v>0</v>
      </c>
      <c r="I543" s="87">
        <f t="shared" si="132"/>
        <v>0</v>
      </c>
      <c r="J543" s="177"/>
      <c r="K543" s="199"/>
      <c r="L543" s="199"/>
      <c r="M543" s="199"/>
      <c r="N543" s="199"/>
      <c r="O543" s="199"/>
      <c r="P543" s="199"/>
      <c r="Q543" s="199"/>
      <c r="R543" s="199"/>
    </row>
    <row r="544" spans="1:18" s="3" customFormat="1" hidden="1">
      <c r="A544" s="82" t="s">
        <v>32</v>
      </c>
      <c r="B544" s="149">
        <v>774</v>
      </c>
      <c r="C544" s="84" t="s">
        <v>26</v>
      </c>
      <c r="D544" s="84" t="s">
        <v>19</v>
      </c>
      <c r="E544" s="84" t="s">
        <v>219</v>
      </c>
      <c r="F544" s="84" t="s">
        <v>33</v>
      </c>
      <c r="G544" s="87">
        <v>0</v>
      </c>
      <c r="H544" s="87"/>
      <c r="I544" s="87"/>
      <c r="J544" s="177"/>
      <c r="K544" s="199"/>
      <c r="L544" s="199"/>
      <c r="M544" s="199"/>
      <c r="N544" s="199"/>
      <c r="O544" s="199"/>
      <c r="P544" s="199"/>
      <c r="Q544" s="199"/>
      <c r="R544" s="199"/>
    </row>
    <row r="545" spans="1:18" s="3" customFormat="1" ht="54.75" hidden="1" customHeight="1">
      <c r="A545" s="82" t="s">
        <v>748</v>
      </c>
      <c r="B545" s="149">
        <v>774</v>
      </c>
      <c r="C545" s="84" t="s">
        <v>26</v>
      </c>
      <c r="D545" s="84" t="s">
        <v>19</v>
      </c>
      <c r="E545" s="84" t="s">
        <v>736</v>
      </c>
      <c r="F545" s="84"/>
      <c r="G545" s="87">
        <f t="shared" ref="G545:I546" si="133">G546</f>
        <v>0</v>
      </c>
      <c r="H545" s="87">
        <f t="shared" si="133"/>
        <v>0</v>
      </c>
      <c r="I545" s="87">
        <f t="shared" si="133"/>
        <v>0</v>
      </c>
      <c r="J545" s="177"/>
      <c r="K545" s="199"/>
      <c r="L545" s="199"/>
      <c r="M545" s="199"/>
      <c r="N545" s="199"/>
      <c r="O545" s="199"/>
      <c r="P545" s="199"/>
      <c r="Q545" s="199"/>
      <c r="R545" s="199"/>
    </row>
    <row r="546" spans="1:18" s="3" customFormat="1" ht="25.5" hidden="1">
      <c r="A546" s="82" t="s">
        <v>30</v>
      </c>
      <c r="B546" s="149">
        <v>774</v>
      </c>
      <c r="C546" s="84" t="s">
        <v>26</v>
      </c>
      <c r="D546" s="84" t="s">
        <v>19</v>
      </c>
      <c r="E546" s="84" t="s">
        <v>736</v>
      </c>
      <c r="F546" s="84" t="s">
        <v>31</v>
      </c>
      <c r="G546" s="87">
        <f t="shared" si="133"/>
        <v>0</v>
      </c>
      <c r="H546" s="87">
        <f t="shared" si="133"/>
        <v>0</v>
      </c>
      <c r="I546" s="87">
        <f t="shared" si="133"/>
        <v>0</v>
      </c>
      <c r="J546" s="177"/>
      <c r="K546" s="199"/>
      <c r="L546" s="199"/>
      <c r="M546" s="199"/>
      <c r="N546" s="199"/>
      <c r="O546" s="199"/>
      <c r="P546" s="199"/>
      <c r="Q546" s="199"/>
      <c r="R546" s="199"/>
    </row>
    <row r="547" spans="1:18" s="3" customFormat="1" hidden="1">
      <c r="A547" s="82" t="s">
        <v>32</v>
      </c>
      <c r="B547" s="149">
        <v>774</v>
      </c>
      <c r="C547" s="84" t="s">
        <v>26</v>
      </c>
      <c r="D547" s="84" t="s">
        <v>19</v>
      </c>
      <c r="E547" s="84" t="s">
        <v>736</v>
      </c>
      <c r="F547" s="84" t="s">
        <v>33</v>
      </c>
      <c r="G547" s="87"/>
      <c r="H547" s="87"/>
      <c r="I547" s="87"/>
      <c r="J547" s="177"/>
      <c r="K547" s="199"/>
      <c r="L547" s="199"/>
      <c r="M547" s="199"/>
      <c r="N547" s="199"/>
      <c r="O547" s="199"/>
      <c r="P547" s="199"/>
      <c r="Q547" s="199"/>
      <c r="R547" s="199"/>
    </row>
    <row r="548" spans="1:18" s="3" customFormat="1" ht="38.25">
      <c r="A548" s="82" t="s">
        <v>821</v>
      </c>
      <c r="B548" s="149">
        <v>774</v>
      </c>
      <c r="C548" s="84" t="s">
        <v>26</v>
      </c>
      <c r="D548" s="84" t="s">
        <v>19</v>
      </c>
      <c r="E548" s="84" t="s">
        <v>446</v>
      </c>
      <c r="F548" s="84"/>
      <c r="G548" s="87">
        <f>G549</f>
        <v>0</v>
      </c>
      <c r="H548" s="87">
        <f t="shared" ref="H548:I548" si="134">H549</f>
        <v>500000</v>
      </c>
      <c r="I548" s="87">
        <f t="shared" si="134"/>
        <v>500000</v>
      </c>
      <c r="J548" s="177"/>
      <c r="K548" s="199"/>
      <c r="L548" s="199"/>
      <c r="M548" s="199"/>
      <c r="N548" s="199"/>
      <c r="O548" s="199"/>
      <c r="P548" s="199"/>
      <c r="Q548" s="199"/>
      <c r="R548" s="199"/>
    </row>
    <row r="549" spans="1:18" s="3" customFormat="1" ht="33" customHeight="1">
      <c r="A549" s="82" t="s">
        <v>30</v>
      </c>
      <c r="B549" s="149">
        <v>774</v>
      </c>
      <c r="C549" s="84" t="s">
        <v>26</v>
      </c>
      <c r="D549" s="84" t="s">
        <v>19</v>
      </c>
      <c r="E549" s="84" t="s">
        <v>446</v>
      </c>
      <c r="F549" s="84" t="s">
        <v>31</v>
      </c>
      <c r="G549" s="87">
        <f>G550</f>
        <v>0</v>
      </c>
      <c r="H549" s="87">
        <f t="shared" ref="H549:I549" si="135">H550</f>
        <v>500000</v>
      </c>
      <c r="I549" s="87">
        <f t="shared" si="135"/>
        <v>500000</v>
      </c>
      <c r="J549" s="177"/>
      <c r="K549" s="199"/>
      <c r="L549" s="199"/>
      <c r="M549" s="199"/>
      <c r="N549" s="199"/>
      <c r="O549" s="199"/>
      <c r="P549" s="199"/>
      <c r="Q549" s="199"/>
      <c r="R549" s="199"/>
    </row>
    <row r="550" spans="1:18" s="3" customFormat="1">
      <c r="A550" s="82" t="s">
        <v>32</v>
      </c>
      <c r="B550" s="149">
        <v>774</v>
      </c>
      <c r="C550" s="84" t="s">
        <v>26</v>
      </c>
      <c r="D550" s="84" t="s">
        <v>19</v>
      </c>
      <c r="E550" s="84" t="s">
        <v>446</v>
      </c>
      <c r="F550" s="84" t="s">
        <v>33</v>
      </c>
      <c r="G550" s="87">
        <v>0</v>
      </c>
      <c r="H550" s="87">
        <v>500000</v>
      </c>
      <c r="I550" s="87">
        <v>500000</v>
      </c>
      <c r="J550" s="177"/>
      <c r="K550" s="199"/>
      <c r="L550" s="199"/>
      <c r="M550" s="199"/>
      <c r="N550" s="199"/>
      <c r="O550" s="199"/>
      <c r="P550" s="199"/>
      <c r="Q550" s="199"/>
      <c r="R550" s="199"/>
    </row>
    <row r="551" spans="1:18" s="3" customFormat="1" hidden="1">
      <c r="A551" s="82"/>
      <c r="B551" s="149"/>
      <c r="C551" s="84"/>
      <c r="D551" s="84"/>
      <c r="E551" s="84"/>
      <c r="F551" s="84"/>
      <c r="G551" s="87"/>
      <c r="H551" s="87"/>
      <c r="I551" s="87"/>
      <c r="J551" s="177"/>
      <c r="K551" s="199"/>
      <c r="L551" s="199"/>
      <c r="M551" s="199"/>
      <c r="N551" s="199"/>
      <c r="O551" s="199"/>
      <c r="P551" s="199"/>
      <c r="Q551" s="199"/>
      <c r="R551" s="199"/>
    </row>
    <row r="552" spans="1:18" s="3" customFormat="1" ht="33" hidden="1" customHeight="1">
      <c r="A552" s="82"/>
      <c r="B552" s="149"/>
      <c r="C552" s="84"/>
      <c r="D552" s="84"/>
      <c r="E552" s="84"/>
      <c r="F552" s="84"/>
      <c r="G552" s="87"/>
      <c r="H552" s="87"/>
      <c r="I552" s="87"/>
      <c r="J552" s="177"/>
      <c r="K552" s="199"/>
      <c r="L552" s="199"/>
      <c r="M552" s="199"/>
      <c r="N552" s="199"/>
      <c r="O552" s="199"/>
      <c r="P552" s="199"/>
      <c r="Q552" s="199"/>
      <c r="R552" s="199"/>
    </row>
    <row r="553" spans="1:18" s="3" customFormat="1" hidden="1">
      <c r="A553" s="82"/>
      <c r="B553" s="149"/>
      <c r="C553" s="84"/>
      <c r="D553" s="84"/>
      <c r="E553" s="84"/>
      <c r="F553" s="84"/>
      <c r="G553" s="87"/>
      <c r="H553" s="87"/>
      <c r="I553" s="87"/>
      <c r="J553" s="177"/>
      <c r="K553" s="199"/>
      <c r="L553" s="199"/>
      <c r="M553" s="199"/>
      <c r="N553" s="199"/>
      <c r="O553" s="199"/>
      <c r="P553" s="199"/>
      <c r="Q553" s="199"/>
      <c r="R553" s="199"/>
    </row>
    <row r="554" spans="1:18" s="3" customFormat="1" ht="30.75" hidden="1" customHeight="1">
      <c r="A554" s="82" t="s">
        <v>731</v>
      </c>
      <c r="B554" s="149">
        <v>774</v>
      </c>
      <c r="C554" s="84" t="s">
        <v>26</v>
      </c>
      <c r="D554" s="84" t="s">
        <v>19</v>
      </c>
      <c r="E554" s="84" t="s">
        <v>732</v>
      </c>
      <c r="F554" s="84"/>
      <c r="G554" s="87">
        <f>G555</f>
        <v>0</v>
      </c>
      <c r="H554" s="87">
        <f>H556</f>
        <v>0</v>
      </c>
      <c r="I554" s="87">
        <f>I556</f>
        <v>0</v>
      </c>
      <c r="J554" s="177"/>
      <c r="K554" s="199"/>
      <c r="L554" s="199"/>
      <c r="M554" s="199"/>
      <c r="N554" s="199"/>
      <c r="O554" s="199"/>
      <c r="P554" s="199"/>
      <c r="Q554" s="199"/>
      <c r="R554" s="199"/>
    </row>
    <row r="555" spans="1:18" s="3" customFormat="1" ht="29.25" hidden="1" customHeight="1">
      <c r="A555" s="82" t="s">
        <v>30</v>
      </c>
      <c r="B555" s="149">
        <v>774</v>
      </c>
      <c r="C555" s="84" t="s">
        <v>26</v>
      </c>
      <c r="D555" s="84" t="s">
        <v>19</v>
      </c>
      <c r="E555" s="84" t="s">
        <v>732</v>
      </c>
      <c r="F555" s="84" t="s">
        <v>31</v>
      </c>
      <c r="G555" s="87">
        <f>G556</f>
        <v>0</v>
      </c>
      <c r="H555" s="87">
        <v>0</v>
      </c>
      <c r="I555" s="87">
        <v>0</v>
      </c>
      <c r="J555" s="177"/>
      <c r="K555" s="199"/>
      <c r="L555" s="199"/>
      <c r="M555" s="199"/>
      <c r="N555" s="199"/>
      <c r="O555" s="199"/>
      <c r="P555" s="199"/>
      <c r="Q555" s="199"/>
      <c r="R555" s="199"/>
    </row>
    <row r="556" spans="1:18" s="3" customFormat="1" hidden="1">
      <c r="A556" s="82" t="s">
        <v>32</v>
      </c>
      <c r="B556" s="149">
        <v>774</v>
      </c>
      <c r="C556" s="84" t="s">
        <v>26</v>
      </c>
      <c r="D556" s="84" t="s">
        <v>19</v>
      </c>
      <c r="E556" s="84" t="s">
        <v>732</v>
      </c>
      <c r="F556" s="84" t="s">
        <v>33</v>
      </c>
      <c r="G556" s="87">
        <v>0</v>
      </c>
      <c r="H556" s="87">
        <v>0</v>
      </c>
      <c r="I556" s="87">
        <v>0</v>
      </c>
      <c r="J556" s="177"/>
      <c r="K556" s="199"/>
      <c r="L556" s="199"/>
      <c r="M556" s="199"/>
      <c r="N556" s="199"/>
      <c r="O556" s="199"/>
      <c r="P556" s="199"/>
      <c r="Q556" s="199"/>
      <c r="R556" s="199"/>
    </row>
    <row r="557" spans="1:18" s="18" customFormat="1" ht="25.5" hidden="1" customHeight="1">
      <c r="A557" s="135" t="s">
        <v>482</v>
      </c>
      <c r="B557" s="149">
        <v>774</v>
      </c>
      <c r="C557" s="84" t="s">
        <v>26</v>
      </c>
      <c r="D557" s="84" t="s">
        <v>19</v>
      </c>
      <c r="E557" s="84" t="s">
        <v>220</v>
      </c>
      <c r="F557" s="84"/>
      <c r="G557" s="87">
        <f t="shared" ref="G557:I559" si="136">G558</f>
        <v>0</v>
      </c>
      <c r="H557" s="87">
        <f t="shared" si="136"/>
        <v>0</v>
      </c>
      <c r="I557" s="87">
        <f t="shared" si="136"/>
        <v>0</v>
      </c>
      <c r="J557" s="177"/>
      <c r="K557" s="200"/>
      <c r="L557" s="200"/>
      <c r="M557" s="200"/>
      <c r="N557" s="200"/>
      <c r="O557" s="200"/>
      <c r="P557" s="200"/>
      <c r="Q557" s="200"/>
      <c r="R557" s="200"/>
    </row>
    <row r="558" spans="1:18" s="18" customFormat="1" ht="25.5" hidden="1">
      <c r="A558" s="82" t="s">
        <v>99</v>
      </c>
      <c r="B558" s="84" t="s">
        <v>94</v>
      </c>
      <c r="C558" s="84" t="s">
        <v>26</v>
      </c>
      <c r="D558" s="84" t="s">
        <v>19</v>
      </c>
      <c r="E558" s="84" t="s">
        <v>221</v>
      </c>
      <c r="F558" s="84"/>
      <c r="G558" s="87">
        <f t="shared" si="136"/>
        <v>0</v>
      </c>
      <c r="H558" s="87">
        <f t="shared" si="136"/>
        <v>0</v>
      </c>
      <c r="I558" s="87">
        <f t="shared" si="136"/>
        <v>0</v>
      </c>
      <c r="J558" s="177"/>
      <c r="K558" s="200"/>
      <c r="L558" s="200"/>
      <c r="M558" s="200"/>
      <c r="N558" s="200"/>
      <c r="O558" s="200"/>
      <c r="P558" s="200"/>
      <c r="Q558" s="200"/>
      <c r="R558" s="200"/>
    </row>
    <row r="559" spans="1:18" s="18" customFormat="1" ht="30.75" hidden="1" customHeight="1">
      <c r="A559" s="82" t="s">
        <v>30</v>
      </c>
      <c r="B559" s="84" t="s">
        <v>94</v>
      </c>
      <c r="C559" s="84" t="s">
        <v>26</v>
      </c>
      <c r="D559" s="84" t="s">
        <v>19</v>
      </c>
      <c r="E559" s="84" t="s">
        <v>221</v>
      </c>
      <c r="F559" s="84" t="s">
        <v>31</v>
      </c>
      <c r="G559" s="87">
        <f t="shared" si="136"/>
        <v>0</v>
      </c>
      <c r="H559" s="87">
        <f t="shared" si="136"/>
        <v>0</v>
      </c>
      <c r="I559" s="87">
        <f t="shared" si="136"/>
        <v>0</v>
      </c>
      <c r="J559" s="177"/>
      <c r="K559" s="200"/>
      <c r="L559" s="200"/>
      <c r="M559" s="200"/>
      <c r="N559" s="200"/>
      <c r="O559" s="200"/>
      <c r="P559" s="200"/>
      <c r="Q559" s="200"/>
      <c r="R559" s="200"/>
    </row>
    <row r="560" spans="1:18" s="18" customFormat="1" hidden="1">
      <c r="A560" s="82" t="s">
        <v>32</v>
      </c>
      <c r="B560" s="84" t="s">
        <v>94</v>
      </c>
      <c r="C560" s="84" t="s">
        <v>26</v>
      </c>
      <c r="D560" s="84" t="s">
        <v>19</v>
      </c>
      <c r="E560" s="84" t="s">
        <v>221</v>
      </c>
      <c r="F560" s="84" t="s">
        <v>33</v>
      </c>
      <c r="G560" s="87"/>
      <c r="H560" s="87"/>
      <c r="I560" s="87"/>
      <c r="J560" s="177"/>
      <c r="K560" s="200"/>
      <c r="L560" s="200"/>
      <c r="M560" s="200"/>
      <c r="N560" s="200"/>
      <c r="O560" s="200"/>
      <c r="P560" s="200"/>
      <c r="Q560" s="200"/>
      <c r="R560" s="200"/>
    </row>
    <row r="561" spans="1:18" s="18" customFormat="1" ht="25.5" hidden="1">
      <c r="A561" s="82" t="s">
        <v>169</v>
      </c>
      <c r="B561" s="84" t="s">
        <v>94</v>
      </c>
      <c r="C561" s="84" t="s">
        <v>26</v>
      </c>
      <c r="D561" s="84" t="s">
        <v>19</v>
      </c>
      <c r="E561" s="84" t="s">
        <v>233</v>
      </c>
      <c r="F561" s="84"/>
      <c r="G561" s="87">
        <f>G562</f>
        <v>0</v>
      </c>
      <c r="H561" s="87">
        <v>0</v>
      </c>
      <c r="I561" s="87">
        <v>0</v>
      </c>
      <c r="J561" s="177"/>
      <c r="K561" s="200"/>
      <c r="L561" s="200"/>
      <c r="M561" s="200"/>
      <c r="N561" s="200"/>
      <c r="O561" s="200"/>
      <c r="P561" s="200"/>
      <c r="Q561" s="200"/>
      <c r="R561" s="200"/>
    </row>
    <row r="562" spans="1:18" s="18" customFormat="1" ht="47.25" hidden="1" customHeight="1">
      <c r="A562" s="82" t="s">
        <v>169</v>
      </c>
      <c r="B562" s="84" t="s">
        <v>94</v>
      </c>
      <c r="C562" s="84" t="s">
        <v>26</v>
      </c>
      <c r="D562" s="84" t="s">
        <v>19</v>
      </c>
      <c r="E562" s="84" t="s">
        <v>275</v>
      </c>
      <c r="F562" s="84"/>
      <c r="G562" s="87">
        <f>G563</f>
        <v>0</v>
      </c>
      <c r="H562" s="87">
        <f t="shared" ref="H562:I563" si="137">H563</f>
        <v>0</v>
      </c>
      <c r="I562" s="87">
        <f t="shared" si="137"/>
        <v>0</v>
      </c>
      <c r="J562" s="177"/>
      <c r="K562" s="200"/>
      <c r="L562" s="200"/>
      <c r="M562" s="200"/>
      <c r="N562" s="200"/>
      <c r="O562" s="200"/>
      <c r="P562" s="200"/>
      <c r="Q562" s="200"/>
      <c r="R562" s="200"/>
    </row>
    <row r="563" spans="1:18" s="18" customFormat="1" ht="25.5" hidden="1">
      <c r="A563" s="82" t="s">
        <v>30</v>
      </c>
      <c r="B563" s="84" t="s">
        <v>94</v>
      </c>
      <c r="C563" s="84" t="s">
        <v>26</v>
      </c>
      <c r="D563" s="84" t="s">
        <v>19</v>
      </c>
      <c r="E563" s="84" t="s">
        <v>275</v>
      </c>
      <c r="F563" s="84" t="s">
        <v>31</v>
      </c>
      <c r="G563" s="87">
        <f>G564</f>
        <v>0</v>
      </c>
      <c r="H563" s="87">
        <f t="shared" si="137"/>
        <v>0</v>
      </c>
      <c r="I563" s="87">
        <f t="shared" si="137"/>
        <v>0</v>
      </c>
      <c r="J563" s="177"/>
      <c r="K563" s="200"/>
      <c r="L563" s="200"/>
      <c r="M563" s="200"/>
      <c r="N563" s="200"/>
      <c r="O563" s="200"/>
      <c r="P563" s="200"/>
      <c r="Q563" s="200"/>
      <c r="R563" s="200"/>
    </row>
    <row r="564" spans="1:18" s="18" customFormat="1" hidden="1">
      <c r="A564" s="82" t="s">
        <v>32</v>
      </c>
      <c r="B564" s="84" t="s">
        <v>94</v>
      </c>
      <c r="C564" s="84" t="s">
        <v>26</v>
      </c>
      <c r="D564" s="84" t="s">
        <v>19</v>
      </c>
      <c r="E564" s="84" t="s">
        <v>275</v>
      </c>
      <c r="F564" s="84" t="s">
        <v>33</v>
      </c>
      <c r="G564" s="87"/>
      <c r="H564" s="87">
        <v>0</v>
      </c>
      <c r="I564" s="87">
        <v>0</v>
      </c>
      <c r="J564" s="177"/>
      <c r="K564" s="200"/>
      <c r="L564" s="200"/>
      <c r="M564" s="200"/>
      <c r="N564" s="200"/>
      <c r="O564" s="200"/>
      <c r="P564" s="200"/>
      <c r="Q564" s="200"/>
      <c r="R564" s="200"/>
    </row>
    <row r="565" spans="1:18" ht="22.5" customHeight="1">
      <c r="A565" s="135" t="s">
        <v>27</v>
      </c>
      <c r="B565" s="84" t="s">
        <v>94</v>
      </c>
      <c r="C565" s="84" t="s">
        <v>26</v>
      </c>
      <c r="D565" s="84" t="s">
        <v>28</v>
      </c>
      <c r="E565" s="84"/>
      <c r="F565" s="84"/>
      <c r="G565" s="87">
        <f>G570+G745+G753+G764+G768+G749+G771+G781+G798+G791+G805+G566</f>
        <v>764340949.85000002</v>
      </c>
      <c r="H565" s="87">
        <f>H570+H745+H753+H764+H768+H749+H771+H781+H798</f>
        <v>594655480.32000005</v>
      </c>
      <c r="I565" s="87">
        <f>I570+I745+I753+I764+I768+I749+I771+I781+I798</f>
        <v>574424356</v>
      </c>
      <c r="J565" s="177"/>
    </row>
    <row r="566" spans="1:18" ht="55.5" customHeight="1">
      <c r="A566" s="135" t="s">
        <v>1104</v>
      </c>
      <c r="B566" s="84" t="s">
        <v>94</v>
      </c>
      <c r="C566" s="84" t="s">
        <v>26</v>
      </c>
      <c r="D566" s="84" t="s">
        <v>28</v>
      </c>
      <c r="E566" s="84" t="s">
        <v>214</v>
      </c>
      <c r="F566" s="84"/>
      <c r="G566" s="87">
        <f>G567</f>
        <v>478000</v>
      </c>
      <c r="H566" s="87">
        <f t="shared" ref="H566:I566" si="138">H567</f>
        <v>0</v>
      </c>
      <c r="I566" s="87">
        <f t="shared" si="138"/>
        <v>0</v>
      </c>
      <c r="J566" s="177"/>
    </row>
    <row r="567" spans="1:18" ht="41.25" customHeight="1">
      <c r="A567" s="135" t="s">
        <v>1131</v>
      </c>
      <c r="B567" s="84" t="s">
        <v>94</v>
      </c>
      <c r="C567" s="84" t="s">
        <v>26</v>
      </c>
      <c r="D567" s="84" t="s">
        <v>28</v>
      </c>
      <c r="E567" s="84" t="s">
        <v>1130</v>
      </c>
      <c r="F567" s="84"/>
      <c r="G567" s="87">
        <f>G568</f>
        <v>478000</v>
      </c>
      <c r="H567" s="87">
        <f t="shared" ref="H567:I567" si="139">H568</f>
        <v>0</v>
      </c>
      <c r="I567" s="87">
        <f t="shared" si="139"/>
        <v>0</v>
      </c>
      <c r="J567" s="177"/>
    </row>
    <row r="568" spans="1:18" ht="36" customHeight="1">
      <c r="A568" s="135" t="s">
        <v>96</v>
      </c>
      <c r="B568" s="84" t="s">
        <v>94</v>
      </c>
      <c r="C568" s="84" t="s">
        <v>26</v>
      </c>
      <c r="D568" s="84" t="s">
        <v>28</v>
      </c>
      <c r="E568" s="84" t="s">
        <v>1130</v>
      </c>
      <c r="F568" s="84" t="s">
        <v>348</v>
      </c>
      <c r="G568" s="87">
        <f>G569</f>
        <v>478000</v>
      </c>
      <c r="H568" s="87">
        <f t="shared" ref="H568:I568" si="140">H569</f>
        <v>0</v>
      </c>
      <c r="I568" s="87">
        <f t="shared" si="140"/>
        <v>0</v>
      </c>
      <c r="J568" s="177"/>
    </row>
    <row r="569" spans="1:18" ht="108" customHeight="1">
      <c r="A569" s="135" t="s">
        <v>420</v>
      </c>
      <c r="B569" s="84" t="s">
        <v>94</v>
      </c>
      <c r="C569" s="84" t="s">
        <v>26</v>
      </c>
      <c r="D569" s="84" t="s">
        <v>28</v>
      </c>
      <c r="E569" s="84" t="s">
        <v>1130</v>
      </c>
      <c r="F569" s="84" t="s">
        <v>419</v>
      </c>
      <c r="G569" s="87">
        <v>478000</v>
      </c>
      <c r="H569" s="87">
        <v>0</v>
      </c>
      <c r="I569" s="87">
        <v>0</v>
      </c>
      <c r="J569" s="177"/>
    </row>
    <row r="570" spans="1:18" s="28" customFormat="1" ht="25.5">
      <c r="A570" s="82" t="s">
        <v>477</v>
      </c>
      <c r="B570" s="84" t="s">
        <v>94</v>
      </c>
      <c r="C570" s="84" t="s">
        <v>26</v>
      </c>
      <c r="D570" s="84" t="s">
        <v>28</v>
      </c>
      <c r="E570" s="84" t="s">
        <v>189</v>
      </c>
      <c r="F570" s="168"/>
      <c r="G570" s="87">
        <f>G571+G653+G741</f>
        <v>762440601.85000002</v>
      </c>
      <c r="H570" s="87">
        <f>H571+H653+H741</f>
        <v>594655480.32000005</v>
      </c>
      <c r="I570" s="87">
        <f>I571+I653+I741</f>
        <v>574424356</v>
      </c>
      <c r="J570" s="177"/>
      <c r="K570" s="204"/>
      <c r="L570" s="204"/>
      <c r="M570" s="204"/>
      <c r="N570" s="210"/>
      <c r="O570" s="204"/>
      <c r="P570" s="204"/>
      <c r="Q570" s="204"/>
      <c r="R570" s="204"/>
    </row>
    <row r="571" spans="1:18" ht="30.75" customHeight="1">
      <c r="A571" s="82" t="s">
        <v>90</v>
      </c>
      <c r="B571" s="84" t="s">
        <v>94</v>
      </c>
      <c r="C571" s="84" t="s">
        <v>26</v>
      </c>
      <c r="D571" s="84" t="s">
        <v>28</v>
      </c>
      <c r="E571" s="84" t="s">
        <v>215</v>
      </c>
      <c r="F571" s="84"/>
      <c r="G571" s="87">
        <f>G577+G580+G594+G599+G607+G610+G613+G625+G628+G640+G643+G646+G588+G600</f>
        <v>595078382.78999996</v>
      </c>
      <c r="H571" s="87">
        <f>H577+H580+H594+H599+H607+H610+H613+H625+H628+H640+H643+H646+H588+H600</f>
        <v>536802589</v>
      </c>
      <c r="I571" s="87">
        <f t="shared" ref="I571" si="141">I577+I580+I594+I599+I607+I610+I613+I625+I628+I640+I643+I646+I588+I600</f>
        <v>567757154</v>
      </c>
      <c r="J571" s="177"/>
      <c r="K571" s="177"/>
      <c r="L571" s="177"/>
      <c r="M571" s="177"/>
      <c r="N571" s="177"/>
      <c r="O571" s="177"/>
    </row>
    <row r="572" spans="1:18" ht="50.25" hidden="1" customHeight="1">
      <c r="A572" s="82" t="s">
        <v>648</v>
      </c>
      <c r="B572" s="84" t="s">
        <v>94</v>
      </c>
      <c r="C572" s="84" t="s">
        <v>26</v>
      </c>
      <c r="D572" s="84" t="s">
        <v>28</v>
      </c>
      <c r="E572" s="84" t="s">
        <v>647</v>
      </c>
      <c r="F572" s="84"/>
      <c r="G572" s="87">
        <f t="shared" ref="G572:I573" si="142">G573</f>
        <v>0</v>
      </c>
      <c r="H572" s="87">
        <f t="shared" si="142"/>
        <v>0</v>
      </c>
      <c r="I572" s="87">
        <f t="shared" si="142"/>
        <v>0</v>
      </c>
      <c r="J572" s="177"/>
    </row>
    <row r="573" spans="1:18" s="18" customFormat="1" ht="25.5" hidden="1">
      <c r="A573" s="82" t="s">
        <v>30</v>
      </c>
      <c r="B573" s="84" t="s">
        <v>94</v>
      </c>
      <c r="C573" s="84" t="s">
        <v>26</v>
      </c>
      <c r="D573" s="84" t="s">
        <v>28</v>
      </c>
      <c r="E573" s="84" t="s">
        <v>647</v>
      </c>
      <c r="F573" s="84" t="s">
        <v>31</v>
      </c>
      <c r="G573" s="87">
        <f t="shared" si="142"/>
        <v>0</v>
      </c>
      <c r="H573" s="87">
        <f>H574</f>
        <v>0</v>
      </c>
      <c r="I573" s="87">
        <f>I574</f>
        <v>0</v>
      </c>
      <c r="J573" s="177"/>
      <c r="K573" s="200"/>
      <c r="L573" s="200"/>
      <c r="M573" s="215"/>
      <c r="N573" s="215"/>
      <c r="O573" s="200"/>
      <c r="P573" s="200"/>
      <c r="Q573" s="200"/>
      <c r="R573" s="200"/>
    </row>
    <row r="574" spans="1:18" s="18" customFormat="1" hidden="1">
      <c r="A574" s="82" t="s">
        <v>32</v>
      </c>
      <c r="B574" s="84" t="s">
        <v>94</v>
      </c>
      <c r="C574" s="84" t="s">
        <v>26</v>
      </c>
      <c r="D574" s="84" t="s">
        <v>28</v>
      </c>
      <c r="E574" s="84" t="s">
        <v>647</v>
      </c>
      <c r="F574" s="84" t="s">
        <v>33</v>
      </c>
      <c r="G574" s="87"/>
      <c r="H574" s="87"/>
      <c r="I574" s="87"/>
      <c r="J574" s="177"/>
      <c r="K574" s="200"/>
      <c r="L574" s="200"/>
      <c r="M574" s="200"/>
      <c r="N574" s="200"/>
      <c r="O574" s="200"/>
      <c r="P574" s="200"/>
      <c r="Q574" s="200"/>
      <c r="R574" s="200"/>
    </row>
    <row r="575" spans="1:18" ht="50.25" customHeight="1">
      <c r="A575" s="82" t="s">
        <v>3</v>
      </c>
      <c r="B575" s="84" t="s">
        <v>94</v>
      </c>
      <c r="C575" s="84" t="s">
        <v>26</v>
      </c>
      <c r="D575" s="84" t="s">
        <v>28</v>
      </c>
      <c r="E575" s="84" t="s">
        <v>912</v>
      </c>
      <c r="F575" s="84"/>
      <c r="G575" s="87">
        <f t="shared" ref="G575:I576" si="143">G576</f>
        <v>42142425.140000001</v>
      </c>
      <c r="H575" s="87">
        <f t="shared" si="143"/>
        <v>12422818</v>
      </c>
      <c r="I575" s="87">
        <f t="shared" si="143"/>
        <v>31272941</v>
      </c>
      <c r="J575" s="177"/>
      <c r="K575" s="177"/>
      <c r="L575" s="177"/>
      <c r="Q575" s="209"/>
    </row>
    <row r="576" spans="1:18" s="18" customFormat="1" ht="25.5">
      <c r="A576" s="82" t="s">
        <v>30</v>
      </c>
      <c r="B576" s="84" t="s">
        <v>94</v>
      </c>
      <c r="C576" s="84" t="s">
        <v>26</v>
      </c>
      <c r="D576" s="84" t="s">
        <v>28</v>
      </c>
      <c r="E576" s="84" t="s">
        <v>912</v>
      </c>
      <c r="F576" s="84" t="s">
        <v>31</v>
      </c>
      <c r="G576" s="87">
        <f t="shared" si="143"/>
        <v>42142425.140000001</v>
      </c>
      <c r="H576" s="87">
        <f t="shared" si="143"/>
        <v>12422818</v>
      </c>
      <c r="I576" s="87">
        <f t="shared" si="143"/>
        <v>31272941</v>
      </c>
      <c r="J576" s="177"/>
      <c r="K576" s="200"/>
      <c r="L576" s="200"/>
      <c r="M576" s="215"/>
      <c r="N576" s="215"/>
      <c r="O576" s="200"/>
      <c r="P576" s="200"/>
      <c r="Q576" s="215"/>
      <c r="R576" s="200"/>
    </row>
    <row r="577" spans="1:19" s="18" customFormat="1">
      <c r="A577" s="82" t="s">
        <v>32</v>
      </c>
      <c r="B577" s="84" t="s">
        <v>94</v>
      </c>
      <c r="C577" s="84" t="s">
        <v>26</v>
      </c>
      <c r="D577" s="84" t="s">
        <v>28</v>
      </c>
      <c r="E577" s="84" t="s">
        <v>912</v>
      </c>
      <c r="F577" s="84" t="s">
        <v>33</v>
      </c>
      <c r="G577" s="87">
        <v>42142425.140000001</v>
      </c>
      <c r="H577" s="87">
        <v>12422818</v>
      </c>
      <c r="I577" s="87">
        <v>31272941</v>
      </c>
      <c r="J577" s="177"/>
      <c r="K577" s="200"/>
      <c r="L577" s="200"/>
      <c r="M577" s="200"/>
      <c r="N577" s="200"/>
      <c r="O577" s="200"/>
      <c r="P577" s="200"/>
      <c r="Q577" s="200"/>
      <c r="R577" s="200"/>
    </row>
    <row r="578" spans="1:19" s="18" customFormat="1" ht="15" customHeight="1">
      <c r="A578" s="82" t="s">
        <v>91</v>
      </c>
      <c r="B578" s="84" t="s">
        <v>94</v>
      </c>
      <c r="C578" s="84" t="s">
        <v>26</v>
      </c>
      <c r="D578" s="84" t="s">
        <v>28</v>
      </c>
      <c r="E578" s="84" t="s">
        <v>216</v>
      </c>
      <c r="F578" s="84"/>
      <c r="G578" s="87">
        <f t="shared" ref="G578:I579" si="144">G579</f>
        <v>380108987.50999999</v>
      </c>
      <c r="H578" s="87">
        <f t="shared" si="144"/>
        <v>361578491</v>
      </c>
      <c r="I578" s="87">
        <f t="shared" si="144"/>
        <v>372733475</v>
      </c>
      <c r="J578" s="177"/>
      <c r="K578" s="200"/>
      <c r="L578" s="200"/>
      <c r="M578" s="200"/>
      <c r="N578" s="200"/>
      <c r="O578" s="200"/>
      <c r="P578" s="200"/>
      <c r="Q578" s="200"/>
      <c r="R578" s="200"/>
    </row>
    <row r="579" spans="1:19" s="18" customFormat="1" ht="25.5">
      <c r="A579" s="82" t="s">
        <v>30</v>
      </c>
      <c r="B579" s="84" t="s">
        <v>94</v>
      </c>
      <c r="C579" s="84" t="s">
        <v>26</v>
      </c>
      <c r="D579" s="84" t="s">
        <v>28</v>
      </c>
      <c r="E579" s="84" t="s">
        <v>216</v>
      </c>
      <c r="F579" s="84" t="s">
        <v>31</v>
      </c>
      <c r="G579" s="87">
        <f t="shared" si="144"/>
        <v>380108987.50999999</v>
      </c>
      <c r="H579" s="87">
        <f t="shared" si="144"/>
        <v>361578491</v>
      </c>
      <c r="I579" s="87">
        <f t="shared" si="144"/>
        <v>372733475</v>
      </c>
      <c r="J579" s="177"/>
      <c r="K579" s="200"/>
      <c r="L579" s="200"/>
      <c r="M579" s="200"/>
      <c r="N579" s="200"/>
      <c r="O579" s="200"/>
      <c r="P579" s="200"/>
      <c r="Q579" s="225"/>
      <c r="R579" s="200"/>
    </row>
    <row r="580" spans="1:19" s="18" customFormat="1">
      <c r="A580" s="82" t="s">
        <v>32</v>
      </c>
      <c r="B580" s="84" t="s">
        <v>94</v>
      </c>
      <c r="C580" s="84" t="s">
        <v>26</v>
      </c>
      <c r="D580" s="84" t="s">
        <v>28</v>
      </c>
      <c r="E580" s="84" t="s">
        <v>134</v>
      </c>
      <c r="F580" s="84" t="s">
        <v>33</v>
      </c>
      <c r="G580" s="87">
        <v>380108987.50999999</v>
      </c>
      <c r="H580" s="87">
        <v>361578491</v>
      </c>
      <c r="I580" s="87">
        <v>372733475</v>
      </c>
      <c r="J580" s="177"/>
      <c r="K580" s="200"/>
      <c r="L580" s="200"/>
      <c r="M580" s="200"/>
      <c r="N580" s="200"/>
      <c r="O580" s="200"/>
      <c r="P580" s="200"/>
      <c r="Q580" s="200"/>
      <c r="R580" s="200"/>
    </row>
    <row r="581" spans="1:19" s="18" customFormat="1" ht="38.25" hidden="1">
      <c r="A581" s="82" t="s">
        <v>297</v>
      </c>
      <c r="B581" s="84" t="s">
        <v>94</v>
      </c>
      <c r="C581" s="84" t="s">
        <v>26</v>
      </c>
      <c r="D581" s="84" t="s">
        <v>28</v>
      </c>
      <c r="E581" s="84" t="s">
        <v>134</v>
      </c>
      <c r="F581" s="84"/>
      <c r="G581" s="87">
        <f t="shared" ref="G581:I582" si="145">G582</f>
        <v>0</v>
      </c>
      <c r="H581" s="87">
        <f t="shared" si="145"/>
        <v>0</v>
      </c>
      <c r="I581" s="87">
        <f t="shared" si="145"/>
        <v>0</v>
      </c>
      <c r="J581" s="177"/>
      <c r="K581" s="200"/>
      <c r="L581" s="200"/>
      <c r="M581" s="200"/>
      <c r="N581" s="200"/>
      <c r="O581" s="200"/>
      <c r="P581" s="200"/>
      <c r="Q581" s="200"/>
      <c r="R581" s="200"/>
    </row>
    <row r="582" spans="1:19" s="18" customFormat="1" hidden="1">
      <c r="A582" s="82" t="s">
        <v>63</v>
      </c>
      <c r="B582" s="84" t="s">
        <v>94</v>
      </c>
      <c r="C582" s="84" t="s">
        <v>26</v>
      </c>
      <c r="D582" s="84" t="s">
        <v>28</v>
      </c>
      <c r="E582" s="84" t="s">
        <v>134</v>
      </c>
      <c r="F582" s="84" t="s">
        <v>64</v>
      </c>
      <c r="G582" s="87">
        <f t="shared" si="145"/>
        <v>0</v>
      </c>
      <c r="H582" s="87">
        <f t="shared" si="145"/>
        <v>0</v>
      </c>
      <c r="I582" s="87">
        <f t="shared" si="145"/>
        <v>0</v>
      </c>
      <c r="J582" s="177"/>
      <c r="K582" s="200"/>
      <c r="L582" s="200"/>
      <c r="M582" s="200"/>
      <c r="N582" s="200"/>
      <c r="O582" s="200"/>
      <c r="P582" s="200"/>
      <c r="Q582" s="200"/>
      <c r="R582" s="200"/>
    </row>
    <row r="583" spans="1:19" s="18" customFormat="1" hidden="1">
      <c r="A583" s="82" t="s">
        <v>180</v>
      </c>
      <c r="B583" s="84" t="s">
        <v>94</v>
      </c>
      <c r="C583" s="84" t="s">
        <v>26</v>
      </c>
      <c r="D583" s="84" t="s">
        <v>28</v>
      </c>
      <c r="E583" s="84" t="s">
        <v>134</v>
      </c>
      <c r="F583" s="84" t="s">
        <v>181</v>
      </c>
      <c r="G583" s="87"/>
      <c r="H583" s="87"/>
      <c r="I583" s="87"/>
      <c r="J583" s="177"/>
      <c r="K583" s="200"/>
      <c r="L583" s="200"/>
      <c r="M583" s="200"/>
      <c r="N583" s="200"/>
      <c r="O583" s="200"/>
      <c r="P583" s="200"/>
      <c r="Q583" s="200"/>
      <c r="R583" s="200"/>
    </row>
    <row r="584" spans="1:19" ht="57" customHeight="1">
      <c r="A584" s="82" t="s">
        <v>118</v>
      </c>
      <c r="B584" s="84" t="s">
        <v>94</v>
      </c>
      <c r="C584" s="84" t="s">
        <v>26</v>
      </c>
      <c r="D584" s="84" t="s">
        <v>28</v>
      </c>
      <c r="E584" s="84" t="s">
        <v>222</v>
      </c>
      <c r="F584" s="84"/>
      <c r="G584" s="87">
        <f>G587+G585</f>
        <v>137433722.98000002</v>
      </c>
      <c r="H584" s="87">
        <f t="shared" ref="H584:I584" si="146">H587</f>
        <v>125609321</v>
      </c>
      <c r="I584" s="87">
        <f t="shared" si="146"/>
        <v>125675659</v>
      </c>
      <c r="J584" s="177"/>
      <c r="Q584" s="226"/>
    </row>
    <row r="585" spans="1:19" ht="25.5" hidden="1">
      <c r="A585" s="82" t="s">
        <v>96</v>
      </c>
      <c r="B585" s="84" t="s">
        <v>94</v>
      </c>
      <c r="C585" s="84" t="s">
        <v>26</v>
      </c>
      <c r="D585" s="84" t="s">
        <v>28</v>
      </c>
      <c r="E585" s="84" t="s">
        <v>737</v>
      </c>
      <c r="F585" s="84" t="s">
        <v>348</v>
      </c>
      <c r="G585" s="87">
        <f>G586</f>
        <v>0</v>
      </c>
      <c r="H585" s="87">
        <f>H586</f>
        <v>0</v>
      </c>
      <c r="I585" s="87">
        <f>I586</f>
        <v>0</v>
      </c>
      <c r="J585" s="177"/>
    </row>
    <row r="586" spans="1:19" s="3" customFormat="1" ht="89.25" hidden="1">
      <c r="A586" s="82" t="s">
        <v>420</v>
      </c>
      <c r="B586" s="149">
        <v>774</v>
      </c>
      <c r="C586" s="84" t="s">
        <v>26</v>
      </c>
      <c r="D586" s="84" t="s">
        <v>28</v>
      </c>
      <c r="E586" s="84" t="s">
        <v>737</v>
      </c>
      <c r="F586" s="84" t="s">
        <v>419</v>
      </c>
      <c r="G586" s="87"/>
      <c r="H586" s="87">
        <v>0</v>
      </c>
      <c r="I586" s="87">
        <v>0</v>
      </c>
      <c r="J586" s="177"/>
      <c r="K586" s="199"/>
      <c r="L586" s="199"/>
      <c r="M586" s="199"/>
      <c r="N586" s="199"/>
      <c r="O586" s="199"/>
      <c r="P586" s="199"/>
      <c r="Q586" s="199"/>
      <c r="R586" s="199"/>
    </row>
    <row r="587" spans="1:19" ht="25.5">
      <c r="A587" s="82" t="s">
        <v>30</v>
      </c>
      <c r="B587" s="84" t="s">
        <v>94</v>
      </c>
      <c r="C587" s="84" t="s">
        <v>26</v>
      </c>
      <c r="D587" s="84" t="s">
        <v>28</v>
      </c>
      <c r="E587" s="84" t="s">
        <v>222</v>
      </c>
      <c r="F587" s="84" t="s">
        <v>31</v>
      </c>
      <c r="G587" s="87">
        <f>G588</f>
        <v>137433722.98000002</v>
      </c>
      <c r="H587" s="87">
        <f>H588</f>
        <v>125609321</v>
      </c>
      <c r="I587" s="87">
        <f>I588</f>
        <v>125675659</v>
      </c>
      <c r="J587" s="177"/>
    </row>
    <row r="588" spans="1:19">
      <c r="A588" s="82" t="s">
        <v>32</v>
      </c>
      <c r="B588" s="84" t="s">
        <v>94</v>
      </c>
      <c r="C588" s="84" t="s">
        <v>26</v>
      </c>
      <c r="D588" s="84" t="s">
        <v>28</v>
      </c>
      <c r="E588" s="84" t="s">
        <v>222</v>
      </c>
      <c r="F588" s="84" t="s">
        <v>33</v>
      </c>
      <c r="G588" s="87">
        <f>133237858.4+34698.15+1407726.43+2753440</f>
        <v>137433722.98000002</v>
      </c>
      <c r="H588" s="87">
        <v>125609321</v>
      </c>
      <c r="I588" s="87">
        <f>125675659</f>
        <v>125675659</v>
      </c>
      <c r="J588" s="177"/>
    </row>
    <row r="589" spans="1:19" ht="43.5" hidden="1" customHeight="1">
      <c r="A589" s="82" t="s">
        <v>743</v>
      </c>
      <c r="B589" s="84" t="s">
        <v>94</v>
      </c>
      <c r="C589" s="84" t="s">
        <v>26</v>
      </c>
      <c r="D589" s="84" t="s">
        <v>28</v>
      </c>
      <c r="E589" s="84" t="s">
        <v>737</v>
      </c>
      <c r="F589" s="84"/>
      <c r="G589" s="87">
        <f>G590</f>
        <v>0</v>
      </c>
      <c r="H589" s="87"/>
      <c r="I589" s="87"/>
      <c r="J589" s="177"/>
      <c r="K589" s="215"/>
    </row>
    <row r="590" spans="1:19" ht="25.5" hidden="1">
      <c r="A590" s="82" t="s">
        <v>96</v>
      </c>
      <c r="B590" s="84" t="s">
        <v>94</v>
      </c>
      <c r="C590" s="84" t="s">
        <v>26</v>
      </c>
      <c r="D590" s="84" t="s">
        <v>28</v>
      </c>
      <c r="E590" s="84" t="s">
        <v>737</v>
      </c>
      <c r="F590" s="84" t="s">
        <v>348</v>
      </c>
      <c r="G590" s="87">
        <f>G591</f>
        <v>0</v>
      </c>
      <c r="H590" s="87">
        <f>H591</f>
        <v>0</v>
      </c>
      <c r="I590" s="87">
        <f>I591</f>
        <v>0</v>
      </c>
      <c r="J590" s="177"/>
    </row>
    <row r="591" spans="1:19" s="3" customFormat="1" ht="89.25" hidden="1">
      <c r="A591" s="82" t="s">
        <v>420</v>
      </c>
      <c r="B591" s="149">
        <v>774</v>
      </c>
      <c r="C591" s="84" t="s">
        <v>26</v>
      </c>
      <c r="D591" s="84" t="s">
        <v>28</v>
      </c>
      <c r="E591" s="84" t="s">
        <v>737</v>
      </c>
      <c r="F591" s="84" t="s">
        <v>419</v>
      </c>
      <c r="G591" s="87"/>
      <c r="H591" s="87">
        <v>0</v>
      </c>
      <c r="I591" s="87">
        <v>0</v>
      </c>
      <c r="J591" s="177"/>
      <c r="K591" s="199"/>
      <c r="L591" s="199"/>
      <c r="M591" s="199"/>
      <c r="N591" s="199"/>
      <c r="O591" s="199"/>
      <c r="P591" s="199"/>
      <c r="Q591" s="199"/>
      <c r="R591" s="199"/>
    </row>
    <row r="592" spans="1:19" s="18" customFormat="1">
      <c r="A592" s="82" t="s">
        <v>858</v>
      </c>
      <c r="B592" s="149">
        <v>774</v>
      </c>
      <c r="C592" s="84" t="s">
        <v>26</v>
      </c>
      <c r="D592" s="84" t="s">
        <v>28</v>
      </c>
      <c r="E592" s="84" t="s">
        <v>876</v>
      </c>
      <c r="F592" s="84"/>
      <c r="G592" s="87">
        <f t="shared" ref="G592:I593" si="147">G593</f>
        <v>881623.67999999993</v>
      </c>
      <c r="H592" s="87">
        <f t="shared" si="147"/>
        <v>1006307</v>
      </c>
      <c r="I592" s="87">
        <f t="shared" si="147"/>
        <v>1006307</v>
      </c>
      <c r="J592" s="177"/>
      <c r="K592" s="200"/>
      <c r="L592" s="200"/>
      <c r="M592" s="200"/>
      <c r="N592" s="200"/>
      <c r="O592" s="200"/>
      <c r="P592" s="200"/>
      <c r="Q592" s="215"/>
      <c r="R592" s="215"/>
      <c r="S592" s="17"/>
    </row>
    <row r="593" spans="1:19" s="18" customFormat="1" ht="25.5">
      <c r="A593" s="82" t="s">
        <v>30</v>
      </c>
      <c r="B593" s="149">
        <v>774</v>
      </c>
      <c r="C593" s="84" t="s">
        <v>26</v>
      </c>
      <c r="D593" s="84" t="s">
        <v>28</v>
      </c>
      <c r="E593" s="84" t="s">
        <v>876</v>
      </c>
      <c r="F593" s="84" t="s">
        <v>31</v>
      </c>
      <c r="G593" s="87">
        <f t="shared" si="147"/>
        <v>881623.67999999993</v>
      </c>
      <c r="H593" s="87">
        <f t="shared" si="147"/>
        <v>1006307</v>
      </c>
      <c r="I593" s="87">
        <f t="shared" si="147"/>
        <v>1006307</v>
      </c>
      <c r="J593" s="177"/>
      <c r="K593" s="200"/>
      <c r="L593" s="200"/>
      <c r="M593" s="200"/>
      <c r="N593" s="200"/>
      <c r="O593" s="200"/>
      <c r="P593" s="200"/>
      <c r="Q593" s="215"/>
      <c r="R593" s="215"/>
      <c r="S593" s="17"/>
    </row>
    <row r="594" spans="1:19" s="18" customFormat="1">
      <c r="A594" s="82" t="s">
        <v>32</v>
      </c>
      <c r="B594" s="149">
        <v>774</v>
      </c>
      <c r="C594" s="84" t="s">
        <v>26</v>
      </c>
      <c r="D594" s="84" t="s">
        <v>28</v>
      </c>
      <c r="E594" s="84" t="s">
        <v>876</v>
      </c>
      <c r="F594" s="84" t="s">
        <v>33</v>
      </c>
      <c r="G594" s="87">
        <f>859255.94+22367.74</f>
        <v>881623.67999999993</v>
      </c>
      <c r="H594" s="87">
        <v>1006307</v>
      </c>
      <c r="I594" s="87">
        <v>1006307</v>
      </c>
      <c r="J594" s="177"/>
      <c r="K594" s="200"/>
      <c r="L594" s="200"/>
      <c r="M594" s="200"/>
      <c r="N594" s="200"/>
      <c r="O594" s="200"/>
      <c r="P594" s="200"/>
      <c r="Q594" s="215"/>
      <c r="R594" s="215"/>
      <c r="S594" s="17"/>
    </row>
    <row r="595" spans="1:19" ht="74.25" customHeight="1">
      <c r="A595" s="82" t="s">
        <v>764</v>
      </c>
      <c r="B595" s="84" t="s">
        <v>94</v>
      </c>
      <c r="C595" s="84" t="s">
        <v>26</v>
      </c>
      <c r="D595" s="84" t="s">
        <v>28</v>
      </c>
      <c r="E595" s="84" t="s">
        <v>762</v>
      </c>
      <c r="F595" s="84"/>
      <c r="G595" s="87">
        <f>G598+G596</f>
        <v>0</v>
      </c>
      <c r="H595" s="87">
        <f t="shared" ref="H595:I595" si="148">H598</f>
        <v>1000000</v>
      </c>
      <c r="I595" s="87">
        <f t="shared" si="148"/>
        <v>1000000</v>
      </c>
      <c r="J595" s="177"/>
    </row>
    <row r="596" spans="1:19" ht="25.5" hidden="1">
      <c r="A596" s="82" t="s">
        <v>96</v>
      </c>
      <c r="B596" s="84" t="s">
        <v>94</v>
      </c>
      <c r="C596" s="84" t="s">
        <v>26</v>
      </c>
      <c r="D596" s="84" t="s">
        <v>28</v>
      </c>
      <c r="E596" s="84" t="s">
        <v>737</v>
      </c>
      <c r="F596" s="84" t="s">
        <v>348</v>
      </c>
      <c r="G596" s="87">
        <f>G597</f>
        <v>0</v>
      </c>
      <c r="H596" s="87">
        <f>H597</f>
        <v>0</v>
      </c>
      <c r="I596" s="87">
        <f>I597</f>
        <v>0</v>
      </c>
      <c r="J596" s="177"/>
    </row>
    <row r="597" spans="1:19" s="3" customFormat="1" ht="89.25" hidden="1">
      <c r="A597" s="82" t="s">
        <v>420</v>
      </c>
      <c r="B597" s="149">
        <v>774</v>
      </c>
      <c r="C597" s="84" t="s">
        <v>26</v>
      </c>
      <c r="D597" s="84" t="s">
        <v>28</v>
      </c>
      <c r="E597" s="84" t="s">
        <v>737</v>
      </c>
      <c r="F597" s="84" t="s">
        <v>419</v>
      </c>
      <c r="G597" s="87"/>
      <c r="H597" s="87">
        <v>0</v>
      </c>
      <c r="I597" s="87">
        <v>0</v>
      </c>
      <c r="J597" s="177"/>
      <c r="K597" s="199"/>
      <c r="L597" s="199"/>
      <c r="M597" s="199"/>
      <c r="N597" s="199"/>
      <c r="O597" s="199"/>
      <c r="P597" s="199"/>
      <c r="Q597" s="199"/>
      <c r="R597" s="199"/>
    </row>
    <row r="598" spans="1:19" ht="25.5">
      <c r="A598" s="82" t="s">
        <v>30</v>
      </c>
      <c r="B598" s="84" t="s">
        <v>94</v>
      </c>
      <c r="C598" s="84" t="s">
        <v>26</v>
      </c>
      <c r="D598" s="84" t="s">
        <v>28</v>
      </c>
      <c r="E598" s="84" t="s">
        <v>762</v>
      </c>
      <c r="F598" s="84" t="s">
        <v>31</v>
      </c>
      <c r="G598" s="87">
        <f>G599</f>
        <v>0</v>
      </c>
      <c r="H598" s="87">
        <f>H599</f>
        <v>1000000</v>
      </c>
      <c r="I598" s="87">
        <f>I599</f>
        <v>1000000</v>
      </c>
      <c r="J598" s="177"/>
    </row>
    <row r="599" spans="1:19">
      <c r="A599" s="82" t="s">
        <v>32</v>
      </c>
      <c r="B599" s="84" t="s">
        <v>94</v>
      </c>
      <c r="C599" s="84" t="s">
        <v>26</v>
      </c>
      <c r="D599" s="84" t="s">
        <v>28</v>
      </c>
      <c r="E599" s="84" t="s">
        <v>762</v>
      </c>
      <c r="F599" s="84" t="s">
        <v>33</v>
      </c>
      <c r="G599" s="87">
        <f>1000000-500000-500000</f>
        <v>0</v>
      </c>
      <c r="H599" s="87">
        <v>1000000</v>
      </c>
      <c r="I599" s="87">
        <v>1000000</v>
      </c>
      <c r="J599" s="177"/>
    </row>
    <row r="600" spans="1:19" ht="57" customHeight="1">
      <c r="A600" s="82" t="s">
        <v>763</v>
      </c>
      <c r="B600" s="84" t="s">
        <v>94</v>
      </c>
      <c r="C600" s="84" t="s">
        <v>26</v>
      </c>
      <c r="D600" s="84" t="s">
        <v>28</v>
      </c>
      <c r="E600" s="84" t="s">
        <v>761</v>
      </c>
      <c r="F600" s="84"/>
      <c r="G600" s="87">
        <f>G603+G601</f>
        <v>400000</v>
      </c>
      <c r="H600" s="87">
        <f t="shared" ref="H600:I600" si="149">H603</f>
        <v>0</v>
      </c>
      <c r="I600" s="87">
        <f t="shared" si="149"/>
        <v>0</v>
      </c>
      <c r="J600" s="177"/>
    </row>
    <row r="601" spans="1:19" ht="25.5" hidden="1">
      <c r="A601" s="82" t="s">
        <v>96</v>
      </c>
      <c r="B601" s="84" t="s">
        <v>94</v>
      </c>
      <c r="C601" s="84" t="s">
        <v>26</v>
      </c>
      <c r="D601" s="84" t="s">
        <v>28</v>
      </c>
      <c r="E601" s="84" t="s">
        <v>737</v>
      </c>
      <c r="F601" s="84" t="s">
        <v>348</v>
      </c>
      <c r="G601" s="87">
        <f>G602</f>
        <v>0</v>
      </c>
      <c r="H601" s="87">
        <f>H602</f>
        <v>0</v>
      </c>
      <c r="I601" s="87">
        <f>I602</f>
        <v>0</v>
      </c>
      <c r="J601" s="177"/>
    </row>
    <row r="602" spans="1:19" s="3" customFormat="1" ht="89.25" hidden="1">
      <c r="A602" s="82" t="s">
        <v>420</v>
      </c>
      <c r="B602" s="149">
        <v>774</v>
      </c>
      <c r="C602" s="84" t="s">
        <v>26</v>
      </c>
      <c r="D602" s="84" t="s">
        <v>28</v>
      </c>
      <c r="E602" s="84" t="s">
        <v>737</v>
      </c>
      <c r="F602" s="84" t="s">
        <v>419</v>
      </c>
      <c r="G602" s="87"/>
      <c r="H602" s="87">
        <v>0</v>
      </c>
      <c r="I602" s="87">
        <v>0</v>
      </c>
      <c r="J602" s="177"/>
      <c r="K602" s="199"/>
      <c r="L602" s="199"/>
      <c r="M602" s="199"/>
      <c r="N602" s="199"/>
      <c r="O602" s="199"/>
      <c r="P602" s="199"/>
      <c r="Q602" s="199"/>
      <c r="R602" s="199"/>
    </row>
    <row r="603" spans="1:19" ht="25.5">
      <c r="A603" s="82" t="s">
        <v>30</v>
      </c>
      <c r="B603" s="84" t="s">
        <v>94</v>
      </c>
      <c r="C603" s="84" t="s">
        <v>26</v>
      </c>
      <c r="D603" s="84" t="s">
        <v>28</v>
      </c>
      <c r="E603" s="84" t="s">
        <v>761</v>
      </c>
      <c r="F603" s="84" t="s">
        <v>31</v>
      </c>
      <c r="G603" s="87">
        <f>G604</f>
        <v>400000</v>
      </c>
      <c r="H603" s="87">
        <f>H604</f>
        <v>0</v>
      </c>
      <c r="I603" s="87">
        <f>I604</f>
        <v>0</v>
      </c>
      <c r="J603" s="177"/>
    </row>
    <row r="604" spans="1:19">
      <c r="A604" s="82" t="s">
        <v>32</v>
      </c>
      <c r="B604" s="84" t="s">
        <v>94</v>
      </c>
      <c r="C604" s="84" t="s">
        <v>26</v>
      </c>
      <c r="D604" s="84" t="s">
        <v>28</v>
      </c>
      <c r="E604" s="84" t="s">
        <v>761</v>
      </c>
      <c r="F604" s="84" t="s">
        <v>33</v>
      </c>
      <c r="G604" s="87">
        <v>400000</v>
      </c>
      <c r="H604" s="87">
        <v>0</v>
      </c>
      <c r="I604" s="87">
        <v>0</v>
      </c>
      <c r="J604" s="177"/>
    </row>
    <row r="605" spans="1:19" ht="32.25" customHeight="1">
      <c r="A605" s="82" t="s">
        <v>142</v>
      </c>
      <c r="B605" s="84" t="s">
        <v>94</v>
      </c>
      <c r="C605" s="84" t="s">
        <v>26</v>
      </c>
      <c r="D605" s="84" t="s">
        <v>28</v>
      </c>
      <c r="E605" s="84" t="s">
        <v>717</v>
      </c>
      <c r="F605" s="84"/>
      <c r="G605" s="87">
        <f t="shared" ref="G605:I605" si="150">G606</f>
        <v>280242.99</v>
      </c>
      <c r="H605" s="87">
        <f t="shared" si="150"/>
        <v>160000</v>
      </c>
      <c r="I605" s="87">
        <f t="shared" si="150"/>
        <v>160000</v>
      </c>
      <c r="J605" s="177"/>
    </row>
    <row r="606" spans="1:19" ht="25.5">
      <c r="A606" s="82" t="s">
        <v>30</v>
      </c>
      <c r="B606" s="84" t="s">
        <v>94</v>
      </c>
      <c r="C606" s="84" t="s">
        <v>26</v>
      </c>
      <c r="D606" s="84" t="s">
        <v>28</v>
      </c>
      <c r="E606" s="84" t="s">
        <v>717</v>
      </c>
      <c r="F606" s="84" t="s">
        <v>31</v>
      </c>
      <c r="G606" s="87">
        <f>G607</f>
        <v>280242.99</v>
      </c>
      <c r="H606" s="87">
        <f>H607</f>
        <v>160000</v>
      </c>
      <c r="I606" s="87">
        <f>I607</f>
        <v>160000</v>
      </c>
      <c r="J606" s="177"/>
    </row>
    <row r="607" spans="1:19">
      <c r="A607" s="82" t="s">
        <v>32</v>
      </c>
      <c r="B607" s="84" t="s">
        <v>94</v>
      </c>
      <c r="C607" s="84" t="s">
        <v>26</v>
      </c>
      <c r="D607" s="84" t="s">
        <v>28</v>
      </c>
      <c r="E607" s="84" t="s">
        <v>717</v>
      </c>
      <c r="F607" s="84" t="s">
        <v>33</v>
      </c>
      <c r="G607" s="87">
        <f>160000-100000+556711-336468.01</f>
        <v>280242.99</v>
      </c>
      <c r="H607" s="87">
        <v>160000</v>
      </c>
      <c r="I607" s="87">
        <v>160000</v>
      </c>
      <c r="J607" s="177"/>
    </row>
    <row r="608" spans="1:19" ht="33" hidden="1" customHeight="1">
      <c r="A608" s="82" t="s">
        <v>957</v>
      </c>
      <c r="B608" s="84" t="s">
        <v>94</v>
      </c>
      <c r="C608" s="84" t="s">
        <v>26</v>
      </c>
      <c r="D608" s="84" t="s">
        <v>28</v>
      </c>
      <c r="E608" s="84" t="s">
        <v>956</v>
      </c>
      <c r="F608" s="84"/>
      <c r="G608" s="87">
        <f>G609</f>
        <v>0</v>
      </c>
      <c r="H608" s="87"/>
      <c r="I608" s="87"/>
      <c r="J608" s="177"/>
    </row>
    <row r="609" spans="1:18" ht="24.75" hidden="1" customHeight="1">
      <c r="A609" s="82" t="s">
        <v>30</v>
      </c>
      <c r="B609" s="84" t="s">
        <v>94</v>
      </c>
      <c r="C609" s="84" t="s">
        <v>26</v>
      </c>
      <c r="D609" s="84" t="s">
        <v>28</v>
      </c>
      <c r="E609" s="84" t="s">
        <v>956</v>
      </c>
      <c r="F609" s="84" t="s">
        <v>31</v>
      </c>
      <c r="G609" s="87">
        <f>G610</f>
        <v>0</v>
      </c>
      <c r="H609" s="87"/>
      <c r="I609" s="87"/>
      <c r="J609" s="177"/>
    </row>
    <row r="610" spans="1:18" ht="19.5" hidden="1" customHeight="1">
      <c r="A610" s="82" t="s">
        <v>32</v>
      </c>
      <c r="B610" s="84" t="s">
        <v>94</v>
      </c>
      <c r="C610" s="84" t="s">
        <v>26</v>
      </c>
      <c r="D610" s="84" t="s">
        <v>28</v>
      </c>
      <c r="E610" s="84" t="s">
        <v>956</v>
      </c>
      <c r="F610" s="84" t="s">
        <v>33</v>
      </c>
      <c r="G610" s="87"/>
      <c r="H610" s="87"/>
      <c r="I610" s="87"/>
      <c r="J610" s="177"/>
    </row>
    <row r="611" spans="1:18" s="3" customFormat="1" ht="76.5">
      <c r="A611" s="82" t="s">
        <v>892</v>
      </c>
      <c r="B611" s="149">
        <v>774</v>
      </c>
      <c r="C611" s="84" t="s">
        <v>26</v>
      </c>
      <c r="D611" s="84" t="s">
        <v>28</v>
      </c>
      <c r="E611" s="84" t="s">
        <v>778</v>
      </c>
      <c r="F611" s="84"/>
      <c r="G611" s="87">
        <f>G613</f>
        <v>1803468</v>
      </c>
      <c r="H611" s="87">
        <f>H613</f>
        <v>1803468</v>
      </c>
      <c r="I611" s="87">
        <f>I613</f>
        <v>1803468</v>
      </c>
      <c r="J611" s="177"/>
      <c r="K611" s="199"/>
      <c r="L611" s="199"/>
      <c r="M611" s="199"/>
      <c r="N611" s="199"/>
      <c r="O611" s="199"/>
      <c r="P611" s="199"/>
      <c r="Q611" s="199"/>
      <c r="R611" s="199"/>
    </row>
    <row r="612" spans="1:18" ht="25.5">
      <c r="A612" s="82" t="s">
        <v>30</v>
      </c>
      <c r="B612" s="84" t="s">
        <v>94</v>
      </c>
      <c r="C612" s="84" t="s">
        <v>26</v>
      </c>
      <c r="D612" s="84" t="s">
        <v>28</v>
      </c>
      <c r="E612" s="84" t="s">
        <v>778</v>
      </c>
      <c r="F612" s="84" t="s">
        <v>31</v>
      </c>
      <c r="G612" s="87">
        <f>G613</f>
        <v>1803468</v>
      </c>
      <c r="H612" s="87">
        <f>H613</f>
        <v>1803468</v>
      </c>
      <c r="I612" s="87">
        <f>I613</f>
        <v>1803468</v>
      </c>
      <c r="J612" s="177"/>
    </row>
    <row r="613" spans="1:18" s="3" customFormat="1">
      <c r="A613" s="82" t="s">
        <v>32</v>
      </c>
      <c r="B613" s="149">
        <v>774</v>
      </c>
      <c r="C613" s="84" t="s">
        <v>26</v>
      </c>
      <c r="D613" s="84" t="s">
        <v>28</v>
      </c>
      <c r="E613" s="84" t="s">
        <v>778</v>
      </c>
      <c r="F613" s="84" t="s">
        <v>33</v>
      </c>
      <c r="G613" s="87">
        <f>901734+901734</f>
        <v>1803468</v>
      </c>
      <c r="H613" s="87">
        <f>901734+901734</f>
        <v>1803468</v>
      </c>
      <c r="I613" s="87">
        <f>901734+901734</f>
        <v>1803468</v>
      </c>
      <c r="J613" s="177"/>
      <c r="K613" s="199"/>
      <c r="L613" s="199"/>
      <c r="M613" s="199"/>
      <c r="N613" s="199"/>
      <c r="O613" s="199"/>
      <c r="P613" s="199"/>
      <c r="Q613" s="199"/>
      <c r="R613" s="199"/>
    </row>
    <row r="614" spans="1:18" s="3" customFormat="1" ht="88.5" hidden="1" customHeight="1">
      <c r="A614" s="82" t="s">
        <v>739</v>
      </c>
      <c r="B614" s="149">
        <v>774</v>
      </c>
      <c r="C614" s="84" t="s">
        <v>26</v>
      </c>
      <c r="D614" s="84" t="s">
        <v>28</v>
      </c>
      <c r="E614" s="84" t="s">
        <v>709</v>
      </c>
      <c r="F614" s="84"/>
      <c r="G614" s="87">
        <f>G616</f>
        <v>0</v>
      </c>
      <c r="H614" s="87">
        <f>H616</f>
        <v>0</v>
      </c>
      <c r="I614" s="87">
        <f>I616</f>
        <v>0</v>
      </c>
      <c r="J614" s="177"/>
      <c r="K614" s="199"/>
      <c r="L614" s="199"/>
      <c r="M614" s="199"/>
      <c r="N614" s="199"/>
      <c r="O614" s="199"/>
      <c r="P614" s="199"/>
      <c r="Q614" s="199"/>
      <c r="R614" s="199"/>
    </row>
    <row r="615" spans="1:18" ht="25.5" hidden="1">
      <c r="A615" s="82" t="s">
        <v>96</v>
      </c>
      <c r="B615" s="84" t="s">
        <v>94</v>
      </c>
      <c r="C615" s="84" t="s">
        <v>26</v>
      </c>
      <c r="D615" s="84" t="s">
        <v>28</v>
      </c>
      <c r="E615" s="84" t="s">
        <v>709</v>
      </c>
      <c r="F615" s="84" t="s">
        <v>348</v>
      </c>
      <c r="G615" s="87">
        <f>G616</f>
        <v>0</v>
      </c>
      <c r="H615" s="87">
        <f>H616</f>
        <v>0</v>
      </c>
      <c r="I615" s="87">
        <f>I616</f>
        <v>0</v>
      </c>
      <c r="J615" s="177"/>
    </row>
    <row r="616" spans="1:18" s="3" customFormat="1" ht="89.25" hidden="1">
      <c r="A616" s="82" t="s">
        <v>420</v>
      </c>
      <c r="B616" s="149">
        <v>774</v>
      </c>
      <c r="C616" s="84" t="s">
        <v>26</v>
      </c>
      <c r="D616" s="84" t="s">
        <v>28</v>
      </c>
      <c r="E616" s="84" t="s">
        <v>709</v>
      </c>
      <c r="F616" s="84" t="s">
        <v>419</v>
      </c>
      <c r="G616" s="87"/>
      <c r="H616" s="87">
        <v>0</v>
      </c>
      <c r="I616" s="87">
        <v>0</v>
      </c>
      <c r="J616" s="177"/>
      <c r="K616" s="199"/>
      <c r="L616" s="199"/>
      <c r="M616" s="199"/>
      <c r="N616" s="199"/>
      <c r="O616" s="199"/>
      <c r="P616" s="199"/>
      <c r="Q616" s="199"/>
      <c r="R616" s="199"/>
    </row>
    <row r="617" spans="1:18" s="3" customFormat="1" ht="38.25" hidden="1">
      <c r="A617" s="82" t="s">
        <v>711</v>
      </c>
      <c r="B617" s="149">
        <v>774</v>
      </c>
      <c r="C617" s="84" t="s">
        <v>26</v>
      </c>
      <c r="D617" s="84" t="s">
        <v>28</v>
      </c>
      <c r="E617" s="84" t="s">
        <v>710</v>
      </c>
      <c r="F617" s="84"/>
      <c r="G617" s="87">
        <f>G619</f>
        <v>0</v>
      </c>
      <c r="H617" s="87">
        <f>H619</f>
        <v>0</v>
      </c>
      <c r="I617" s="87">
        <f>I619</f>
        <v>0</v>
      </c>
      <c r="J617" s="177"/>
      <c r="K617" s="199"/>
      <c r="L617" s="199"/>
      <c r="M617" s="199"/>
      <c r="N617" s="199"/>
      <c r="O617" s="199"/>
      <c r="P617" s="199"/>
      <c r="Q617" s="199"/>
      <c r="R617" s="199"/>
    </row>
    <row r="618" spans="1:18" ht="25.5" hidden="1">
      <c r="A618" s="82" t="s">
        <v>96</v>
      </c>
      <c r="B618" s="84" t="s">
        <v>94</v>
      </c>
      <c r="C618" s="84" t="s">
        <v>26</v>
      </c>
      <c r="D618" s="84" t="s">
        <v>28</v>
      </c>
      <c r="E618" s="84" t="s">
        <v>710</v>
      </c>
      <c r="F618" s="84" t="s">
        <v>348</v>
      </c>
      <c r="G618" s="87">
        <f>G619</f>
        <v>0</v>
      </c>
      <c r="H618" s="87">
        <f>H619</f>
        <v>0</v>
      </c>
      <c r="I618" s="87">
        <f>I619</f>
        <v>0</v>
      </c>
      <c r="J618" s="177"/>
    </row>
    <row r="619" spans="1:18" s="3" customFormat="1" ht="89.25" hidden="1">
      <c r="A619" s="82" t="s">
        <v>420</v>
      </c>
      <c r="B619" s="149">
        <v>774</v>
      </c>
      <c r="C619" s="84" t="s">
        <v>26</v>
      </c>
      <c r="D619" s="84" t="s">
        <v>28</v>
      </c>
      <c r="E619" s="84" t="s">
        <v>710</v>
      </c>
      <c r="F619" s="84" t="s">
        <v>419</v>
      </c>
      <c r="G619" s="87"/>
      <c r="H619" s="87">
        <v>0</v>
      </c>
      <c r="I619" s="87">
        <v>0</v>
      </c>
      <c r="J619" s="177"/>
      <c r="K619" s="199"/>
      <c r="L619" s="199"/>
      <c r="M619" s="199"/>
      <c r="N619" s="199"/>
      <c r="O619" s="199"/>
      <c r="P619" s="199"/>
      <c r="Q619" s="199"/>
      <c r="R619" s="199"/>
    </row>
    <row r="620" spans="1:18" ht="63" hidden="1" customHeight="1">
      <c r="A620" s="82" t="s">
        <v>414</v>
      </c>
      <c r="B620" s="84" t="s">
        <v>94</v>
      </c>
      <c r="C620" s="84" t="s">
        <v>26</v>
      </c>
      <c r="D620" s="84" t="s">
        <v>28</v>
      </c>
      <c r="E620" s="84" t="s">
        <v>777</v>
      </c>
      <c r="F620" s="84"/>
      <c r="G620" s="87">
        <f t="shared" ref="G620:I620" si="151">G621</f>
        <v>0</v>
      </c>
      <c r="H620" s="87">
        <f t="shared" si="151"/>
        <v>0</v>
      </c>
      <c r="I620" s="87">
        <f t="shared" si="151"/>
        <v>0</v>
      </c>
      <c r="J620" s="177"/>
    </row>
    <row r="621" spans="1:18" ht="25.5" hidden="1">
      <c r="A621" s="82" t="s">
        <v>30</v>
      </c>
      <c r="B621" s="84" t="s">
        <v>94</v>
      </c>
      <c r="C621" s="84" t="s">
        <v>26</v>
      </c>
      <c r="D621" s="84" t="s">
        <v>28</v>
      </c>
      <c r="E621" s="84" t="s">
        <v>777</v>
      </c>
      <c r="F621" s="84" t="s">
        <v>31</v>
      </c>
      <c r="G621" s="87">
        <f>G622</f>
        <v>0</v>
      </c>
      <c r="H621" s="87">
        <f>H622</f>
        <v>0</v>
      </c>
      <c r="I621" s="87">
        <f>I622</f>
        <v>0</v>
      </c>
      <c r="J621" s="177"/>
    </row>
    <row r="622" spans="1:18" hidden="1">
      <c r="A622" s="82" t="s">
        <v>32</v>
      </c>
      <c r="B622" s="84" t="s">
        <v>94</v>
      </c>
      <c r="C622" s="84" t="s">
        <v>26</v>
      </c>
      <c r="D622" s="84" t="s">
        <v>28</v>
      </c>
      <c r="E622" s="84" t="s">
        <v>777</v>
      </c>
      <c r="F622" s="84" t="s">
        <v>33</v>
      </c>
      <c r="G622" s="87"/>
      <c r="H622" s="87">
        <v>0</v>
      </c>
      <c r="I622" s="87">
        <v>0</v>
      </c>
      <c r="J622" s="177"/>
    </row>
    <row r="623" spans="1:18" s="18" customFormat="1" ht="51" customHeight="1">
      <c r="A623" s="280" t="s">
        <v>879</v>
      </c>
      <c r="B623" s="84" t="s">
        <v>94</v>
      </c>
      <c r="C623" s="84" t="s">
        <v>26</v>
      </c>
      <c r="D623" s="84" t="s">
        <v>28</v>
      </c>
      <c r="E623" s="84" t="s">
        <v>883</v>
      </c>
      <c r="F623" s="84"/>
      <c r="G623" s="87">
        <f t="shared" ref="G623:I624" si="152">G624</f>
        <v>1646729.49</v>
      </c>
      <c r="H623" s="87">
        <f t="shared" si="152"/>
        <v>2386123</v>
      </c>
      <c r="I623" s="87">
        <f t="shared" si="152"/>
        <v>2386123</v>
      </c>
      <c r="J623" s="177"/>
      <c r="K623" s="200"/>
      <c r="L623" s="200"/>
      <c r="M623" s="200"/>
      <c r="N623" s="200"/>
      <c r="O623" s="200"/>
      <c r="P623" s="200"/>
      <c r="Q623" s="200"/>
      <c r="R623" s="200"/>
    </row>
    <row r="624" spans="1:18" s="18" customFormat="1" ht="25.5">
      <c r="A624" s="82" t="s">
        <v>30</v>
      </c>
      <c r="B624" s="84" t="s">
        <v>94</v>
      </c>
      <c r="C624" s="84" t="s">
        <v>26</v>
      </c>
      <c r="D624" s="84" t="s">
        <v>28</v>
      </c>
      <c r="E624" s="84" t="s">
        <v>883</v>
      </c>
      <c r="F624" s="84" t="s">
        <v>31</v>
      </c>
      <c r="G624" s="87">
        <f t="shared" si="152"/>
        <v>1646729.49</v>
      </c>
      <c r="H624" s="87">
        <f t="shared" si="152"/>
        <v>2386123</v>
      </c>
      <c r="I624" s="87">
        <f t="shared" si="152"/>
        <v>2386123</v>
      </c>
      <c r="J624" s="177"/>
      <c r="K624" s="200"/>
      <c r="L624" s="200"/>
      <c r="M624" s="200"/>
      <c r="N624" s="200"/>
      <c r="O624" s="200"/>
      <c r="P624" s="200"/>
      <c r="Q624" s="200"/>
      <c r="R624" s="200"/>
    </row>
    <row r="625" spans="1:18">
      <c r="A625" s="82" t="s">
        <v>32</v>
      </c>
      <c r="B625" s="84" t="s">
        <v>94</v>
      </c>
      <c r="C625" s="84" t="s">
        <v>26</v>
      </c>
      <c r="D625" s="84" t="s">
        <v>28</v>
      </c>
      <c r="E625" s="84" t="s">
        <v>883</v>
      </c>
      <c r="F625" s="84" t="s">
        <v>33</v>
      </c>
      <c r="G625" s="87">
        <f>1630221+16508.49</f>
        <v>1646729.49</v>
      </c>
      <c r="H625" s="87">
        <v>2386123</v>
      </c>
      <c r="I625" s="87">
        <v>2386123</v>
      </c>
      <c r="J625" s="177"/>
    </row>
    <row r="626" spans="1:18" s="18" customFormat="1" ht="89.25">
      <c r="A626" s="142" t="s">
        <v>372</v>
      </c>
      <c r="B626" s="84" t="s">
        <v>94</v>
      </c>
      <c r="C626" s="84" t="s">
        <v>26</v>
      </c>
      <c r="D626" s="84" t="s">
        <v>28</v>
      </c>
      <c r="E626" s="84" t="s">
        <v>666</v>
      </c>
      <c r="F626" s="84"/>
      <c r="G626" s="87">
        <f t="shared" ref="G626:I627" si="153">G627</f>
        <v>101833</v>
      </c>
      <c r="H626" s="87">
        <f t="shared" si="153"/>
        <v>0</v>
      </c>
      <c r="I626" s="87">
        <f t="shared" si="153"/>
        <v>0</v>
      </c>
      <c r="J626" s="177"/>
      <c r="K626" s="200"/>
      <c r="L626" s="200"/>
      <c r="M626" s="200"/>
      <c r="N626" s="200"/>
      <c r="O626" s="200"/>
      <c r="P626" s="200"/>
      <c r="Q626" s="200"/>
      <c r="R626" s="200"/>
    </row>
    <row r="627" spans="1:18" s="18" customFormat="1" ht="25.5">
      <c r="A627" s="82" t="s">
        <v>30</v>
      </c>
      <c r="B627" s="84" t="s">
        <v>94</v>
      </c>
      <c r="C627" s="84" t="s">
        <v>26</v>
      </c>
      <c r="D627" s="84" t="s">
        <v>28</v>
      </c>
      <c r="E627" s="84" t="s">
        <v>666</v>
      </c>
      <c r="F627" s="84" t="s">
        <v>31</v>
      </c>
      <c r="G627" s="87">
        <f t="shared" si="153"/>
        <v>101833</v>
      </c>
      <c r="H627" s="87">
        <f t="shared" si="153"/>
        <v>0</v>
      </c>
      <c r="I627" s="87">
        <f t="shared" si="153"/>
        <v>0</v>
      </c>
      <c r="J627" s="177"/>
      <c r="K627" s="200"/>
      <c r="L627" s="200"/>
      <c r="M627" s="200"/>
      <c r="N627" s="200"/>
      <c r="O627" s="200"/>
      <c r="P627" s="200"/>
      <c r="Q627" s="200"/>
      <c r="R627" s="200"/>
    </row>
    <row r="628" spans="1:18" s="18" customFormat="1">
      <c r="A628" s="82" t="s">
        <v>32</v>
      </c>
      <c r="B628" s="84" t="s">
        <v>94</v>
      </c>
      <c r="C628" s="84" t="s">
        <v>26</v>
      </c>
      <c r="D628" s="84" t="s">
        <v>28</v>
      </c>
      <c r="E628" s="84" t="s">
        <v>666</v>
      </c>
      <c r="F628" s="84" t="s">
        <v>33</v>
      </c>
      <c r="G628" s="87">
        <f>2040.87+99792.13</f>
        <v>101833</v>
      </c>
      <c r="H628" s="87">
        <v>0</v>
      </c>
      <c r="I628" s="87">
        <v>0</v>
      </c>
      <c r="J628" s="177"/>
      <c r="K628" s="200"/>
      <c r="L628" s="200"/>
      <c r="M628" s="200"/>
      <c r="N628" s="200"/>
      <c r="O628" s="200"/>
      <c r="P628" s="200"/>
      <c r="Q628" s="200"/>
      <c r="R628" s="200"/>
    </row>
    <row r="629" spans="1:18" s="3" customFormat="1" hidden="1">
      <c r="A629" s="82" t="s">
        <v>1</v>
      </c>
      <c r="B629" s="149">
        <v>774</v>
      </c>
      <c r="C629" s="84" t="s">
        <v>26</v>
      </c>
      <c r="D629" s="84" t="s">
        <v>28</v>
      </c>
      <c r="E629" s="84" t="s">
        <v>550</v>
      </c>
      <c r="F629" s="84"/>
      <c r="G629" s="87">
        <f t="shared" ref="G629:I630" si="154">G630</f>
        <v>0</v>
      </c>
      <c r="H629" s="87">
        <f t="shared" si="154"/>
        <v>0</v>
      </c>
      <c r="I629" s="87">
        <f t="shared" si="154"/>
        <v>0</v>
      </c>
      <c r="J629" s="177"/>
      <c r="K629" s="199"/>
      <c r="L629" s="199"/>
      <c r="M629" s="199"/>
      <c r="N629" s="199"/>
      <c r="O629" s="199"/>
      <c r="P629" s="199"/>
      <c r="Q629" s="199"/>
      <c r="R629" s="199"/>
    </row>
    <row r="630" spans="1:18" s="3" customFormat="1" ht="25.5" hidden="1">
      <c r="A630" s="82" t="s">
        <v>30</v>
      </c>
      <c r="B630" s="149">
        <v>774</v>
      </c>
      <c r="C630" s="84" t="s">
        <v>26</v>
      </c>
      <c r="D630" s="84" t="s">
        <v>28</v>
      </c>
      <c r="E630" s="84" t="s">
        <v>550</v>
      </c>
      <c r="F630" s="84" t="s">
        <v>31</v>
      </c>
      <c r="G630" s="87">
        <f t="shared" si="154"/>
        <v>0</v>
      </c>
      <c r="H630" s="87">
        <f t="shared" si="154"/>
        <v>0</v>
      </c>
      <c r="I630" s="87">
        <f t="shared" si="154"/>
        <v>0</v>
      </c>
      <c r="J630" s="177"/>
      <c r="K630" s="199"/>
      <c r="L630" s="199"/>
      <c r="M630" s="199"/>
      <c r="N630" s="199"/>
      <c r="O630" s="199"/>
      <c r="P630" s="199"/>
      <c r="Q630" s="199"/>
      <c r="R630" s="199"/>
    </row>
    <row r="631" spans="1:18" s="3" customFormat="1" hidden="1">
      <c r="A631" s="82" t="s">
        <v>32</v>
      </c>
      <c r="B631" s="149">
        <v>774</v>
      </c>
      <c r="C631" s="84" t="s">
        <v>26</v>
      </c>
      <c r="D631" s="84" t="s">
        <v>28</v>
      </c>
      <c r="E631" s="84" t="s">
        <v>550</v>
      </c>
      <c r="F631" s="84" t="s">
        <v>33</v>
      </c>
      <c r="G631" s="87"/>
      <c r="H631" s="87">
        <v>0</v>
      </c>
      <c r="I631" s="87">
        <v>0</v>
      </c>
      <c r="J631" s="177"/>
      <c r="K631" s="199"/>
      <c r="L631" s="199"/>
      <c r="M631" s="199"/>
      <c r="N631" s="199"/>
      <c r="O631" s="199"/>
      <c r="P631" s="199"/>
      <c r="Q631" s="199"/>
      <c r="R631" s="199"/>
    </row>
    <row r="632" spans="1:18" s="3" customFormat="1" ht="52.5" hidden="1" customHeight="1">
      <c r="A632" s="82" t="s">
        <v>414</v>
      </c>
      <c r="B632" s="149">
        <v>774</v>
      </c>
      <c r="C632" s="84" t="s">
        <v>26</v>
      </c>
      <c r="D632" s="84" t="s">
        <v>28</v>
      </c>
      <c r="E632" s="84" t="s">
        <v>613</v>
      </c>
      <c r="F632" s="84"/>
      <c r="G632" s="87">
        <f t="shared" ref="G632:I633" si="155">G633</f>
        <v>0</v>
      </c>
      <c r="H632" s="87">
        <f t="shared" si="155"/>
        <v>0</v>
      </c>
      <c r="I632" s="87">
        <f t="shared" si="155"/>
        <v>0</v>
      </c>
      <c r="J632" s="177"/>
      <c r="K632" s="199"/>
      <c r="L632" s="199"/>
      <c r="M632" s="199"/>
      <c r="N632" s="199"/>
      <c r="O632" s="199"/>
      <c r="P632" s="199"/>
      <c r="Q632" s="199"/>
      <c r="R632" s="199"/>
    </row>
    <row r="633" spans="1:18" s="3" customFormat="1" ht="25.5" hidden="1">
      <c r="A633" s="82" t="s">
        <v>30</v>
      </c>
      <c r="B633" s="149">
        <v>774</v>
      </c>
      <c r="C633" s="84" t="s">
        <v>26</v>
      </c>
      <c r="D633" s="84" t="s">
        <v>28</v>
      </c>
      <c r="E633" s="84" t="s">
        <v>613</v>
      </c>
      <c r="F633" s="84" t="s">
        <v>31</v>
      </c>
      <c r="G633" s="87">
        <f t="shared" si="155"/>
        <v>0</v>
      </c>
      <c r="H633" s="87">
        <f t="shared" si="155"/>
        <v>0</v>
      </c>
      <c r="I633" s="87">
        <f t="shared" si="155"/>
        <v>0</v>
      </c>
      <c r="J633" s="177"/>
      <c r="K633" s="199"/>
      <c r="L633" s="199"/>
      <c r="M633" s="199"/>
      <c r="N633" s="199"/>
      <c r="O633" s="199"/>
      <c r="P633" s="199"/>
      <c r="Q633" s="199"/>
      <c r="R633" s="199"/>
    </row>
    <row r="634" spans="1:18" s="3" customFormat="1" hidden="1">
      <c r="A634" s="82" t="s">
        <v>32</v>
      </c>
      <c r="B634" s="149">
        <v>774</v>
      </c>
      <c r="C634" s="84" t="s">
        <v>26</v>
      </c>
      <c r="D634" s="84" t="s">
        <v>28</v>
      </c>
      <c r="E634" s="84" t="s">
        <v>613</v>
      </c>
      <c r="F634" s="84" t="s">
        <v>33</v>
      </c>
      <c r="G634" s="87"/>
      <c r="H634" s="87"/>
      <c r="I634" s="87"/>
      <c r="J634" s="177"/>
      <c r="K634" s="199"/>
      <c r="L634" s="199"/>
      <c r="M634" s="199"/>
      <c r="N634" s="199"/>
      <c r="O634" s="199"/>
      <c r="P634" s="199"/>
      <c r="Q634" s="199"/>
      <c r="R634" s="199"/>
    </row>
    <row r="635" spans="1:18" s="18" customFormat="1" ht="89.25" hidden="1">
      <c r="A635" s="142" t="s">
        <v>779</v>
      </c>
      <c r="B635" s="84" t="s">
        <v>94</v>
      </c>
      <c r="C635" s="84" t="s">
        <v>26</v>
      </c>
      <c r="D635" s="84" t="s">
        <v>28</v>
      </c>
      <c r="E635" s="84" t="s">
        <v>778</v>
      </c>
      <c r="F635" s="84"/>
      <c r="G635" s="87">
        <f t="shared" ref="G635:I636" si="156">G636</f>
        <v>0</v>
      </c>
      <c r="H635" s="87">
        <f t="shared" si="156"/>
        <v>0</v>
      </c>
      <c r="I635" s="87">
        <f t="shared" si="156"/>
        <v>0</v>
      </c>
      <c r="J635" s="177"/>
      <c r="K635" s="200"/>
      <c r="L635" s="200"/>
      <c r="M635" s="200"/>
      <c r="N635" s="200"/>
      <c r="O635" s="200"/>
      <c r="P635" s="200"/>
      <c r="Q635" s="200"/>
      <c r="R635" s="200"/>
    </row>
    <row r="636" spans="1:18" s="18" customFormat="1" ht="25.5" hidden="1">
      <c r="A636" s="82" t="s">
        <v>30</v>
      </c>
      <c r="B636" s="84" t="s">
        <v>94</v>
      </c>
      <c r="C636" s="84" t="s">
        <v>26</v>
      </c>
      <c r="D636" s="84" t="s">
        <v>28</v>
      </c>
      <c r="E636" s="84" t="s">
        <v>778</v>
      </c>
      <c r="F636" s="84" t="s">
        <v>31</v>
      </c>
      <c r="G636" s="87">
        <f t="shared" si="156"/>
        <v>0</v>
      </c>
      <c r="H636" s="87">
        <f t="shared" si="156"/>
        <v>0</v>
      </c>
      <c r="I636" s="87">
        <f t="shared" si="156"/>
        <v>0</v>
      </c>
      <c r="J636" s="177"/>
      <c r="K636" s="200"/>
      <c r="L636" s="200"/>
      <c r="M636" s="200"/>
      <c r="N636" s="200"/>
      <c r="O636" s="200"/>
      <c r="P636" s="200"/>
      <c r="Q636" s="200"/>
      <c r="R636" s="200"/>
    </row>
    <row r="637" spans="1:18" s="18" customFormat="1" hidden="1">
      <c r="A637" s="82" t="s">
        <v>32</v>
      </c>
      <c r="B637" s="84" t="s">
        <v>94</v>
      </c>
      <c r="C637" s="84" t="s">
        <v>26</v>
      </c>
      <c r="D637" s="84" t="s">
        <v>28</v>
      </c>
      <c r="E637" s="84" t="s">
        <v>778</v>
      </c>
      <c r="F637" s="84" t="s">
        <v>33</v>
      </c>
      <c r="G637" s="87"/>
      <c r="H637" s="87"/>
      <c r="I637" s="87"/>
      <c r="J637" s="177"/>
      <c r="K637" s="200"/>
      <c r="L637" s="200"/>
      <c r="M637" s="200"/>
      <c r="N637" s="200"/>
      <c r="O637" s="200"/>
      <c r="P637" s="200"/>
      <c r="Q637" s="200"/>
      <c r="R637" s="200"/>
    </row>
    <row r="638" spans="1:18" s="18" customFormat="1" hidden="1">
      <c r="A638" s="142"/>
      <c r="B638" s="84"/>
      <c r="C638" s="84" t="s">
        <v>26</v>
      </c>
      <c r="D638" s="84" t="s">
        <v>28</v>
      </c>
      <c r="E638" s="84"/>
      <c r="F638" s="84"/>
      <c r="G638" s="87"/>
      <c r="H638" s="87"/>
      <c r="I638" s="87"/>
      <c r="J638" s="177"/>
      <c r="K638" s="200"/>
      <c r="L638" s="200"/>
      <c r="M638" s="200"/>
      <c r="N638" s="200"/>
      <c r="O638" s="200"/>
      <c r="P638" s="200"/>
      <c r="Q638" s="200"/>
      <c r="R638" s="200"/>
    </row>
    <row r="639" spans="1:18" s="18" customFormat="1" hidden="1">
      <c r="A639" s="82"/>
      <c r="B639" s="84"/>
      <c r="C639" s="84" t="s">
        <v>26</v>
      </c>
      <c r="D639" s="84" t="s">
        <v>28</v>
      </c>
      <c r="E639" s="84"/>
      <c r="F639" s="84"/>
      <c r="G639" s="87"/>
      <c r="H639" s="87"/>
      <c r="I639" s="87"/>
      <c r="J639" s="177"/>
      <c r="K639" s="200"/>
      <c r="L639" s="200"/>
      <c r="M639" s="200"/>
      <c r="N639" s="200"/>
      <c r="O639" s="200"/>
      <c r="P639" s="200"/>
      <c r="Q639" s="200"/>
      <c r="R639" s="200"/>
    </row>
    <row r="640" spans="1:18" s="18" customFormat="1" hidden="1">
      <c r="A640" s="82"/>
      <c r="B640" s="84"/>
      <c r="C640" s="84" t="s">
        <v>26</v>
      </c>
      <c r="D640" s="84" t="s">
        <v>28</v>
      </c>
      <c r="E640" s="84"/>
      <c r="F640" s="84"/>
      <c r="G640" s="87"/>
      <c r="H640" s="87"/>
      <c r="I640" s="87"/>
      <c r="J640" s="177"/>
      <c r="K640" s="200"/>
      <c r="L640" s="200"/>
      <c r="M640" s="200"/>
      <c r="N640" s="200"/>
      <c r="O640" s="200"/>
      <c r="P640" s="200"/>
      <c r="Q640" s="200"/>
      <c r="R640" s="200"/>
    </row>
    <row r="641" spans="1:18" ht="54.75" customHeight="1">
      <c r="A641" s="82" t="s">
        <v>692</v>
      </c>
      <c r="B641" s="84" t="s">
        <v>94</v>
      </c>
      <c r="C641" s="84" t="s">
        <v>26</v>
      </c>
      <c r="D641" s="84" t="s">
        <v>28</v>
      </c>
      <c r="E641" s="84" t="s">
        <v>647</v>
      </c>
      <c r="F641" s="84"/>
      <c r="G641" s="87">
        <f t="shared" ref="G641:I641" si="157">G642</f>
        <v>30279350</v>
      </c>
      <c r="H641" s="87">
        <f t="shared" si="157"/>
        <v>30279350</v>
      </c>
      <c r="I641" s="87">
        <f t="shared" si="157"/>
        <v>31162470</v>
      </c>
      <c r="J641" s="177"/>
    </row>
    <row r="642" spans="1:18" ht="25.5">
      <c r="A642" s="82" t="s">
        <v>30</v>
      </c>
      <c r="B642" s="84" t="s">
        <v>94</v>
      </c>
      <c r="C642" s="84" t="s">
        <v>26</v>
      </c>
      <c r="D642" s="84" t="s">
        <v>28</v>
      </c>
      <c r="E642" s="84" t="s">
        <v>647</v>
      </c>
      <c r="F642" s="84" t="s">
        <v>31</v>
      </c>
      <c r="G642" s="87">
        <f>G643</f>
        <v>30279350</v>
      </c>
      <c r="H642" s="87">
        <f>H643</f>
        <v>30279350</v>
      </c>
      <c r="I642" s="87">
        <f>I643</f>
        <v>31162470</v>
      </c>
      <c r="J642" s="177"/>
    </row>
    <row r="643" spans="1:18">
      <c r="A643" s="82" t="s">
        <v>32</v>
      </c>
      <c r="B643" s="84" t="s">
        <v>94</v>
      </c>
      <c r="C643" s="84" t="s">
        <v>26</v>
      </c>
      <c r="D643" s="84" t="s">
        <v>28</v>
      </c>
      <c r="E643" s="84" t="s">
        <v>647</v>
      </c>
      <c r="F643" s="84" t="s">
        <v>33</v>
      </c>
      <c r="G643" s="87">
        <v>30279350</v>
      </c>
      <c r="H643" s="87">
        <v>30279350</v>
      </c>
      <c r="I643" s="87">
        <v>31162470</v>
      </c>
      <c r="J643" s="177"/>
    </row>
    <row r="644" spans="1:18" s="3" customFormat="1">
      <c r="A644" s="82" t="s">
        <v>888</v>
      </c>
      <c r="B644" s="149">
        <v>774</v>
      </c>
      <c r="C644" s="84" t="s">
        <v>26</v>
      </c>
      <c r="D644" s="84" t="s">
        <v>28</v>
      </c>
      <c r="E644" s="84" t="s">
        <v>940</v>
      </c>
      <c r="F644" s="84"/>
      <c r="G644" s="87">
        <f t="shared" ref="G644:I645" si="158">G645</f>
        <v>0</v>
      </c>
      <c r="H644" s="87">
        <f t="shared" si="158"/>
        <v>556711</v>
      </c>
      <c r="I644" s="87">
        <f t="shared" si="158"/>
        <v>556711</v>
      </c>
      <c r="J644" s="177"/>
      <c r="K644" s="199"/>
      <c r="L644" s="199"/>
      <c r="M644" s="199"/>
      <c r="N644" s="199"/>
      <c r="O644" s="199"/>
      <c r="P644" s="199"/>
      <c r="Q644" s="199"/>
      <c r="R644" s="199"/>
    </row>
    <row r="645" spans="1:18" s="3" customFormat="1" ht="25.5">
      <c r="A645" s="82" t="s">
        <v>30</v>
      </c>
      <c r="B645" s="149">
        <v>774</v>
      </c>
      <c r="C645" s="84" t="s">
        <v>26</v>
      </c>
      <c r="D645" s="84" t="s">
        <v>28</v>
      </c>
      <c r="E645" s="84" t="s">
        <v>940</v>
      </c>
      <c r="F645" s="84" t="s">
        <v>31</v>
      </c>
      <c r="G645" s="87">
        <f t="shared" si="158"/>
        <v>0</v>
      </c>
      <c r="H645" s="87">
        <f t="shared" si="158"/>
        <v>556711</v>
      </c>
      <c r="I645" s="87">
        <f t="shared" si="158"/>
        <v>556711</v>
      </c>
      <c r="J645" s="177"/>
      <c r="K645" s="199"/>
      <c r="L645" s="199"/>
      <c r="M645" s="199"/>
      <c r="N645" s="199"/>
      <c r="O645" s="199"/>
      <c r="P645" s="199"/>
      <c r="Q645" s="199"/>
      <c r="R645" s="199"/>
    </row>
    <row r="646" spans="1:18" s="3" customFormat="1">
      <c r="A646" s="82" t="s">
        <v>32</v>
      </c>
      <c r="B646" s="149">
        <v>774</v>
      </c>
      <c r="C646" s="84" t="s">
        <v>26</v>
      </c>
      <c r="D646" s="84" t="s">
        <v>28</v>
      </c>
      <c r="E646" s="84" t="s">
        <v>940</v>
      </c>
      <c r="F646" s="84" t="s">
        <v>33</v>
      </c>
      <c r="G646" s="87">
        <f>556711-556711</f>
        <v>0</v>
      </c>
      <c r="H646" s="87">
        <v>556711</v>
      </c>
      <c r="I646" s="87">
        <v>556711</v>
      </c>
      <c r="J646" s="177"/>
      <c r="K646" s="199"/>
      <c r="L646" s="199"/>
      <c r="M646" s="199"/>
      <c r="N646" s="199"/>
      <c r="O646" s="199"/>
      <c r="P646" s="199"/>
      <c r="Q646" s="199"/>
      <c r="R646" s="199"/>
    </row>
    <row r="647" spans="1:18" ht="46.5" hidden="1" customHeight="1">
      <c r="A647" s="82" t="s">
        <v>719</v>
      </c>
      <c r="B647" s="84" t="s">
        <v>94</v>
      </c>
      <c r="C647" s="84" t="s">
        <v>26</v>
      </c>
      <c r="D647" s="84" t="s">
        <v>28</v>
      </c>
      <c r="E647" s="84" t="s">
        <v>718</v>
      </c>
      <c r="F647" s="84"/>
      <c r="G647" s="87">
        <f t="shared" ref="G647:I647" si="159">G648</f>
        <v>0</v>
      </c>
      <c r="H647" s="87">
        <f t="shared" si="159"/>
        <v>0</v>
      </c>
      <c r="I647" s="87">
        <f t="shared" si="159"/>
        <v>0</v>
      </c>
      <c r="J647" s="177"/>
    </row>
    <row r="648" spans="1:18" ht="39.75" hidden="1" customHeight="1">
      <c r="A648" s="82" t="s">
        <v>96</v>
      </c>
      <c r="B648" s="84" t="s">
        <v>94</v>
      </c>
      <c r="C648" s="84" t="s">
        <v>26</v>
      </c>
      <c r="D648" s="84" t="s">
        <v>28</v>
      </c>
      <c r="E648" s="84" t="s">
        <v>718</v>
      </c>
      <c r="F648" s="84" t="s">
        <v>31</v>
      </c>
      <c r="G648" s="87">
        <f>G649</f>
        <v>0</v>
      </c>
      <c r="H648" s="87">
        <f>H649</f>
        <v>0</v>
      </c>
      <c r="I648" s="87">
        <f>I649</f>
        <v>0</v>
      </c>
      <c r="J648" s="177"/>
    </row>
    <row r="649" spans="1:18" ht="46.5" hidden="1" customHeight="1">
      <c r="A649" s="82" t="s">
        <v>420</v>
      </c>
      <c r="B649" s="84" t="s">
        <v>94</v>
      </c>
      <c r="C649" s="84" t="s">
        <v>26</v>
      </c>
      <c r="D649" s="84" t="s">
        <v>28</v>
      </c>
      <c r="E649" s="84" t="s">
        <v>718</v>
      </c>
      <c r="F649" s="84" t="s">
        <v>33</v>
      </c>
      <c r="G649" s="87"/>
      <c r="H649" s="87">
        <v>0</v>
      </c>
      <c r="I649" s="87">
        <v>0</v>
      </c>
      <c r="J649" s="177"/>
    </row>
    <row r="650" spans="1:18" ht="54" hidden="1" customHeight="1">
      <c r="A650" s="82" t="s">
        <v>694</v>
      </c>
      <c r="B650" s="84" t="s">
        <v>94</v>
      </c>
      <c r="C650" s="84" t="s">
        <v>26</v>
      </c>
      <c r="D650" s="84" t="s">
        <v>28</v>
      </c>
      <c r="E650" s="84" t="s">
        <v>693</v>
      </c>
      <c r="F650" s="84"/>
      <c r="G650" s="87">
        <f t="shared" ref="G650:I650" si="160">G651</f>
        <v>0</v>
      </c>
      <c r="H650" s="87">
        <f t="shared" si="160"/>
        <v>0</v>
      </c>
      <c r="I650" s="87">
        <f t="shared" si="160"/>
        <v>0</v>
      </c>
      <c r="J650" s="177"/>
    </row>
    <row r="651" spans="1:18" ht="46.5" hidden="1" customHeight="1">
      <c r="A651" s="82" t="s">
        <v>96</v>
      </c>
      <c r="B651" s="84" t="s">
        <v>94</v>
      </c>
      <c r="C651" s="84" t="s">
        <v>26</v>
      </c>
      <c r="D651" s="84" t="s">
        <v>28</v>
      </c>
      <c r="E651" s="84" t="s">
        <v>693</v>
      </c>
      <c r="F651" s="84" t="s">
        <v>348</v>
      </c>
      <c r="G651" s="87">
        <f>G652</f>
        <v>0</v>
      </c>
      <c r="H651" s="87">
        <f>H652</f>
        <v>0</v>
      </c>
      <c r="I651" s="87">
        <f>I652</f>
        <v>0</v>
      </c>
      <c r="J651" s="177"/>
    </row>
    <row r="652" spans="1:18" ht="52.5" hidden="1" customHeight="1">
      <c r="A652" s="82" t="s">
        <v>420</v>
      </c>
      <c r="B652" s="84" t="s">
        <v>94</v>
      </c>
      <c r="C652" s="84" t="s">
        <v>26</v>
      </c>
      <c r="D652" s="84" t="s">
        <v>28</v>
      </c>
      <c r="E652" s="84" t="s">
        <v>693</v>
      </c>
      <c r="F652" s="84" t="s">
        <v>419</v>
      </c>
      <c r="G652" s="87"/>
      <c r="H652" s="87">
        <v>0</v>
      </c>
      <c r="I652" s="87">
        <v>0</v>
      </c>
      <c r="J652" s="177"/>
    </row>
    <row r="653" spans="1:18" ht="25.5">
      <c r="A653" s="82" t="s">
        <v>0</v>
      </c>
      <c r="B653" s="149">
        <v>774</v>
      </c>
      <c r="C653" s="84" t="s">
        <v>26</v>
      </c>
      <c r="D653" s="84" t="s">
        <v>28</v>
      </c>
      <c r="E653" s="84" t="s">
        <v>218</v>
      </c>
      <c r="F653" s="84"/>
      <c r="G653" s="85">
        <f>G737+G677+G734+G692+G695+G683+G698+G740+G654+G663+G672+G684+G687+G702+G699+G666+G671+G678+G657+G729+G705+G708+G660+G711+G714+G717+G720+G723+G726</f>
        <v>167257640.44999999</v>
      </c>
      <c r="H653" s="85">
        <f>H737+H677+H734+H692+H695+H683+H698+H740+H654+H663+H672+H684+H687+H702+H699+H666+H671+H678+H657</f>
        <v>57747891.32</v>
      </c>
      <c r="I653" s="85">
        <f>I737+I677+I734+I692+I695+I683+I698+I740+I654+I663+I672+I684+I687+I702+I699+I666+I671+I678+I657</f>
        <v>6562202</v>
      </c>
      <c r="J653" s="178"/>
    </row>
    <row r="654" spans="1:18" ht="29.25" customHeight="1">
      <c r="A654" s="82" t="s">
        <v>954</v>
      </c>
      <c r="B654" s="84" t="s">
        <v>94</v>
      </c>
      <c r="C654" s="84" t="s">
        <v>26</v>
      </c>
      <c r="D654" s="84" t="s">
        <v>28</v>
      </c>
      <c r="E654" s="84" t="s">
        <v>953</v>
      </c>
      <c r="F654" s="84"/>
      <c r="G654" s="87">
        <f t="shared" ref="G654:I661" si="161">G655</f>
        <v>2884872.88</v>
      </c>
      <c r="H654" s="87">
        <f t="shared" si="161"/>
        <v>15540116.210000001</v>
      </c>
      <c r="I654" s="87">
        <f t="shared" si="161"/>
        <v>0</v>
      </c>
      <c r="J654" s="177"/>
    </row>
    <row r="655" spans="1:18" ht="25.5">
      <c r="A655" s="82" t="s">
        <v>30</v>
      </c>
      <c r="B655" s="84" t="s">
        <v>94</v>
      </c>
      <c r="C655" s="84" t="s">
        <v>26</v>
      </c>
      <c r="D655" s="84" t="s">
        <v>28</v>
      </c>
      <c r="E655" s="84" t="s">
        <v>953</v>
      </c>
      <c r="F655" s="84" t="s">
        <v>31</v>
      </c>
      <c r="G655" s="87">
        <f t="shared" si="161"/>
        <v>2884872.88</v>
      </c>
      <c r="H655" s="87">
        <f t="shared" si="161"/>
        <v>15540116.210000001</v>
      </c>
      <c r="I655" s="87">
        <f t="shared" si="161"/>
        <v>0</v>
      </c>
      <c r="J655" s="177"/>
    </row>
    <row r="656" spans="1:18">
      <c r="A656" s="82" t="s">
        <v>32</v>
      </c>
      <c r="B656" s="84" t="s">
        <v>94</v>
      </c>
      <c r="C656" s="84" t="s">
        <v>26</v>
      </c>
      <c r="D656" s="84" t="s">
        <v>28</v>
      </c>
      <c r="E656" s="84" t="s">
        <v>953</v>
      </c>
      <c r="F656" s="84" t="s">
        <v>33</v>
      </c>
      <c r="G656" s="87">
        <v>2884872.88</v>
      </c>
      <c r="H656" s="87">
        <v>15540116.210000001</v>
      </c>
      <c r="I656" s="87">
        <v>0</v>
      </c>
      <c r="J656" s="177"/>
    </row>
    <row r="657" spans="1:18" ht="59.25" customHeight="1">
      <c r="A657" s="82" t="s">
        <v>1056</v>
      </c>
      <c r="B657" s="84" t="s">
        <v>94</v>
      </c>
      <c r="C657" s="84" t="s">
        <v>26</v>
      </c>
      <c r="D657" s="84" t="s">
        <v>28</v>
      </c>
      <c r="E657" s="84" t="s">
        <v>1055</v>
      </c>
      <c r="F657" s="84"/>
      <c r="G657" s="87">
        <f t="shared" si="161"/>
        <v>250000</v>
      </c>
      <c r="H657" s="87">
        <f t="shared" si="161"/>
        <v>0</v>
      </c>
      <c r="I657" s="87">
        <f t="shared" si="161"/>
        <v>0</v>
      </c>
      <c r="J657" s="177"/>
    </row>
    <row r="658" spans="1:18" ht="25.5">
      <c r="A658" s="82" t="s">
        <v>30</v>
      </c>
      <c r="B658" s="84" t="s">
        <v>94</v>
      </c>
      <c r="C658" s="84" t="s">
        <v>26</v>
      </c>
      <c r="D658" s="84" t="s">
        <v>28</v>
      </c>
      <c r="E658" s="84" t="s">
        <v>1055</v>
      </c>
      <c r="F658" s="84" t="s">
        <v>31</v>
      </c>
      <c r="G658" s="87">
        <f t="shared" si="161"/>
        <v>250000</v>
      </c>
      <c r="H658" s="87">
        <f t="shared" si="161"/>
        <v>0</v>
      </c>
      <c r="I658" s="87">
        <f t="shared" si="161"/>
        <v>0</v>
      </c>
      <c r="J658" s="177"/>
    </row>
    <row r="659" spans="1:18">
      <c r="A659" s="82" t="s">
        <v>32</v>
      </c>
      <c r="B659" s="84" t="s">
        <v>94</v>
      </c>
      <c r="C659" s="84" t="s">
        <v>26</v>
      </c>
      <c r="D659" s="84" t="s">
        <v>28</v>
      </c>
      <c r="E659" s="84" t="s">
        <v>1055</v>
      </c>
      <c r="F659" s="84" t="s">
        <v>33</v>
      </c>
      <c r="G659" s="87">
        <v>250000</v>
      </c>
      <c r="H659" s="87">
        <v>0</v>
      </c>
      <c r="I659" s="87">
        <v>0</v>
      </c>
      <c r="J659" s="177"/>
    </row>
    <row r="660" spans="1:18" ht="59.25" customHeight="1">
      <c r="A660" s="82" t="s">
        <v>1079</v>
      </c>
      <c r="B660" s="84" t="s">
        <v>94</v>
      </c>
      <c r="C660" s="84" t="s">
        <v>26</v>
      </c>
      <c r="D660" s="84" t="s">
        <v>28</v>
      </c>
      <c r="E660" s="84" t="s">
        <v>1078</v>
      </c>
      <c r="F660" s="84"/>
      <c r="G660" s="87">
        <f t="shared" si="161"/>
        <v>1737958.8</v>
      </c>
      <c r="H660" s="87">
        <f t="shared" si="161"/>
        <v>0</v>
      </c>
      <c r="I660" s="87">
        <f t="shared" si="161"/>
        <v>0</v>
      </c>
      <c r="J660" s="177"/>
    </row>
    <row r="661" spans="1:18" ht="25.5">
      <c r="A661" s="82" t="s">
        <v>30</v>
      </c>
      <c r="B661" s="84" t="s">
        <v>94</v>
      </c>
      <c r="C661" s="84" t="s">
        <v>26</v>
      </c>
      <c r="D661" s="84" t="s">
        <v>28</v>
      </c>
      <c r="E661" s="84" t="s">
        <v>1078</v>
      </c>
      <c r="F661" s="84" t="s">
        <v>31</v>
      </c>
      <c r="G661" s="87">
        <f t="shared" si="161"/>
        <v>1737958.8</v>
      </c>
      <c r="H661" s="87">
        <f t="shared" si="161"/>
        <v>0</v>
      </c>
      <c r="I661" s="87">
        <f t="shared" si="161"/>
        <v>0</v>
      </c>
      <c r="J661" s="177"/>
    </row>
    <row r="662" spans="1:18">
      <c r="A662" s="82" t="s">
        <v>32</v>
      </c>
      <c r="B662" s="84" t="s">
        <v>94</v>
      </c>
      <c r="C662" s="84" t="s">
        <v>26</v>
      </c>
      <c r="D662" s="84" t="s">
        <v>28</v>
      </c>
      <c r="E662" s="84" t="s">
        <v>1078</v>
      </c>
      <c r="F662" s="84" t="s">
        <v>33</v>
      </c>
      <c r="G662" s="87">
        <v>1737958.8</v>
      </c>
      <c r="H662" s="87">
        <v>0</v>
      </c>
      <c r="I662" s="87">
        <v>0</v>
      </c>
      <c r="J662" s="177"/>
    </row>
    <row r="663" spans="1:18" s="3" customFormat="1" ht="39" customHeight="1">
      <c r="A663" s="82" t="s">
        <v>821</v>
      </c>
      <c r="B663" s="149">
        <v>774</v>
      </c>
      <c r="C663" s="84" t="s">
        <v>26</v>
      </c>
      <c r="D663" s="84" t="s">
        <v>28</v>
      </c>
      <c r="E663" s="84" t="s">
        <v>446</v>
      </c>
      <c r="F663" s="84"/>
      <c r="G663" s="87">
        <f>G664</f>
        <v>360000</v>
      </c>
      <c r="H663" s="87">
        <f t="shared" ref="H663:I663" si="162">H664</f>
        <v>500000</v>
      </c>
      <c r="I663" s="87">
        <f t="shared" si="162"/>
        <v>500000</v>
      </c>
      <c r="J663" s="177"/>
      <c r="K663" s="199"/>
      <c r="L663" s="199"/>
      <c r="M663" s="199"/>
      <c r="N663" s="199"/>
      <c r="O663" s="199"/>
      <c r="P663" s="199"/>
      <c r="Q663" s="199"/>
      <c r="R663" s="199"/>
    </row>
    <row r="664" spans="1:18" s="3" customFormat="1" ht="39" customHeight="1">
      <c r="A664" s="82" t="s">
        <v>30</v>
      </c>
      <c r="B664" s="149">
        <v>774</v>
      </c>
      <c r="C664" s="84" t="s">
        <v>26</v>
      </c>
      <c r="D664" s="84" t="s">
        <v>28</v>
      </c>
      <c r="E664" s="84" t="s">
        <v>446</v>
      </c>
      <c r="F664" s="84" t="s">
        <v>31</v>
      </c>
      <c r="G664" s="87">
        <f>G665</f>
        <v>360000</v>
      </c>
      <c r="H664" s="87">
        <f t="shared" ref="H664:I664" si="163">H665</f>
        <v>500000</v>
      </c>
      <c r="I664" s="87">
        <f t="shared" si="163"/>
        <v>500000</v>
      </c>
      <c r="J664" s="177"/>
      <c r="K664" s="199"/>
      <c r="L664" s="199"/>
      <c r="M664" s="199"/>
      <c r="N664" s="199"/>
      <c r="O664" s="199"/>
      <c r="P664" s="199"/>
      <c r="Q664" s="199"/>
      <c r="R664" s="199"/>
    </row>
    <row r="665" spans="1:18" s="3" customFormat="1" ht="13.5" customHeight="1">
      <c r="A665" s="82" t="s">
        <v>32</v>
      </c>
      <c r="B665" s="149">
        <v>774</v>
      </c>
      <c r="C665" s="84" t="s">
        <v>26</v>
      </c>
      <c r="D665" s="84" t="s">
        <v>28</v>
      </c>
      <c r="E665" s="84" t="s">
        <v>446</v>
      </c>
      <c r="F665" s="84" t="s">
        <v>33</v>
      </c>
      <c r="G665" s="87">
        <f>500000-140000</f>
        <v>360000</v>
      </c>
      <c r="H665" s="87">
        <v>500000</v>
      </c>
      <c r="I665" s="87">
        <v>500000</v>
      </c>
      <c r="J665" s="177"/>
      <c r="K665" s="199"/>
      <c r="L665" s="199"/>
      <c r="M665" s="199"/>
      <c r="N665" s="199"/>
      <c r="O665" s="199"/>
      <c r="P665" s="199"/>
      <c r="Q665" s="199"/>
      <c r="R665" s="199"/>
    </row>
    <row r="666" spans="1:18" s="3" customFormat="1" ht="38.25">
      <c r="A666" s="82" t="s">
        <v>901</v>
      </c>
      <c r="B666" s="149">
        <v>774</v>
      </c>
      <c r="C666" s="84" t="s">
        <v>26</v>
      </c>
      <c r="D666" s="84" t="s">
        <v>28</v>
      </c>
      <c r="E666" s="84" t="s">
        <v>900</v>
      </c>
      <c r="F666" s="84"/>
      <c r="G666" s="87">
        <f>G667</f>
        <v>0</v>
      </c>
      <c r="H666" s="87">
        <f t="shared" ref="H666:I670" si="164">H667</f>
        <v>0</v>
      </c>
      <c r="I666" s="87">
        <f t="shared" si="164"/>
        <v>0</v>
      </c>
      <c r="J666" s="177"/>
      <c r="K666" s="199"/>
      <c r="L666" s="199"/>
      <c r="M666" s="199"/>
      <c r="N666" s="199"/>
      <c r="O666" s="199"/>
      <c r="P666" s="199"/>
      <c r="Q666" s="199"/>
      <c r="R666" s="199"/>
    </row>
    <row r="667" spans="1:18" s="3" customFormat="1" ht="33" customHeight="1">
      <c r="A667" s="82" t="s">
        <v>30</v>
      </c>
      <c r="B667" s="149">
        <v>774</v>
      </c>
      <c r="C667" s="84" t="s">
        <v>26</v>
      </c>
      <c r="D667" s="84" t="s">
        <v>28</v>
      </c>
      <c r="E667" s="84" t="s">
        <v>900</v>
      </c>
      <c r="F667" s="84" t="s">
        <v>31</v>
      </c>
      <c r="G667" s="87">
        <f>G668</f>
        <v>0</v>
      </c>
      <c r="H667" s="87">
        <f t="shared" si="164"/>
        <v>0</v>
      </c>
      <c r="I667" s="87">
        <f t="shared" si="164"/>
        <v>0</v>
      </c>
      <c r="J667" s="177"/>
      <c r="K667" s="199"/>
      <c r="L667" s="199"/>
      <c r="M667" s="199"/>
      <c r="N667" s="199"/>
      <c r="O667" s="199"/>
      <c r="P667" s="199"/>
      <c r="Q667" s="199"/>
      <c r="R667" s="199"/>
    </row>
    <row r="668" spans="1:18" s="3" customFormat="1">
      <c r="A668" s="82" t="s">
        <v>32</v>
      </c>
      <c r="B668" s="149">
        <v>774</v>
      </c>
      <c r="C668" s="84" t="s">
        <v>26</v>
      </c>
      <c r="D668" s="84" t="s">
        <v>28</v>
      </c>
      <c r="E668" s="84" t="s">
        <v>900</v>
      </c>
      <c r="F668" s="84" t="s">
        <v>33</v>
      </c>
      <c r="G668" s="87">
        <f>600000-600000</f>
        <v>0</v>
      </c>
      <c r="H668" s="87">
        <v>0</v>
      </c>
      <c r="I668" s="87">
        <v>0</v>
      </c>
      <c r="J668" s="177"/>
      <c r="K668" s="199"/>
      <c r="L668" s="199"/>
      <c r="M668" s="199"/>
      <c r="N668" s="199"/>
      <c r="O668" s="199"/>
      <c r="P668" s="199"/>
      <c r="Q668" s="199"/>
      <c r="R668" s="199"/>
    </row>
    <row r="669" spans="1:18" s="3" customFormat="1" ht="38.25">
      <c r="A669" s="82" t="s">
        <v>903</v>
      </c>
      <c r="B669" s="149">
        <v>774</v>
      </c>
      <c r="C669" s="84" t="s">
        <v>26</v>
      </c>
      <c r="D669" s="84" t="s">
        <v>28</v>
      </c>
      <c r="E669" s="84" t="s">
        <v>902</v>
      </c>
      <c r="F669" s="84"/>
      <c r="G669" s="87">
        <f>G670</f>
        <v>0</v>
      </c>
      <c r="H669" s="87">
        <f t="shared" si="164"/>
        <v>700000</v>
      </c>
      <c r="I669" s="87">
        <f t="shared" si="164"/>
        <v>0</v>
      </c>
      <c r="J669" s="177"/>
      <c r="K669" s="199"/>
      <c r="L669" s="199"/>
      <c r="M669" s="199"/>
      <c r="N669" s="199"/>
      <c r="O669" s="199"/>
      <c r="P669" s="199"/>
      <c r="Q669" s="199"/>
      <c r="R669" s="199"/>
    </row>
    <row r="670" spans="1:18" s="3" customFormat="1" ht="33" customHeight="1">
      <c r="A670" s="82" t="s">
        <v>30</v>
      </c>
      <c r="B670" s="149">
        <v>774</v>
      </c>
      <c r="C670" s="84" t="s">
        <v>26</v>
      </c>
      <c r="D670" s="84" t="s">
        <v>28</v>
      </c>
      <c r="E670" s="84" t="s">
        <v>902</v>
      </c>
      <c r="F670" s="84" t="s">
        <v>31</v>
      </c>
      <c r="G670" s="87">
        <f>G671</f>
        <v>0</v>
      </c>
      <c r="H670" s="87">
        <f t="shared" si="164"/>
        <v>700000</v>
      </c>
      <c r="I670" s="87">
        <f t="shared" si="164"/>
        <v>0</v>
      </c>
      <c r="J670" s="177"/>
      <c r="K670" s="199"/>
      <c r="L670" s="199"/>
      <c r="M670" s="199"/>
      <c r="N670" s="199"/>
      <c r="O670" s="199"/>
      <c r="P670" s="199"/>
      <c r="Q670" s="199"/>
      <c r="R670" s="199"/>
    </row>
    <row r="671" spans="1:18" s="3" customFormat="1">
      <c r="A671" s="82" t="s">
        <v>32</v>
      </c>
      <c r="B671" s="149">
        <v>774</v>
      </c>
      <c r="C671" s="84" t="s">
        <v>26</v>
      </c>
      <c r="D671" s="84" t="s">
        <v>28</v>
      </c>
      <c r="E671" s="84" t="s">
        <v>902</v>
      </c>
      <c r="F671" s="84" t="s">
        <v>33</v>
      </c>
      <c r="G671" s="87">
        <v>0</v>
      </c>
      <c r="H671" s="87">
        <v>700000</v>
      </c>
      <c r="I671" s="87"/>
      <c r="J671" s="177"/>
      <c r="K671" s="199"/>
      <c r="L671" s="199"/>
      <c r="M671" s="199"/>
      <c r="N671" s="199"/>
      <c r="O671" s="199"/>
      <c r="P671" s="199"/>
      <c r="Q671" s="199"/>
      <c r="R671" s="199"/>
    </row>
    <row r="672" spans="1:18" s="3" customFormat="1" ht="38.25" hidden="1">
      <c r="A672" s="82" t="s">
        <v>822</v>
      </c>
      <c r="B672" s="149">
        <v>774</v>
      </c>
      <c r="C672" s="84" t="s">
        <v>26</v>
      </c>
      <c r="D672" s="84" t="s">
        <v>28</v>
      </c>
      <c r="E672" s="84" t="s">
        <v>771</v>
      </c>
      <c r="F672" s="84"/>
      <c r="G672" s="87">
        <f t="shared" ref="G672:I688" si="165">G673</f>
        <v>0</v>
      </c>
      <c r="H672" s="87">
        <f t="shared" si="165"/>
        <v>0</v>
      </c>
      <c r="I672" s="87">
        <f t="shared" si="165"/>
        <v>0</v>
      </c>
      <c r="J672" s="177"/>
      <c r="K672" s="199"/>
      <c r="L672" s="199"/>
      <c r="M672" s="199"/>
      <c r="N672" s="199"/>
      <c r="O672" s="199"/>
      <c r="P672" s="199"/>
      <c r="Q672" s="199"/>
      <c r="R672" s="199"/>
    </row>
    <row r="673" spans="1:18" s="3" customFormat="1" ht="25.5" hidden="1">
      <c r="A673" s="82" t="s">
        <v>30</v>
      </c>
      <c r="B673" s="149">
        <v>774</v>
      </c>
      <c r="C673" s="84" t="s">
        <v>26</v>
      </c>
      <c r="D673" s="84" t="s">
        <v>28</v>
      </c>
      <c r="E673" s="84" t="s">
        <v>771</v>
      </c>
      <c r="F673" s="84" t="s">
        <v>31</v>
      </c>
      <c r="G673" s="87">
        <f t="shared" si="165"/>
        <v>0</v>
      </c>
      <c r="H673" s="87">
        <f t="shared" si="165"/>
        <v>0</v>
      </c>
      <c r="I673" s="87">
        <f t="shared" si="165"/>
        <v>0</v>
      </c>
      <c r="J673" s="177"/>
      <c r="K673" s="199"/>
      <c r="L673" s="199"/>
      <c r="M673" s="199"/>
      <c r="N673" s="199"/>
      <c r="O673" s="199"/>
      <c r="P673" s="199"/>
      <c r="Q673" s="199"/>
      <c r="R673" s="199"/>
    </row>
    <row r="674" spans="1:18" s="3" customFormat="1" hidden="1">
      <c r="A674" s="82" t="s">
        <v>32</v>
      </c>
      <c r="B674" s="149">
        <v>774</v>
      </c>
      <c r="C674" s="84" t="s">
        <v>26</v>
      </c>
      <c r="D674" s="84" t="s">
        <v>28</v>
      </c>
      <c r="E674" s="84" t="s">
        <v>771</v>
      </c>
      <c r="F674" s="84" t="s">
        <v>33</v>
      </c>
      <c r="G674" s="87"/>
      <c r="H674" s="87"/>
      <c r="I674" s="87"/>
      <c r="J674" s="177"/>
      <c r="K674" s="199"/>
      <c r="L674" s="199"/>
      <c r="M674" s="199"/>
      <c r="N674" s="199"/>
      <c r="O674" s="199"/>
      <c r="P674" s="199"/>
      <c r="Q674" s="199"/>
      <c r="R674" s="199"/>
    </row>
    <row r="675" spans="1:18" s="3" customFormat="1" ht="25.5">
      <c r="A675" s="82" t="s">
        <v>1014</v>
      </c>
      <c r="B675" s="149">
        <v>774</v>
      </c>
      <c r="C675" s="84" t="s">
        <v>26</v>
      </c>
      <c r="D675" s="84" t="s">
        <v>28</v>
      </c>
      <c r="E675" s="84" t="s">
        <v>219</v>
      </c>
      <c r="F675" s="84"/>
      <c r="G675" s="87">
        <f t="shared" ref="G675:I679" si="166">G676</f>
        <v>861259</v>
      </c>
      <c r="H675" s="87">
        <f t="shared" si="166"/>
        <v>2383020</v>
      </c>
      <c r="I675" s="87">
        <f t="shared" si="166"/>
        <v>0</v>
      </c>
      <c r="J675" s="177"/>
      <c r="K675" s="199"/>
      <c r="L675" s="199"/>
      <c r="M675" s="199"/>
      <c r="N675" s="199"/>
      <c r="O675" s="199"/>
      <c r="P675" s="199"/>
      <c r="Q675" s="199"/>
      <c r="R675" s="199"/>
    </row>
    <row r="676" spans="1:18" s="3" customFormat="1" ht="25.5">
      <c r="A676" s="82" t="s">
        <v>30</v>
      </c>
      <c r="B676" s="149">
        <v>774</v>
      </c>
      <c r="C676" s="84" t="s">
        <v>26</v>
      </c>
      <c r="D676" s="84" t="s">
        <v>28</v>
      </c>
      <c r="E676" s="84" t="s">
        <v>219</v>
      </c>
      <c r="F676" s="84" t="s">
        <v>31</v>
      </c>
      <c r="G676" s="87">
        <f t="shared" si="166"/>
        <v>861259</v>
      </c>
      <c r="H676" s="87">
        <f t="shared" si="166"/>
        <v>2383020</v>
      </c>
      <c r="I676" s="87">
        <f t="shared" si="166"/>
        <v>0</v>
      </c>
      <c r="J676" s="177"/>
      <c r="K676" s="199"/>
      <c r="L676" s="199"/>
      <c r="M676" s="199"/>
      <c r="N676" s="199"/>
      <c r="O676" s="199"/>
      <c r="P676" s="199"/>
      <c r="Q676" s="199"/>
      <c r="R676" s="199"/>
    </row>
    <row r="677" spans="1:18" s="3" customFormat="1">
      <c r="A677" s="82" t="s">
        <v>32</v>
      </c>
      <c r="B677" s="149">
        <v>774</v>
      </c>
      <c r="C677" s="84" t="s">
        <v>26</v>
      </c>
      <c r="D677" s="84" t="s">
        <v>28</v>
      </c>
      <c r="E677" s="84" t="s">
        <v>219</v>
      </c>
      <c r="F677" s="84" t="s">
        <v>33</v>
      </c>
      <c r="G677" s="87">
        <f>336259+525000</f>
        <v>861259</v>
      </c>
      <c r="H677" s="87">
        <v>2383020</v>
      </c>
      <c r="I677" s="87">
        <v>0</v>
      </c>
      <c r="J677" s="177"/>
      <c r="K677" s="199"/>
      <c r="L677" s="199"/>
      <c r="M677" s="199"/>
      <c r="N677" s="199"/>
      <c r="O677" s="199"/>
      <c r="P677" s="199"/>
      <c r="Q677" s="199"/>
      <c r="R677" s="199"/>
    </row>
    <row r="678" spans="1:18" s="3" customFormat="1" ht="25.5">
      <c r="A678" s="82" t="s">
        <v>1013</v>
      </c>
      <c r="B678" s="149">
        <v>774</v>
      </c>
      <c r="C678" s="84" t="s">
        <v>26</v>
      </c>
      <c r="D678" s="84" t="s">
        <v>28</v>
      </c>
      <c r="E678" s="84" t="s">
        <v>1011</v>
      </c>
      <c r="F678" s="84"/>
      <c r="G678" s="87">
        <f t="shared" si="166"/>
        <v>1684091.15</v>
      </c>
      <c r="H678" s="87">
        <f t="shared" si="166"/>
        <v>1375565</v>
      </c>
      <c r="I678" s="87">
        <f t="shared" si="166"/>
        <v>2375565</v>
      </c>
      <c r="J678" s="177"/>
      <c r="K678" s="199"/>
      <c r="L678" s="199"/>
      <c r="M678" s="199"/>
      <c r="N678" s="199"/>
      <c r="O678" s="199"/>
      <c r="P678" s="199"/>
      <c r="Q678" s="199"/>
      <c r="R678" s="199"/>
    </row>
    <row r="679" spans="1:18" s="3" customFormat="1" ht="25.5">
      <c r="A679" s="82" t="s">
        <v>30</v>
      </c>
      <c r="B679" s="149">
        <v>774</v>
      </c>
      <c r="C679" s="84" t="s">
        <v>26</v>
      </c>
      <c r="D679" s="84" t="s">
        <v>28</v>
      </c>
      <c r="E679" s="84" t="s">
        <v>1011</v>
      </c>
      <c r="F679" s="84" t="s">
        <v>31</v>
      </c>
      <c r="G679" s="87">
        <f t="shared" si="166"/>
        <v>1684091.15</v>
      </c>
      <c r="H679" s="87">
        <f t="shared" si="166"/>
        <v>1375565</v>
      </c>
      <c r="I679" s="87">
        <f t="shared" si="166"/>
        <v>2375565</v>
      </c>
      <c r="J679" s="177"/>
      <c r="K679" s="199"/>
      <c r="L679" s="199"/>
      <c r="M679" s="199"/>
      <c r="N679" s="199"/>
      <c r="O679" s="199"/>
      <c r="P679" s="199"/>
      <c r="Q679" s="199"/>
      <c r="R679" s="199"/>
    </row>
    <row r="680" spans="1:18" s="3" customFormat="1">
      <c r="A680" s="82" t="s">
        <v>32</v>
      </c>
      <c r="B680" s="149">
        <v>774</v>
      </c>
      <c r="C680" s="84" t="s">
        <v>26</v>
      </c>
      <c r="D680" s="84" t="s">
        <v>28</v>
      </c>
      <c r="E680" s="84" t="s">
        <v>1011</v>
      </c>
      <c r="F680" s="84" t="s">
        <v>33</v>
      </c>
      <c r="G680" s="87">
        <f>1755460+100000+300459.15-525000+53172</f>
        <v>1684091.15</v>
      </c>
      <c r="H680" s="87">
        <v>1375565</v>
      </c>
      <c r="I680" s="87">
        <v>2375565</v>
      </c>
      <c r="J680" s="177"/>
      <c r="K680" s="199"/>
      <c r="L680" s="199"/>
      <c r="M680" s="199"/>
      <c r="N680" s="199"/>
      <c r="O680" s="199"/>
      <c r="P680" s="199"/>
      <c r="Q680" s="199"/>
      <c r="R680" s="199"/>
    </row>
    <row r="681" spans="1:18" s="3" customFormat="1" ht="65.25" customHeight="1">
      <c r="A681" s="82" t="s">
        <v>964</v>
      </c>
      <c r="B681" s="149">
        <v>774</v>
      </c>
      <c r="C681" s="84" t="s">
        <v>26</v>
      </c>
      <c r="D681" s="84" t="s">
        <v>28</v>
      </c>
      <c r="E681" s="84" t="s">
        <v>738</v>
      </c>
      <c r="F681" s="84"/>
      <c r="G681" s="87">
        <f t="shared" ref="G681:I682" si="167">G682</f>
        <v>3461741</v>
      </c>
      <c r="H681" s="87">
        <f t="shared" si="167"/>
        <v>1000000</v>
      </c>
      <c r="I681" s="87">
        <f t="shared" si="167"/>
        <v>1000000</v>
      </c>
      <c r="J681" s="177"/>
      <c r="K681" s="199"/>
      <c r="L681" s="199"/>
      <c r="M681" s="199"/>
      <c r="N681" s="199"/>
      <c r="O681" s="199"/>
      <c r="P681" s="199"/>
      <c r="Q681" s="199"/>
      <c r="R681" s="199"/>
    </row>
    <row r="682" spans="1:18" s="3" customFormat="1" ht="25.5">
      <c r="A682" s="82" t="s">
        <v>30</v>
      </c>
      <c r="B682" s="149">
        <v>774</v>
      </c>
      <c r="C682" s="84" t="s">
        <v>26</v>
      </c>
      <c r="D682" s="84" t="s">
        <v>28</v>
      </c>
      <c r="E682" s="84" t="s">
        <v>738</v>
      </c>
      <c r="F682" s="84" t="s">
        <v>31</v>
      </c>
      <c r="G682" s="87">
        <f t="shared" si="167"/>
        <v>3461741</v>
      </c>
      <c r="H682" s="87">
        <f t="shared" si="167"/>
        <v>1000000</v>
      </c>
      <c r="I682" s="87">
        <f t="shared" si="167"/>
        <v>1000000</v>
      </c>
      <c r="J682" s="177"/>
      <c r="K682" s="199"/>
      <c r="L682" s="199"/>
      <c r="M682" s="199"/>
      <c r="N682" s="199"/>
      <c r="O682" s="199"/>
      <c r="P682" s="199"/>
      <c r="Q682" s="199"/>
      <c r="R682" s="199"/>
    </row>
    <row r="683" spans="1:18" s="3" customFormat="1">
      <c r="A683" s="82" t="s">
        <v>32</v>
      </c>
      <c r="B683" s="149">
        <v>774</v>
      </c>
      <c r="C683" s="84" t="s">
        <v>26</v>
      </c>
      <c r="D683" s="84" t="s">
        <v>28</v>
      </c>
      <c r="E683" s="84" t="s">
        <v>738</v>
      </c>
      <c r="F683" s="84" t="s">
        <v>33</v>
      </c>
      <c r="G683" s="87">
        <f>1500000+163741+600000+1510000+40000+39000+40000-431000</f>
        <v>3461741</v>
      </c>
      <c r="H683" s="87">
        <v>1000000</v>
      </c>
      <c r="I683" s="87">
        <v>1000000</v>
      </c>
      <c r="J683" s="177"/>
      <c r="K683" s="199"/>
      <c r="L683" s="199"/>
      <c r="M683" s="199"/>
      <c r="N683" s="199"/>
      <c r="O683" s="199"/>
      <c r="P683" s="199"/>
      <c r="Q683" s="199"/>
      <c r="R683" s="199"/>
    </row>
    <row r="684" spans="1:18" s="3" customFormat="1">
      <c r="A684" s="82" t="s">
        <v>885</v>
      </c>
      <c r="B684" s="149">
        <v>774</v>
      </c>
      <c r="C684" s="84" t="s">
        <v>26</v>
      </c>
      <c r="D684" s="84" t="s">
        <v>28</v>
      </c>
      <c r="E684" s="84" t="s">
        <v>884</v>
      </c>
      <c r="F684" s="84"/>
      <c r="G684" s="87">
        <f t="shared" si="165"/>
        <v>2030562.73</v>
      </c>
      <c r="H684" s="87">
        <f t="shared" si="165"/>
        <v>337450.6</v>
      </c>
      <c r="I684" s="87">
        <f t="shared" si="165"/>
        <v>0</v>
      </c>
      <c r="J684" s="177"/>
      <c r="K684" s="199"/>
      <c r="L684" s="199"/>
      <c r="M684" s="199"/>
      <c r="N684" s="199"/>
      <c r="O684" s="199"/>
      <c r="P684" s="199"/>
      <c r="Q684" s="199"/>
      <c r="R684" s="199"/>
    </row>
    <row r="685" spans="1:18" s="3" customFormat="1" ht="25.5">
      <c r="A685" s="82" t="s">
        <v>30</v>
      </c>
      <c r="B685" s="149">
        <v>774</v>
      </c>
      <c r="C685" s="84" t="s">
        <v>26</v>
      </c>
      <c r="D685" s="84" t="s">
        <v>28</v>
      </c>
      <c r="E685" s="84" t="s">
        <v>884</v>
      </c>
      <c r="F685" s="84" t="s">
        <v>31</v>
      </c>
      <c r="G685" s="87">
        <f t="shared" si="165"/>
        <v>2030562.73</v>
      </c>
      <c r="H685" s="87">
        <f t="shared" si="165"/>
        <v>337450.6</v>
      </c>
      <c r="I685" s="87">
        <f t="shared" si="165"/>
        <v>0</v>
      </c>
      <c r="J685" s="177"/>
      <c r="K685" s="199"/>
      <c r="L685" s="199"/>
      <c r="M685" s="199"/>
      <c r="N685" s="199"/>
      <c r="O685" s="199"/>
      <c r="P685" s="199"/>
      <c r="Q685" s="199"/>
      <c r="R685" s="199"/>
    </row>
    <row r="686" spans="1:18" s="3" customFormat="1">
      <c r="A686" s="82" t="s">
        <v>32</v>
      </c>
      <c r="B686" s="149">
        <v>774</v>
      </c>
      <c r="C686" s="84" t="s">
        <v>26</v>
      </c>
      <c r="D686" s="84" t="s">
        <v>28</v>
      </c>
      <c r="E686" s="84" t="s">
        <v>884</v>
      </c>
      <c r="F686" s="84" t="s">
        <v>33</v>
      </c>
      <c r="G686" s="87">
        <f>3764124-1733561.27</f>
        <v>2030562.73</v>
      </c>
      <c r="H686" s="87">
        <v>337450.6</v>
      </c>
      <c r="I686" s="87">
        <v>0</v>
      </c>
      <c r="J686" s="177"/>
      <c r="K686" s="199"/>
      <c r="L686" s="199"/>
      <c r="M686" s="199"/>
      <c r="N686" s="199"/>
      <c r="O686" s="199"/>
      <c r="P686" s="199"/>
      <c r="Q686" s="199"/>
      <c r="R686" s="199"/>
    </row>
    <row r="687" spans="1:18" s="3" customFormat="1" ht="25.5" customHeight="1">
      <c r="A687" s="82" t="s">
        <v>887</v>
      </c>
      <c r="B687" s="149">
        <v>774</v>
      </c>
      <c r="C687" s="84" t="s">
        <v>26</v>
      </c>
      <c r="D687" s="84" t="s">
        <v>28</v>
      </c>
      <c r="E687" s="84" t="s">
        <v>886</v>
      </c>
      <c r="F687" s="84"/>
      <c r="G687" s="87">
        <f t="shared" si="165"/>
        <v>500000</v>
      </c>
      <c r="H687" s="87">
        <f t="shared" si="165"/>
        <v>500000</v>
      </c>
      <c r="I687" s="87">
        <f t="shared" si="165"/>
        <v>500000</v>
      </c>
      <c r="J687" s="177"/>
      <c r="K687" s="199"/>
      <c r="L687" s="199"/>
      <c r="M687" s="199"/>
      <c r="N687" s="199"/>
      <c r="O687" s="199"/>
      <c r="P687" s="199"/>
      <c r="Q687" s="199"/>
      <c r="R687" s="199"/>
    </row>
    <row r="688" spans="1:18" s="3" customFormat="1" ht="25.5">
      <c r="A688" s="82" t="s">
        <v>30</v>
      </c>
      <c r="B688" s="149">
        <v>774</v>
      </c>
      <c r="C688" s="84" t="s">
        <v>26</v>
      </c>
      <c r="D688" s="84" t="s">
        <v>28</v>
      </c>
      <c r="E688" s="84" t="s">
        <v>886</v>
      </c>
      <c r="F688" s="84" t="s">
        <v>31</v>
      </c>
      <c r="G688" s="87">
        <f t="shared" si="165"/>
        <v>500000</v>
      </c>
      <c r="H688" s="87">
        <f t="shared" si="165"/>
        <v>500000</v>
      </c>
      <c r="I688" s="87">
        <f t="shared" si="165"/>
        <v>500000</v>
      </c>
      <c r="J688" s="177"/>
      <c r="K688" s="199"/>
      <c r="L688" s="199"/>
      <c r="M688" s="199"/>
      <c r="N688" s="199"/>
      <c r="O688" s="199"/>
      <c r="P688" s="199"/>
      <c r="Q688" s="199"/>
      <c r="R688" s="199"/>
    </row>
    <row r="689" spans="1:18" s="3" customFormat="1">
      <c r="A689" s="82" t="s">
        <v>32</v>
      </c>
      <c r="B689" s="149">
        <v>774</v>
      </c>
      <c r="C689" s="84" t="s">
        <v>26</v>
      </c>
      <c r="D689" s="84" t="s">
        <v>28</v>
      </c>
      <c r="E689" s="84" t="s">
        <v>886</v>
      </c>
      <c r="F689" s="84" t="s">
        <v>33</v>
      </c>
      <c r="G689" s="87">
        <v>500000</v>
      </c>
      <c r="H689" s="87">
        <v>500000</v>
      </c>
      <c r="I689" s="87">
        <v>500000</v>
      </c>
      <c r="J689" s="177"/>
      <c r="K689" s="199"/>
      <c r="L689" s="199"/>
      <c r="M689" s="199"/>
      <c r="N689" s="199"/>
      <c r="O689" s="199"/>
      <c r="P689" s="199"/>
      <c r="Q689" s="199"/>
      <c r="R689" s="199"/>
    </row>
    <row r="690" spans="1:18" s="3" customFormat="1" ht="33" hidden="1" customHeight="1">
      <c r="A690" s="82" t="s">
        <v>730</v>
      </c>
      <c r="B690" s="149">
        <v>774</v>
      </c>
      <c r="C690" s="84" t="s">
        <v>26</v>
      </c>
      <c r="D690" s="84" t="s">
        <v>28</v>
      </c>
      <c r="E690" s="84" t="s">
        <v>729</v>
      </c>
      <c r="F690" s="84"/>
      <c r="G690" s="87">
        <f t="shared" ref="G690:I694" si="168">G691</f>
        <v>0</v>
      </c>
      <c r="H690" s="87">
        <f t="shared" si="168"/>
        <v>0</v>
      </c>
      <c r="I690" s="87">
        <f t="shared" si="168"/>
        <v>0</v>
      </c>
      <c r="J690" s="177"/>
      <c r="K690" s="199"/>
      <c r="L690" s="199"/>
      <c r="M690" s="199"/>
      <c r="N690" s="199"/>
      <c r="O690" s="199"/>
      <c r="P690" s="199"/>
      <c r="Q690" s="199"/>
      <c r="R690" s="199"/>
    </row>
    <row r="691" spans="1:18" s="3" customFormat="1" ht="25.5" hidden="1">
      <c r="A691" s="82" t="s">
        <v>30</v>
      </c>
      <c r="B691" s="149">
        <v>774</v>
      </c>
      <c r="C691" s="84" t="s">
        <v>26</v>
      </c>
      <c r="D691" s="84" t="s">
        <v>28</v>
      </c>
      <c r="E691" s="84" t="s">
        <v>729</v>
      </c>
      <c r="F691" s="84" t="s">
        <v>31</v>
      </c>
      <c r="G691" s="87">
        <f t="shared" si="168"/>
        <v>0</v>
      </c>
      <c r="H691" s="87">
        <f t="shared" si="168"/>
        <v>0</v>
      </c>
      <c r="I691" s="87">
        <f t="shared" si="168"/>
        <v>0</v>
      </c>
      <c r="J691" s="177"/>
      <c r="K691" s="199"/>
      <c r="L691" s="199"/>
      <c r="M691" s="199"/>
      <c r="N691" s="199"/>
      <c r="O691" s="199"/>
      <c r="P691" s="199"/>
      <c r="Q691" s="199"/>
      <c r="R691" s="199"/>
    </row>
    <row r="692" spans="1:18" s="3" customFormat="1" hidden="1">
      <c r="A692" s="82" t="s">
        <v>32</v>
      </c>
      <c r="B692" s="149">
        <v>774</v>
      </c>
      <c r="C692" s="84" t="s">
        <v>26</v>
      </c>
      <c r="D692" s="84" t="s">
        <v>28</v>
      </c>
      <c r="E692" s="84" t="s">
        <v>729</v>
      </c>
      <c r="F692" s="84" t="s">
        <v>33</v>
      </c>
      <c r="G692" s="87"/>
      <c r="H692" s="87"/>
      <c r="I692" s="87"/>
      <c r="J692" s="177"/>
      <c r="K692" s="199"/>
      <c r="L692" s="199"/>
      <c r="M692" s="199"/>
      <c r="N692" s="199"/>
      <c r="O692" s="199"/>
      <c r="P692" s="199"/>
      <c r="Q692" s="199"/>
      <c r="R692" s="199"/>
    </row>
    <row r="693" spans="1:18" s="3" customFormat="1" ht="54.75" hidden="1" customHeight="1">
      <c r="A693" s="82" t="s">
        <v>748</v>
      </c>
      <c r="B693" s="149">
        <v>774</v>
      </c>
      <c r="C693" s="84" t="s">
        <v>26</v>
      </c>
      <c r="D693" s="84" t="s">
        <v>28</v>
      </c>
      <c r="E693" s="84" t="s">
        <v>736</v>
      </c>
      <c r="F693" s="84"/>
      <c r="G693" s="87">
        <f t="shared" si="168"/>
        <v>0</v>
      </c>
      <c r="H693" s="87">
        <f t="shared" si="168"/>
        <v>0</v>
      </c>
      <c r="I693" s="87">
        <f t="shared" si="168"/>
        <v>0</v>
      </c>
      <c r="J693" s="177"/>
      <c r="K693" s="199"/>
      <c r="L693" s="199"/>
      <c r="M693" s="199"/>
      <c r="N693" s="199"/>
      <c r="O693" s="199"/>
      <c r="P693" s="199"/>
      <c r="Q693" s="199"/>
      <c r="R693" s="199"/>
    </row>
    <row r="694" spans="1:18" s="3" customFormat="1" ht="25.5" hidden="1">
      <c r="A694" s="82" t="s">
        <v>30</v>
      </c>
      <c r="B694" s="149">
        <v>774</v>
      </c>
      <c r="C694" s="84" t="s">
        <v>26</v>
      </c>
      <c r="D694" s="84" t="s">
        <v>28</v>
      </c>
      <c r="E694" s="84" t="s">
        <v>736</v>
      </c>
      <c r="F694" s="84" t="s">
        <v>31</v>
      </c>
      <c r="G694" s="87">
        <f t="shared" si="168"/>
        <v>0</v>
      </c>
      <c r="H694" s="87">
        <f t="shared" si="168"/>
        <v>0</v>
      </c>
      <c r="I694" s="87">
        <f t="shared" si="168"/>
        <v>0</v>
      </c>
      <c r="J694" s="177"/>
      <c r="K694" s="199"/>
      <c r="L694" s="199"/>
      <c r="M694" s="199"/>
      <c r="N694" s="199"/>
      <c r="O694" s="199"/>
      <c r="P694" s="199"/>
      <c r="Q694" s="199"/>
      <c r="R694" s="199"/>
    </row>
    <row r="695" spans="1:18" s="3" customFormat="1" hidden="1">
      <c r="A695" s="82" t="s">
        <v>32</v>
      </c>
      <c r="B695" s="149">
        <v>774</v>
      </c>
      <c r="C695" s="84" t="s">
        <v>26</v>
      </c>
      <c r="D695" s="84" t="s">
        <v>28</v>
      </c>
      <c r="E695" s="84" t="s">
        <v>736</v>
      </c>
      <c r="F695" s="84" t="s">
        <v>33</v>
      </c>
      <c r="G695" s="87"/>
      <c r="H695" s="87">
        <v>0</v>
      </c>
      <c r="I695" s="87">
        <v>0</v>
      </c>
      <c r="J695" s="177"/>
      <c r="K695" s="199"/>
      <c r="L695" s="199"/>
      <c r="M695" s="199"/>
      <c r="N695" s="199"/>
      <c r="O695" s="199"/>
      <c r="P695" s="199"/>
      <c r="Q695" s="199"/>
      <c r="R695" s="199"/>
    </row>
    <row r="696" spans="1:18" s="3" customFormat="1" ht="38.25" hidden="1" customHeight="1">
      <c r="A696" s="82" t="s">
        <v>639</v>
      </c>
      <c r="B696" s="149">
        <v>774</v>
      </c>
      <c r="C696" s="84" t="s">
        <v>26</v>
      </c>
      <c r="D696" s="84" t="s">
        <v>28</v>
      </c>
      <c r="E696" s="84" t="s">
        <v>638</v>
      </c>
      <c r="F696" s="84"/>
      <c r="G696" s="87">
        <f t="shared" ref="G696:I697" si="169">G697</f>
        <v>0</v>
      </c>
      <c r="H696" s="87">
        <f t="shared" si="169"/>
        <v>0</v>
      </c>
      <c r="I696" s="87">
        <f t="shared" si="169"/>
        <v>0</v>
      </c>
      <c r="J696" s="177"/>
      <c r="K696" s="199"/>
      <c r="L696" s="199"/>
      <c r="M696" s="199"/>
      <c r="N696" s="199"/>
      <c r="O696" s="199"/>
      <c r="P696" s="199"/>
      <c r="Q696" s="199"/>
      <c r="R696" s="199"/>
    </row>
    <row r="697" spans="1:18" s="3" customFormat="1" ht="25.5" hidden="1" customHeight="1">
      <c r="A697" s="82" t="s">
        <v>30</v>
      </c>
      <c r="B697" s="149">
        <v>774</v>
      </c>
      <c r="C697" s="84" t="s">
        <v>26</v>
      </c>
      <c r="D697" s="84" t="s">
        <v>28</v>
      </c>
      <c r="E697" s="84" t="s">
        <v>638</v>
      </c>
      <c r="F697" s="84" t="s">
        <v>31</v>
      </c>
      <c r="G697" s="87">
        <f t="shared" si="169"/>
        <v>0</v>
      </c>
      <c r="H697" s="87">
        <f t="shared" si="169"/>
        <v>0</v>
      </c>
      <c r="I697" s="87">
        <f t="shared" si="169"/>
        <v>0</v>
      </c>
      <c r="J697" s="177"/>
      <c r="K697" s="199"/>
      <c r="L697" s="199"/>
      <c r="M697" s="199"/>
      <c r="N697" s="199"/>
      <c r="O697" s="199"/>
      <c r="P697" s="199"/>
      <c r="Q697" s="199"/>
      <c r="R697" s="199"/>
    </row>
    <row r="698" spans="1:18" s="3" customFormat="1" ht="12.75" hidden="1" customHeight="1">
      <c r="A698" s="82" t="s">
        <v>32</v>
      </c>
      <c r="B698" s="149">
        <v>774</v>
      </c>
      <c r="C698" s="84" t="s">
        <v>26</v>
      </c>
      <c r="D698" s="84" t="s">
        <v>28</v>
      </c>
      <c r="E698" s="84" t="s">
        <v>638</v>
      </c>
      <c r="F698" s="84" t="s">
        <v>33</v>
      </c>
      <c r="G698" s="87"/>
      <c r="H698" s="87"/>
      <c r="I698" s="87"/>
      <c r="J698" s="177"/>
      <c r="K698" s="199"/>
      <c r="L698" s="199"/>
      <c r="M698" s="199"/>
      <c r="N698" s="199"/>
      <c r="O698" s="199"/>
      <c r="P698" s="199"/>
      <c r="Q698" s="199"/>
      <c r="R698" s="199"/>
    </row>
    <row r="699" spans="1:18" s="3" customFormat="1" ht="49.5" customHeight="1">
      <c r="A699" s="82" t="s">
        <v>915</v>
      </c>
      <c r="B699" s="149">
        <v>774</v>
      </c>
      <c r="C699" s="84" t="s">
        <v>26</v>
      </c>
      <c r="D699" s="84" t="s">
        <v>28</v>
      </c>
      <c r="E699" s="84" t="s">
        <v>899</v>
      </c>
      <c r="F699" s="84"/>
      <c r="G699" s="87">
        <f t="shared" ref="G699:I700" si="170">G700</f>
        <v>0</v>
      </c>
      <c r="H699" s="87">
        <f t="shared" si="170"/>
        <v>2337991.4</v>
      </c>
      <c r="I699" s="87">
        <f t="shared" si="170"/>
        <v>0</v>
      </c>
      <c r="J699" s="177"/>
      <c r="K699" s="199"/>
      <c r="L699" s="199"/>
      <c r="M699" s="199"/>
      <c r="N699" s="199"/>
      <c r="O699" s="199"/>
      <c r="P699" s="199"/>
      <c r="Q699" s="199"/>
      <c r="R699" s="199"/>
    </row>
    <row r="700" spans="1:18" s="3" customFormat="1" ht="25.5">
      <c r="A700" s="82" t="s">
        <v>30</v>
      </c>
      <c r="B700" s="149">
        <v>774</v>
      </c>
      <c r="C700" s="84" t="s">
        <v>26</v>
      </c>
      <c r="D700" s="84" t="s">
        <v>28</v>
      </c>
      <c r="E700" s="84" t="s">
        <v>899</v>
      </c>
      <c r="F700" s="84" t="s">
        <v>31</v>
      </c>
      <c r="G700" s="87">
        <f t="shared" si="170"/>
        <v>0</v>
      </c>
      <c r="H700" s="87">
        <f t="shared" si="170"/>
        <v>2337991.4</v>
      </c>
      <c r="I700" s="87">
        <f t="shared" si="170"/>
        <v>0</v>
      </c>
      <c r="J700" s="177"/>
      <c r="K700" s="199"/>
      <c r="L700" s="199"/>
      <c r="M700" s="199"/>
      <c r="N700" s="199"/>
      <c r="O700" s="199"/>
      <c r="P700" s="199"/>
      <c r="Q700" s="199"/>
      <c r="R700" s="199"/>
    </row>
    <row r="701" spans="1:18" s="3" customFormat="1">
      <c r="A701" s="82" t="s">
        <v>32</v>
      </c>
      <c r="B701" s="149">
        <v>774</v>
      </c>
      <c r="C701" s="84" t="s">
        <v>26</v>
      </c>
      <c r="D701" s="84" t="s">
        <v>28</v>
      </c>
      <c r="E701" s="84" t="s">
        <v>899</v>
      </c>
      <c r="F701" s="84" t="s">
        <v>33</v>
      </c>
      <c r="G701" s="87">
        <f>624075.24-624075.24</f>
        <v>0</v>
      </c>
      <c r="H701" s="87">
        <f>1713916.16+624075.24</f>
        <v>2337991.4</v>
      </c>
      <c r="I701" s="87">
        <v>0</v>
      </c>
      <c r="J701" s="177"/>
      <c r="K701" s="199"/>
      <c r="L701" s="199"/>
      <c r="M701" s="199"/>
      <c r="N701" s="199"/>
      <c r="O701" s="199"/>
      <c r="P701" s="199"/>
      <c r="Q701" s="199"/>
      <c r="R701" s="199"/>
    </row>
    <row r="702" spans="1:18" s="3" customFormat="1" ht="49.5" customHeight="1">
      <c r="A702" s="82" t="s">
        <v>914</v>
      </c>
      <c r="B702" s="149">
        <v>774</v>
      </c>
      <c r="C702" s="84" t="s">
        <v>26</v>
      </c>
      <c r="D702" s="84" t="s">
        <v>28</v>
      </c>
      <c r="E702" s="84" t="s">
        <v>898</v>
      </c>
      <c r="F702" s="84"/>
      <c r="G702" s="87">
        <f t="shared" ref="G702:I730" si="171">G703</f>
        <v>978810.2</v>
      </c>
      <c r="H702" s="87">
        <f t="shared" si="171"/>
        <v>0</v>
      </c>
      <c r="I702" s="87">
        <f t="shared" si="171"/>
        <v>0</v>
      </c>
      <c r="J702" s="177"/>
      <c r="K702" s="199"/>
      <c r="L702" s="199"/>
      <c r="M702" s="199"/>
      <c r="N702" s="199"/>
      <c r="O702" s="199"/>
      <c r="P702" s="199"/>
      <c r="Q702" s="199"/>
      <c r="R702" s="199"/>
    </row>
    <row r="703" spans="1:18" s="3" customFormat="1" ht="25.5">
      <c r="A703" s="82" t="s">
        <v>30</v>
      </c>
      <c r="B703" s="149">
        <v>774</v>
      </c>
      <c r="C703" s="84" t="s">
        <v>26</v>
      </c>
      <c r="D703" s="84" t="s">
        <v>28</v>
      </c>
      <c r="E703" s="84" t="s">
        <v>898</v>
      </c>
      <c r="F703" s="84" t="s">
        <v>31</v>
      </c>
      <c r="G703" s="87">
        <f t="shared" si="171"/>
        <v>978810.2</v>
      </c>
      <c r="H703" s="87">
        <f t="shared" si="171"/>
        <v>0</v>
      </c>
      <c r="I703" s="87">
        <f t="shared" si="171"/>
        <v>0</v>
      </c>
      <c r="J703" s="177"/>
      <c r="K703" s="199"/>
      <c r="L703" s="199"/>
      <c r="M703" s="199"/>
      <c r="N703" s="199"/>
      <c r="O703" s="199"/>
      <c r="P703" s="199"/>
      <c r="Q703" s="199"/>
      <c r="R703" s="199"/>
    </row>
    <row r="704" spans="1:18" s="3" customFormat="1">
      <c r="A704" s="82" t="s">
        <v>32</v>
      </c>
      <c r="B704" s="149">
        <v>774</v>
      </c>
      <c r="C704" s="84" t="s">
        <v>26</v>
      </c>
      <c r="D704" s="84" t="s">
        <v>28</v>
      </c>
      <c r="E704" s="84" t="s">
        <v>898</v>
      </c>
      <c r="F704" s="84" t="s">
        <v>33</v>
      </c>
      <c r="G704" s="87">
        <f>718810.2-40000-300000+600000</f>
        <v>978810.2</v>
      </c>
      <c r="H704" s="87">
        <v>0</v>
      </c>
      <c r="I704" s="87">
        <v>0</v>
      </c>
      <c r="J704" s="177"/>
      <c r="K704" s="199"/>
      <c r="L704" s="199"/>
      <c r="M704" s="199"/>
      <c r="N704" s="199"/>
      <c r="O704" s="199"/>
      <c r="P704" s="199"/>
      <c r="Q704" s="199"/>
      <c r="R704" s="199"/>
    </row>
    <row r="705" spans="1:18" s="3" customFormat="1" ht="49.5" customHeight="1">
      <c r="A705" s="82" t="s">
        <v>1064</v>
      </c>
      <c r="B705" s="149">
        <v>774</v>
      </c>
      <c r="C705" s="84" t="s">
        <v>26</v>
      </c>
      <c r="D705" s="84" t="s">
        <v>28</v>
      </c>
      <c r="E705" s="84" t="s">
        <v>1063</v>
      </c>
      <c r="F705" s="84"/>
      <c r="G705" s="87">
        <f t="shared" ref="G705:I706" si="172">G706</f>
        <v>750000</v>
      </c>
      <c r="H705" s="87">
        <f t="shared" si="172"/>
        <v>0</v>
      </c>
      <c r="I705" s="87">
        <f t="shared" si="172"/>
        <v>0</v>
      </c>
      <c r="J705" s="177"/>
      <c r="K705" s="199"/>
      <c r="L705" s="199"/>
      <c r="M705" s="199"/>
      <c r="N705" s="199"/>
      <c r="O705" s="199"/>
      <c r="P705" s="199"/>
      <c r="Q705" s="199"/>
      <c r="R705" s="199"/>
    </row>
    <row r="706" spans="1:18" s="3" customFormat="1" ht="25.5">
      <c r="A706" s="82" t="s">
        <v>30</v>
      </c>
      <c r="B706" s="149">
        <v>774</v>
      </c>
      <c r="C706" s="84" t="s">
        <v>26</v>
      </c>
      <c r="D706" s="84" t="s">
        <v>28</v>
      </c>
      <c r="E706" s="84" t="s">
        <v>1063</v>
      </c>
      <c r="F706" s="84" t="s">
        <v>31</v>
      </c>
      <c r="G706" s="87">
        <f t="shared" si="172"/>
        <v>750000</v>
      </c>
      <c r="H706" s="87">
        <f t="shared" si="172"/>
        <v>0</v>
      </c>
      <c r="I706" s="87">
        <f t="shared" si="172"/>
        <v>0</v>
      </c>
      <c r="J706" s="177"/>
      <c r="K706" s="199"/>
      <c r="L706" s="199"/>
      <c r="M706" s="199"/>
      <c r="N706" s="199"/>
      <c r="O706" s="199"/>
      <c r="P706" s="199"/>
      <c r="Q706" s="199"/>
      <c r="R706" s="199"/>
    </row>
    <row r="707" spans="1:18" s="3" customFormat="1">
      <c r="A707" s="82" t="s">
        <v>32</v>
      </c>
      <c r="B707" s="149">
        <v>774</v>
      </c>
      <c r="C707" s="84" t="s">
        <v>26</v>
      </c>
      <c r="D707" s="84" t="s">
        <v>28</v>
      </c>
      <c r="E707" s="84" t="s">
        <v>1063</v>
      </c>
      <c r="F707" s="84" t="s">
        <v>33</v>
      </c>
      <c r="G707" s="87">
        <f>155924.76+594075.24</f>
        <v>750000</v>
      </c>
      <c r="H707" s="87">
        <v>0</v>
      </c>
      <c r="I707" s="87">
        <v>0</v>
      </c>
      <c r="J707" s="177"/>
      <c r="K707" s="199"/>
      <c r="L707" s="199"/>
      <c r="M707" s="199"/>
      <c r="N707" s="199"/>
      <c r="O707" s="199"/>
      <c r="P707" s="199"/>
      <c r="Q707" s="199"/>
      <c r="R707" s="199"/>
    </row>
    <row r="708" spans="1:18" s="3" customFormat="1" ht="49.5" customHeight="1">
      <c r="A708" s="82" t="s">
        <v>1068</v>
      </c>
      <c r="B708" s="149">
        <v>774</v>
      </c>
      <c r="C708" s="84" t="s">
        <v>26</v>
      </c>
      <c r="D708" s="84" t="s">
        <v>28</v>
      </c>
      <c r="E708" s="84" t="s">
        <v>1067</v>
      </c>
      <c r="F708" s="84"/>
      <c r="G708" s="87">
        <f t="shared" ref="G708:I709" si="173">G709</f>
        <v>30000</v>
      </c>
      <c r="H708" s="87">
        <f t="shared" si="173"/>
        <v>0</v>
      </c>
      <c r="I708" s="87">
        <f t="shared" si="173"/>
        <v>0</v>
      </c>
      <c r="J708" s="177"/>
      <c r="K708" s="199"/>
      <c r="L708" s="199"/>
      <c r="M708" s="199"/>
      <c r="N708" s="199"/>
      <c r="O708" s="199"/>
      <c r="P708" s="199"/>
      <c r="Q708" s="199"/>
      <c r="R708" s="199"/>
    </row>
    <row r="709" spans="1:18" s="3" customFormat="1" ht="25.5">
      <c r="A709" s="82" t="s">
        <v>30</v>
      </c>
      <c r="B709" s="149">
        <v>774</v>
      </c>
      <c r="C709" s="84" t="s">
        <v>26</v>
      </c>
      <c r="D709" s="84" t="s">
        <v>28</v>
      </c>
      <c r="E709" s="84" t="s">
        <v>1067</v>
      </c>
      <c r="F709" s="84" t="s">
        <v>31</v>
      </c>
      <c r="G709" s="87">
        <f t="shared" si="173"/>
        <v>30000</v>
      </c>
      <c r="H709" s="87">
        <f t="shared" si="173"/>
        <v>0</v>
      </c>
      <c r="I709" s="87">
        <f t="shared" si="173"/>
        <v>0</v>
      </c>
      <c r="J709" s="177"/>
      <c r="K709" s="199"/>
      <c r="L709" s="199"/>
      <c r="M709" s="199"/>
      <c r="N709" s="199"/>
      <c r="O709" s="199"/>
      <c r="P709" s="199"/>
      <c r="Q709" s="199"/>
      <c r="R709" s="199"/>
    </row>
    <row r="710" spans="1:18" s="3" customFormat="1">
      <c r="A710" s="82" t="s">
        <v>32</v>
      </c>
      <c r="B710" s="149">
        <v>774</v>
      </c>
      <c r="C710" s="84" t="s">
        <v>26</v>
      </c>
      <c r="D710" s="84" t="s">
        <v>28</v>
      </c>
      <c r="E710" s="84" t="s">
        <v>1067</v>
      </c>
      <c r="F710" s="84" t="s">
        <v>33</v>
      </c>
      <c r="G710" s="87">
        <v>30000</v>
      </c>
      <c r="H710" s="87">
        <v>0</v>
      </c>
      <c r="I710" s="87">
        <v>0</v>
      </c>
      <c r="J710" s="177"/>
      <c r="K710" s="199"/>
      <c r="L710" s="199"/>
      <c r="M710" s="199"/>
      <c r="N710" s="199"/>
      <c r="O710" s="199"/>
      <c r="P710" s="199"/>
      <c r="Q710" s="199"/>
      <c r="R710" s="199"/>
    </row>
    <row r="711" spans="1:18" s="151" customFormat="1" ht="61.5" customHeight="1">
      <c r="A711" s="82" t="s">
        <v>1089</v>
      </c>
      <c r="B711" s="149">
        <v>774</v>
      </c>
      <c r="C711" s="84" t="s">
        <v>26</v>
      </c>
      <c r="D711" s="84" t="s">
        <v>28</v>
      </c>
      <c r="E711" s="84" t="s">
        <v>1084</v>
      </c>
      <c r="F711" s="84"/>
      <c r="G711" s="87">
        <f t="shared" si="171"/>
        <v>55000</v>
      </c>
      <c r="H711" s="87">
        <f t="shared" si="171"/>
        <v>0</v>
      </c>
      <c r="I711" s="87">
        <f t="shared" si="171"/>
        <v>0</v>
      </c>
      <c r="J711" s="177"/>
      <c r="K711" s="199"/>
      <c r="L711" s="199"/>
      <c r="M711" s="199"/>
      <c r="N711" s="199"/>
      <c r="O711" s="199"/>
      <c r="P711" s="199"/>
      <c r="Q711" s="199"/>
      <c r="R711" s="199"/>
    </row>
    <row r="712" spans="1:18" s="3" customFormat="1" ht="25.5">
      <c r="A712" s="82" t="s">
        <v>30</v>
      </c>
      <c r="B712" s="149">
        <v>774</v>
      </c>
      <c r="C712" s="84" t="s">
        <v>26</v>
      </c>
      <c r="D712" s="84" t="s">
        <v>28</v>
      </c>
      <c r="E712" s="84" t="s">
        <v>1084</v>
      </c>
      <c r="F712" s="84" t="s">
        <v>31</v>
      </c>
      <c r="G712" s="87">
        <f t="shared" si="171"/>
        <v>55000</v>
      </c>
      <c r="H712" s="87">
        <f t="shared" si="171"/>
        <v>0</v>
      </c>
      <c r="I712" s="87">
        <f t="shared" si="171"/>
        <v>0</v>
      </c>
      <c r="J712" s="177"/>
      <c r="K712" s="199"/>
      <c r="L712" s="199"/>
      <c r="M712" s="199"/>
      <c r="N712" s="199"/>
      <c r="O712" s="199"/>
      <c r="P712" s="199"/>
      <c r="Q712" s="199"/>
      <c r="R712" s="199"/>
    </row>
    <row r="713" spans="1:18" s="3" customFormat="1">
      <c r="A713" s="82" t="s">
        <v>32</v>
      </c>
      <c r="B713" s="149">
        <v>774</v>
      </c>
      <c r="C713" s="84" t="s">
        <v>26</v>
      </c>
      <c r="D713" s="84" t="s">
        <v>28</v>
      </c>
      <c r="E713" s="84" t="s">
        <v>1084</v>
      </c>
      <c r="F713" s="84" t="s">
        <v>33</v>
      </c>
      <c r="G713" s="87">
        <v>55000</v>
      </c>
      <c r="H713" s="87">
        <v>0</v>
      </c>
      <c r="I713" s="87">
        <v>0</v>
      </c>
      <c r="J713" s="177"/>
      <c r="K713" s="199"/>
      <c r="L713" s="199"/>
      <c r="M713" s="199"/>
      <c r="N713" s="199"/>
      <c r="O713" s="199"/>
      <c r="P713" s="199"/>
      <c r="Q713" s="199"/>
      <c r="R713" s="199"/>
    </row>
    <row r="714" spans="1:18" s="3" customFormat="1" ht="38.25" customHeight="1">
      <c r="A714" s="82" t="s">
        <v>1107</v>
      </c>
      <c r="B714" s="149">
        <v>774</v>
      </c>
      <c r="C714" s="84" t="s">
        <v>26</v>
      </c>
      <c r="D714" s="84" t="s">
        <v>28</v>
      </c>
      <c r="E714" s="84" t="s">
        <v>1085</v>
      </c>
      <c r="F714" s="84"/>
      <c r="G714" s="87">
        <f t="shared" si="171"/>
        <v>157081.29</v>
      </c>
      <c r="H714" s="87">
        <f t="shared" si="171"/>
        <v>0</v>
      </c>
      <c r="I714" s="87">
        <f t="shared" si="171"/>
        <v>0</v>
      </c>
      <c r="J714" s="177"/>
      <c r="K714" s="199"/>
      <c r="L714" s="199"/>
      <c r="M714" s="199"/>
      <c r="N714" s="199"/>
      <c r="O714" s="199"/>
      <c r="P714" s="199"/>
      <c r="Q714" s="199"/>
      <c r="R714" s="199"/>
    </row>
    <row r="715" spans="1:18" s="3" customFormat="1" ht="25.5">
      <c r="A715" s="82" t="s">
        <v>30</v>
      </c>
      <c r="B715" s="149">
        <v>774</v>
      </c>
      <c r="C715" s="84" t="s">
        <v>26</v>
      </c>
      <c r="D715" s="84" t="s">
        <v>28</v>
      </c>
      <c r="E715" s="84" t="s">
        <v>1085</v>
      </c>
      <c r="F715" s="84" t="s">
        <v>31</v>
      </c>
      <c r="G715" s="87">
        <f t="shared" si="171"/>
        <v>157081.29</v>
      </c>
      <c r="H715" s="87">
        <f t="shared" si="171"/>
        <v>0</v>
      </c>
      <c r="I715" s="87">
        <f t="shared" si="171"/>
        <v>0</v>
      </c>
      <c r="J715" s="177"/>
      <c r="K715" s="199"/>
      <c r="L715" s="199"/>
      <c r="M715" s="199"/>
      <c r="N715" s="199"/>
      <c r="O715" s="199"/>
      <c r="P715" s="199"/>
      <c r="Q715" s="199"/>
      <c r="R715" s="199"/>
    </row>
    <row r="716" spans="1:18" s="3" customFormat="1">
      <c r="A716" s="82" t="s">
        <v>32</v>
      </c>
      <c r="B716" s="149">
        <v>774</v>
      </c>
      <c r="C716" s="84" t="s">
        <v>26</v>
      </c>
      <c r="D716" s="84" t="s">
        <v>28</v>
      </c>
      <c r="E716" s="84" t="s">
        <v>1085</v>
      </c>
      <c r="F716" s="84" t="s">
        <v>33</v>
      </c>
      <c r="G716" s="87">
        <f>157511-429.71</f>
        <v>157081.29</v>
      </c>
      <c r="H716" s="87">
        <v>0</v>
      </c>
      <c r="I716" s="87">
        <v>0</v>
      </c>
      <c r="J716" s="177"/>
      <c r="K716" s="199"/>
      <c r="L716" s="199"/>
      <c r="M716" s="199"/>
      <c r="N716" s="199"/>
      <c r="O716" s="199"/>
      <c r="P716" s="199"/>
      <c r="Q716" s="199"/>
      <c r="R716" s="199"/>
    </row>
    <row r="717" spans="1:18" s="3" customFormat="1" ht="36" customHeight="1">
      <c r="A717" s="82" t="s">
        <v>1090</v>
      </c>
      <c r="B717" s="149">
        <v>774</v>
      </c>
      <c r="C717" s="84" t="s">
        <v>26</v>
      </c>
      <c r="D717" s="84" t="s">
        <v>28</v>
      </c>
      <c r="E717" s="84" t="s">
        <v>1086</v>
      </c>
      <c r="F717" s="84"/>
      <c r="G717" s="87">
        <f t="shared" si="171"/>
        <v>102969.74</v>
      </c>
      <c r="H717" s="87">
        <f t="shared" si="171"/>
        <v>0</v>
      </c>
      <c r="I717" s="87">
        <f t="shared" si="171"/>
        <v>0</v>
      </c>
      <c r="J717" s="177"/>
      <c r="K717" s="199"/>
      <c r="L717" s="199"/>
      <c r="M717" s="199"/>
      <c r="N717" s="199"/>
      <c r="O717" s="199"/>
      <c r="P717" s="199"/>
      <c r="Q717" s="199"/>
      <c r="R717" s="199"/>
    </row>
    <row r="718" spans="1:18" s="3" customFormat="1" ht="25.5">
      <c r="A718" s="82" t="s">
        <v>30</v>
      </c>
      <c r="B718" s="149">
        <v>774</v>
      </c>
      <c r="C718" s="84" t="s">
        <v>26</v>
      </c>
      <c r="D718" s="84" t="s">
        <v>28</v>
      </c>
      <c r="E718" s="84" t="s">
        <v>1086</v>
      </c>
      <c r="F718" s="84" t="s">
        <v>31</v>
      </c>
      <c r="G718" s="87">
        <f t="shared" si="171"/>
        <v>102969.74</v>
      </c>
      <c r="H718" s="87">
        <f t="shared" si="171"/>
        <v>0</v>
      </c>
      <c r="I718" s="87">
        <f t="shared" si="171"/>
        <v>0</v>
      </c>
      <c r="J718" s="177"/>
      <c r="K718" s="199"/>
      <c r="L718" s="199"/>
      <c r="M718" s="199"/>
      <c r="N718" s="199"/>
      <c r="O718" s="199"/>
      <c r="P718" s="199"/>
      <c r="Q718" s="199"/>
      <c r="R718" s="199"/>
    </row>
    <row r="719" spans="1:18" s="3" customFormat="1">
      <c r="A719" s="82" t="s">
        <v>32</v>
      </c>
      <c r="B719" s="149">
        <v>774</v>
      </c>
      <c r="C719" s="84" t="s">
        <v>26</v>
      </c>
      <c r="D719" s="84" t="s">
        <v>28</v>
      </c>
      <c r="E719" s="84" t="s">
        <v>1086</v>
      </c>
      <c r="F719" s="84" t="s">
        <v>33</v>
      </c>
      <c r="G719" s="87">
        <v>102969.74</v>
      </c>
      <c r="H719" s="87">
        <v>0</v>
      </c>
      <c r="I719" s="87">
        <v>0</v>
      </c>
      <c r="J719" s="177"/>
      <c r="K719" s="199"/>
      <c r="L719" s="199"/>
      <c r="M719" s="199"/>
      <c r="N719" s="199"/>
      <c r="O719" s="199"/>
      <c r="P719" s="199"/>
      <c r="Q719" s="199"/>
      <c r="R719" s="199"/>
    </row>
    <row r="720" spans="1:18" s="3" customFormat="1" ht="49.5" customHeight="1">
      <c r="A720" s="82" t="s">
        <v>1092</v>
      </c>
      <c r="B720" s="149">
        <v>774</v>
      </c>
      <c r="C720" s="84" t="s">
        <v>26</v>
      </c>
      <c r="D720" s="84" t="s">
        <v>28</v>
      </c>
      <c r="E720" s="84" t="s">
        <v>1087</v>
      </c>
      <c r="F720" s="84"/>
      <c r="G720" s="87">
        <f t="shared" si="171"/>
        <v>181777.27</v>
      </c>
      <c r="H720" s="87">
        <f t="shared" si="171"/>
        <v>0</v>
      </c>
      <c r="I720" s="87">
        <f t="shared" si="171"/>
        <v>0</v>
      </c>
      <c r="J720" s="177"/>
      <c r="K720" s="199"/>
      <c r="L720" s="199"/>
      <c r="M720" s="199"/>
      <c r="N720" s="199"/>
      <c r="O720" s="199"/>
      <c r="P720" s="199"/>
      <c r="Q720" s="199"/>
      <c r="R720" s="199"/>
    </row>
    <row r="721" spans="1:18" s="3" customFormat="1" ht="25.5">
      <c r="A721" s="82" t="s">
        <v>30</v>
      </c>
      <c r="B721" s="149">
        <v>774</v>
      </c>
      <c r="C721" s="84" t="s">
        <v>26</v>
      </c>
      <c r="D721" s="84" t="s">
        <v>28</v>
      </c>
      <c r="E721" s="84" t="s">
        <v>1087</v>
      </c>
      <c r="F721" s="84" t="s">
        <v>31</v>
      </c>
      <c r="G721" s="87">
        <f t="shared" si="171"/>
        <v>181777.27</v>
      </c>
      <c r="H721" s="87">
        <f t="shared" si="171"/>
        <v>0</v>
      </c>
      <c r="I721" s="87">
        <f t="shared" si="171"/>
        <v>0</v>
      </c>
      <c r="J721" s="177"/>
      <c r="K721" s="199"/>
      <c r="L721" s="199"/>
      <c r="M721" s="199"/>
      <c r="N721" s="199"/>
      <c r="O721" s="199"/>
      <c r="P721" s="199"/>
      <c r="Q721" s="199"/>
      <c r="R721" s="199"/>
    </row>
    <row r="722" spans="1:18" s="3" customFormat="1">
      <c r="A722" s="82" t="s">
        <v>32</v>
      </c>
      <c r="B722" s="149">
        <v>774</v>
      </c>
      <c r="C722" s="84" t="s">
        <v>26</v>
      </c>
      <c r="D722" s="84" t="s">
        <v>28</v>
      </c>
      <c r="E722" s="84" t="s">
        <v>1087</v>
      </c>
      <c r="F722" s="84" t="s">
        <v>33</v>
      </c>
      <c r="G722" s="87">
        <v>181777.27</v>
      </c>
      <c r="H722" s="87">
        <v>0</v>
      </c>
      <c r="I722" s="87">
        <v>0</v>
      </c>
      <c r="J722" s="177"/>
      <c r="K722" s="199"/>
      <c r="L722" s="199"/>
      <c r="M722" s="199"/>
      <c r="N722" s="199"/>
      <c r="O722" s="199"/>
      <c r="P722" s="199"/>
      <c r="Q722" s="199"/>
      <c r="R722" s="199"/>
    </row>
    <row r="723" spans="1:18" s="3" customFormat="1" ht="49.5" customHeight="1">
      <c r="A723" s="82" t="s">
        <v>1091</v>
      </c>
      <c r="B723" s="149">
        <v>774</v>
      </c>
      <c r="C723" s="84" t="s">
        <v>26</v>
      </c>
      <c r="D723" s="84" t="s">
        <v>28</v>
      </c>
      <c r="E723" s="84" t="s">
        <v>1088</v>
      </c>
      <c r="F723" s="84"/>
      <c r="G723" s="87">
        <f t="shared" si="171"/>
        <v>0</v>
      </c>
      <c r="H723" s="87">
        <f t="shared" si="171"/>
        <v>0</v>
      </c>
      <c r="I723" s="87">
        <f t="shared" si="171"/>
        <v>0</v>
      </c>
      <c r="J723" s="177"/>
      <c r="K723" s="199"/>
      <c r="L723" s="199"/>
      <c r="M723" s="199"/>
      <c r="N723" s="199"/>
      <c r="O723" s="199"/>
      <c r="P723" s="199"/>
      <c r="Q723" s="199"/>
      <c r="R723" s="199"/>
    </row>
    <row r="724" spans="1:18" s="3" customFormat="1" ht="25.5">
      <c r="A724" s="82" t="s">
        <v>30</v>
      </c>
      <c r="B724" s="149">
        <v>774</v>
      </c>
      <c r="C724" s="84" t="s">
        <v>26</v>
      </c>
      <c r="D724" s="84" t="s">
        <v>28</v>
      </c>
      <c r="E724" s="84" t="s">
        <v>1088</v>
      </c>
      <c r="F724" s="84" t="s">
        <v>31</v>
      </c>
      <c r="G724" s="87">
        <f t="shared" si="171"/>
        <v>0</v>
      </c>
      <c r="H724" s="87">
        <f t="shared" si="171"/>
        <v>0</v>
      </c>
      <c r="I724" s="87">
        <f t="shared" si="171"/>
        <v>0</v>
      </c>
      <c r="J724" s="177"/>
      <c r="K724" s="199"/>
      <c r="L724" s="199"/>
      <c r="M724" s="199"/>
      <c r="N724" s="199"/>
      <c r="O724" s="199"/>
      <c r="P724" s="199"/>
      <c r="Q724" s="199"/>
      <c r="R724" s="199"/>
    </row>
    <row r="725" spans="1:18" s="3" customFormat="1" ht="23.25" customHeight="1">
      <c r="A725" s="82" t="s">
        <v>32</v>
      </c>
      <c r="B725" s="149">
        <v>774</v>
      </c>
      <c r="C725" s="84" t="s">
        <v>26</v>
      </c>
      <c r="D725" s="84" t="s">
        <v>28</v>
      </c>
      <c r="E725" s="84" t="s">
        <v>1088</v>
      </c>
      <c r="F725" s="84" t="s">
        <v>33</v>
      </c>
      <c r="G725" s="87">
        <f>478000-478000</f>
        <v>0</v>
      </c>
      <c r="H725" s="87">
        <v>0</v>
      </c>
      <c r="I725" s="87">
        <v>0</v>
      </c>
      <c r="J725" s="177"/>
      <c r="K725" s="199"/>
      <c r="L725" s="199"/>
      <c r="M725" s="199"/>
      <c r="N725" s="199"/>
      <c r="O725" s="199"/>
      <c r="P725" s="199"/>
      <c r="Q725" s="199"/>
      <c r="R725" s="199"/>
    </row>
    <row r="726" spans="1:18" s="3" customFormat="1" ht="35.25" customHeight="1">
      <c r="A726" s="82" t="s">
        <v>1102</v>
      </c>
      <c r="B726" s="149">
        <v>774</v>
      </c>
      <c r="C726" s="84" t="s">
        <v>26</v>
      </c>
      <c r="D726" s="84" t="s">
        <v>28</v>
      </c>
      <c r="E726" s="84" t="s">
        <v>1098</v>
      </c>
      <c r="F726" s="84"/>
      <c r="G726" s="87">
        <f t="shared" si="171"/>
        <v>550308.69999999995</v>
      </c>
      <c r="H726" s="87">
        <f t="shared" si="171"/>
        <v>0</v>
      </c>
      <c r="I726" s="87">
        <f t="shared" si="171"/>
        <v>0</v>
      </c>
      <c r="J726" s="177"/>
      <c r="K726" s="199"/>
      <c r="L726" s="199"/>
      <c r="M726" s="199"/>
      <c r="N726" s="199"/>
      <c r="O726" s="199"/>
      <c r="P726" s="199"/>
      <c r="Q726" s="199"/>
      <c r="R726" s="199"/>
    </row>
    <row r="727" spans="1:18" s="3" customFormat="1" ht="25.5">
      <c r="A727" s="82" t="s">
        <v>30</v>
      </c>
      <c r="B727" s="149">
        <v>774</v>
      </c>
      <c r="C727" s="84" t="s">
        <v>26</v>
      </c>
      <c r="D727" s="84" t="s">
        <v>28</v>
      </c>
      <c r="E727" s="84" t="s">
        <v>1098</v>
      </c>
      <c r="F727" s="84" t="s">
        <v>31</v>
      </c>
      <c r="G727" s="87">
        <f t="shared" si="171"/>
        <v>550308.69999999995</v>
      </c>
      <c r="H727" s="87">
        <f t="shared" si="171"/>
        <v>0</v>
      </c>
      <c r="I727" s="87">
        <f t="shared" si="171"/>
        <v>0</v>
      </c>
      <c r="J727" s="177"/>
      <c r="K727" s="199"/>
      <c r="L727" s="199"/>
      <c r="M727" s="199"/>
      <c r="N727" s="199"/>
      <c r="O727" s="199"/>
      <c r="P727" s="199"/>
      <c r="Q727" s="199"/>
      <c r="R727" s="199"/>
    </row>
    <row r="728" spans="1:18" s="3" customFormat="1">
      <c r="A728" s="82" t="s">
        <v>32</v>
      </c>
      <c r="B728" s="149">
        <v>774</v>
      </c>
      <c r="C728" s="84" t="s">
        <v>26</v>
      </c>
      <c r="D728" s="84" t="s">
        <v>28</v>
      </c>
      <c r="E728" s="84" t="s">
        <v>1098</v>
      </c>
      <c r="F728" s="84" t="s">
        <v>33</v>
      </c>
      <c r="G728" s="87">
        <v>550308.69999999995</v>
      </c>
      <c r="H728" s="87">
        <v>0</v>
      </c>
      <c r="I728" s="87">
        <v>0</v>
      </c>
      <c r="J728" s="177"/>
      <c r="K728" s="199"/>
      <c r="L728" s="199"/>
      <c r="M728" s="199"/>
      <c r="N728" s="199"/>
      <c r="O728" s="199"/>
      <c r="P728" s="199"/>
      <c r="Q728" s="199"/>
      <c r="R728" s="199"/>
    </row>
    <row r="729" spans="1:18" s="3" customFormat="1" ht="49.5" customHeight="1">
      <c r="A729" s="82" t="s">
        <v>1058</v>
      </c>
      <c r="B729" s="149">
        <v>774</v>
      </c>
      <c r="C729" s="84" t="s">
        <v>26</v>
      </c>
      <c r="D729" s="84" t="s">
        <v>28</v>
      </c>
      <c r="E729" s="84" t="s">
        <v>1057</v>
      </c>
      <c r="F729" s="84"/>
      <c r="G729" s="87">
        <f t="shared" si="171"/>
        <v>40000</v>
      </c>
      <c r="H729" s="87">
        <f t="shared" si="171"/>
        <v>0</v>
      </c>
      <c r="I729" s="87">
        <f t="shared" si="171"/>
        <v>0</v>
      </c>
      <c r="J729" s="177"/>
      <c r="K729" s="199"/>
      <c r="L729" s="199"/>
      <c r="M729" s="199"/>
      <c r="N729" s="199"/>
      <c r="O729" s="199"/>
      <c r="P729" s="199"/>
      <c r="Q729" s="199"/>
      <c r="R729" s="199"/>
    </row>
    <row r="730" spans="1:18" s="3" customFormat="1" ht="25.5">
      <c r="A730" s="82" t="s">
        <v>30</v>
      </c>
      <c r="B730" s="149">
        <v>774</v>
      </c>
      <c r="C730" s="84" t="s">
        <v>26</v>
      </c>
      <c r="D730" s="84" t="s">
        <v>28</v>
      </c>
      <c r="E730" s="84" t="s">
        <v>1057</v>
      </c>
      <c r="F730" s="84" t="s">
        <v>31</v>
      </c>
      <c r="G730" s="87">
        <f t="shared" si="171"/>
        <v>40000</v>
      </c>
      <c r="H730" s="87">
        <f t="shared" si="171"/>
        <v>0</v>
      </c>
      <c r="I730" s="87">
        <f t="shared" si="171"/>
        <v>0</v>
      </c>
      <c r="J730" s="177"/>
      <c r="K730" s="199"/>
      <c r="L730" s="199"/>
      <c r="M730" s="199"/>
      <c r="N730" s="199"/>
      <c r="O730" s="199"/>
      <c r="P730" s="199"/>
      <c r="Q730" s="199"/>
      <c r="R730" s="199"/>
    </row>
    <row r="731" spans="1:18" s="3" customFormat="1">
      <c r="A731" s="82" t="s">
        <v>32</v>
      </c>
      <c r="B731" s="149">
        <v>774</v>
      </c>
      <c r="C731" s="84" t="s">
        <v>26</v>
      </c>
      <c r="D731" s="84" t="s">
        <v>28</v>
      </c>
      <c r="E731" s="84" t="s">
        <v>1057</v>
      </c>
      <c r="F731" s="84" t="s">
        <v>33</v>
      </c>
      <c r="G731" s="87">
        <v>40000</v>
      </c>
      <c r="H731" s="87">
        <v>0</v>
      </c>
      <c r="I731" s="87">
        <v>0</v>
      </c>
      <c r="J731" s="177"/>
      <c r="K731" s="199"/>
      <c r="L731" s="199"/>
      <c r="M731" s="199"/>
      <c r="N731" s="199"/>
      <c r="O731" s="199"/>
      <c r="P731" s="199"/>
      <c r="Q731" s="199"/>
      <c r="R731" s="199"/>
    </row>
    <row r="732" spans="1:18" s="3" customFormat="1" ht="25.5">
      <c r="A732" s="82" t="s">
        <v>294</v>
      </c>
      <c r="B732" s="149">
        <v>774</v>
      </c>
      <c r="C732" s="84" t="s">
        <v>26</v>
      </c>
      <c r="D732" s="84" t="s">
        <v>28</v>
      </c>
      <c r="E732" s="84" t="s">
        <v>293</v>
      </c>
      <c r="F732" s="84"/>
      <c r="G732" s="87">
        <f t="shared" ref="G732:I733" si="174">G733</f>
        <v>1041561.01</v>
      </c>
      <c r="H732" s="87">
        <f t="shared" si="174"/>
        <v>1186637</v>
      </c>
      <c r="I732" s="87">
        <f t="shared" si="174"/>
        <v>1186637</v>
      </c>
      <c r="J732" s="177"/>
      <c r="K732" s="199"/>
      <c r="L732" s="199"/>
      <c r="M732" s="199"/>
      <c r="N732" s="199"/>
      <c r="O732" s="199"/>
      <c r="P732" s="199"/>
      <c r="Q732" s="199"/>
      <c r="R732" s="199"/>
    </row>
    <row r="733" spans="1:18" s="3" customFormat="1" ht="25.5">
      <c r="A733" s="82" t="s">
        <v>30</v>
      </c>
      <c r="B733" s="149">
        <v>774</v>
      </c>
      <c r="C733" s="84" t="s">
        <v>26</v>
      </c>
      <c r="D733" s="84" t="s">
        <v>28</v>
      </c>
      <c r="E733" s="84" t="s">
        <v>293</v>
      </c>
      <c r="F733" s="84" t="s">
        <v>31</v>
      </c>
      <c r="G733" s="87">
        <f t="shared" si="174"/>
        <v>1041561.01</v>
      </c>
      <c r="H733" s="87">
        <f t="shared" si="174"/>
        <v>1186637</v>
      </c>
      <c r="I733" s="87">
        <f t="shared" si="174"/>
        <v>1186637</v>
      </c>
      <c r="J733" s="177"/>
      <c r="K733" s="199"/>
      <c r="L733" s="199"/>
      <c r="M733" s="199"/>
      <c r="N733" s="199"/>
      <c r="O733" s="199"/>
      <c r="P733" s="199"/>
      <c r="Q733" s="199"/>
      <c r="R733" s="199"/>
    </row>
    <row r="734" spans="1:18" s="3" customFormat="1">
      <c r="A734" s="82" t="s">
        <v>32</v>
      </c>
      <c r="B734" s="149">
        <v>774</v>
      </c>
      <c r="C734" s="84" t="s">
        <v>26</v>
      </c>
      <c r="D734" s="84" t="s">
        <v>28</v>
      </c>
      <c r="E734" s="84" t="s">
        <v>293</v>
      </c>
      <c r="F734" s="84" t="s">
        <v>33</v>
      </c>
      <c r="G734" s="87">
        <f>961637+225000-145075.99</f>
        <v>1041561.01</v>
      </c>
      <c r="H734" s="87">
        <f t="shared" ref="H734:I734" si="175">961637+225000</f>
        <v>1186637</v>
      </c>
      <c r="I734" s="87">
        <f t="shared" si="175"/>
        <v>1186637</v>
      </c>
      <c r="J734" s="177"/>
      <c r="K734" s="199"/>
      <c r="L734" s="199"/>
      <c r="M734" s="199"/>
      <c r="N734" s="199"/>
      <c r="O734" s="199"/>
      <c r="P734" s="199"/>
      <c r="Q734" s="199"/>
      <c r="R734" s="199"/>
    </row>
    <row r="735" spans="1:18" ht="38.25">
      <c r="A735" s="82" t="s">
        <v>413</v>
      </c>
      <c r="B735" s="149">
        <v>774</v>
      </c>
      <c r="C735" s="84" t="s">
        <v>26</v>
      </c>
      <c r="D735" s="84" t="s">
        <v>28</v>
      </c>
      <c r="E735" s="84" t="s">
        <v>828</v>
      </c>
      <c r="F735" s="84"/>
      <c r="G735" s="85">
        <f>G736</f>
        <v>0</v>
      </c>
      <c r="H735" s="85">
        <f t="shared" ref="G735:I739" si="176">H736</f>
        <v>1000000</v>
      </c>
      <c r="I735" s="85">
        <f t="shared" si="176"/>
        <v>1000000</v>
      </c>
      <c r="J735" s="178"/>
    </row>
    <row r="736" spans="1:18" ht="25.5">
      <c r="A736" s="82" t="s">
        <v>30</v>
      </c>
      <c r="B736" s="149">
        <v>774</v>
      </c>
      <c r="C736" s="84" t="s">
        <v>26</v>
      </c>
      <c r="D736" s="84" t="s">
        <v>28</v>
      </c>
      <c r="E736" s="84" t="s">
        <v>828</v>
      </c>
      <c r="F736" s="84" t="s">
        <v>31</v>
      </c>
      <c r="G736" s="85">
        <f t="shared" si="176"/>
        <v>0</v>
      </c>
      <c r="H736" s="85">
        <f t="shared" si="176"/>
        <v>1000000</v>
      </c>
      <c r="I736" s="85">
        <f t="shared" si="176"/>
        <v>1000000</v>
      </c>
      <c r="J736" s="178"/>
    </row>
    <row r="737" spans="1:18">
      <c r="A737" s="82" t="s">
        <v>32</v>
      </c>
      <c r="B737" s="149">
        <v>774</v>
      </c>
      <c r="C737" s="84" t="s">
        <v>26</v>
      </c>
      <c r="D737" s="84" t="s">
        <v>28</v>
      </c>
      <c r="E737" s="84" t="s">
        <v>828</v>
      </c>
      <c r="F737" s="84" t="s">
        <v>33</v>
      </c>
      <c r="G737" s="85">
        <v>0</v>
      </c>
      <c r="H737" s="85">
        <v>1000000</v>
      </c>
      <c r="I737" s="85">
        <v>1000000</v>
      </c>
      <c r="J737" s="178"/>
    </row>
    <row r="738" spans="1:18" ht="25.5">
      <c r="A738" s="82" t="s">
        <v>942</v>
      </c>
      <c r="B738" s="149">
        <v>774</v>
      </c>
      <c r="C738" s="84" t="s">
        <v>26</v>
      </c>
      <c r="D738" s="84" t="s">
        <v>28</v>
      </c>
      <c r="E738" s="84" t="s">
        <v>941</v>
      </c>
      <c r="F738" s="84"/>
      <c r="G738" s="85">
        <f>G739</f>
        <v>149599646.68000001</v>
      </c>
      <c r="H738" s="85">
        <f t="shared" si="176"/>
        <v>30887111.109999999</v>
      </c>
      <c r="I738" s="85">
        <f t="shared" si="176"/>
        <v>0</v>
      </c>
      <c r="J738" s="178"/>
    </row>
    <row r="739" spans="1:18" ht="25.5">
      <c r="A739" s="82" t="s">
        <v>30</v>
      </c>
      <c r="B739" s="149">
        <v>774</v>
      </c>
      <c r="C739" s="84" t="s">
        <v>26</v>
      </c>
      <c r="D739" s="84" t="s">
        <v>28</v>
      </c>
      <c r="E739" s="84" t="s">
        <v>941</v>
      </c>
      <c r="F739" s="84" t="s">
        <v>31</v>
      </c>
      <c r="G739" s="85">
        <f t="shared" si="176"/>
        <v>149599646.68000001</v>
      </c>
      <c r="H739" s="85">
        <f t="shared" si="176"/>
        <v>30887111.109999999</v>
      </c>
      <c r="I739" s="85">
        <f t="shared" si="176"/>
        <v>0</v>
      </c>
      <c r="J739" s="178"/>
    </row>
    <row r="740" spans="1:18">
      <c r="A740" s="82" t="s">
        <v>32</v>
      </c>
      <c r="B740" s="149">
        <v>774</v>
      </c>
      <c r="C740" s="84" t="s">
        <v>26</v>
      </c>
      <c r="D740" s="84" t="s">
        <v>28</v>
      </c>
      <c r="E740" s="84" t="s">
        <v>941</v>
      </c>
      <c r="F740" s="84" t="s">
        <v>33</v>
      </c>
      <c r="G740" s="85">
        <v>149599646.68000001</v>
      </c>
      <c r="H740" s="85">
        <v>30887111.109999999</v>
      </c>
      <c r="I740" s="85">
        <v>0</v>
      </c>
      <c r="J740" s="178"/>
    </row>
    <row r="741" spans="1:18" s="3" customFormat="1" ht="30" customHeight="1">
      <c r="A741" s="82" t="s">
        <v>24</v>
      </c>
      <c r="B741" s="149">
        <v>774</v>
      </c>
      <c r="C741" s="84" t="s">
        <v>26</v>
      </c>
      <c r="D741" s="84" t="s">
        <v>28</v>
      </c>
      <c r="E741" s="84" t="s">
        <v>224</v>
      </c>
      <c r="F741" s="84"/>
      <c r="G741" s="87">
        <f t="shared" ref="G741:I742" si="177">G742</f>
        <v>104578.61</v>
      </c>
      <c r="H741" s="87">
        <f t="shared" si="177"/>
        <v>105000</v>
      </c>
      <c r="I741" s="87">
        <f t="shared" si="177"/>
        <v>105000</v>
      </c>
      <c r="J741" s="177"/>
      <c r="K741" s="199"/>
      <c r="L741" s="199"/>
      <c r="M741" s="199"/>
      <c r="N741" s="199"/>
      <c r="O741" s="199"/>
      <c r="P741" s="199"/>
      <c r="Q741" s="199"/>
      <c r="R741" s="199"/>
    </row>
    <row r="742" spans="1:18" s="3" customFormat="1" ht="24.75" customHeight="1">
      <c r="A742" s="82" t="s">
        <v>142</v>
      </c>
      <c r="B742" s="149">
        <v>774</v>
      </c>
      <c r="C742" s="84" t="s">
        <v>26</v>
      </c>
      <c r="D742" s="84" t="s">
        <v>28</v>
      </c>
      <c r="E742" s="84" t="s">
        <v>225</v>
      </c>
      <c r="F742" s="84"/>
      <c r="G742" s="87">
        <f t="shared" si="177"/>
        <v>104578.61</v>
      </c>
      <c r="H742" s="87">
        <f t="shared" si="177"/>
        <v>105000</v>
      </c>
      <c r="I742" s="87">
        <f t="shared" si="177"/>
        <v>105000</v>
      </c>
      <c r="J742" s="177"/>
      <c r="K742" s="199"/>
      <c r="L742" s="199"/>
      <c r="M742" s="199"/>
      <c r="N742" s="199"/>
      <c r="O742" s="199"/>
      <c r="P742" s="199"/>
      <c r="Q742" s="199"/>
      <c r="R742" s="199"/>
    </row>
    <row r="743" spans="1:18" s="18" customFormat="1" ht="25.5">
      <c r="A743" s="82" t="s">
        <v>30</v>
      </c>
      <c r="B743" s="84" t="s">
        <v>94</v>
      </c>
      <c r="C743" s="84" t="s">
        <v>26</v>
      </c>
      <c r="D743" s="84" t="s">
        <v>28</v>
      </c>
      <c r="E743" s="84" t="s">
        <v>225</v>
      </c>
      <c r="F743" s="84" t="s">
        <v>31</v>
      </c>
      <c r="G743" s="87">
        <f>G744</f>
        <v>104578.61</v>
      </c>
      <c r="H743" s="87">
        <f>H744</f>
        <v>105000</v>
      </c>
      <c r="I743" s="87">
        <f>I744</f>
        <v>105000</v>
      </c>
      <c r="J743" s="177"/>
      <c r="K743" s="200"/>
      <c r="L743" s="200"/>
      <c r="M743" s="200"/>
      <c r="N743" s="200"/>
      <c r="O743" s="200"/>
      <c r="P743" s="200"/>
      <c r="Q743" s="200"/>
      <c r="R743" s="200"/>
    </row>
    <row r="744" spans="1:18" s="18" customFormat="1">
      <c r="A744" s="82" t="s">
        <v>32</v>
      </c>
      <c r="B744" s="84" t="s">
        <v>94</v>
      </c>
      <c r="C744" s="84" t="s">
        <v>26</v>
      </c>
      <c r="D744" s="84" t="s">
        <v>28</v>
      </c>
      <c r="E744" s="84" t="s">
        <v>225</v>
      </c>
      <c r="F744" s="84" t="s">
        <v>33</v>
      </c>
      <c r="G744" s="87">
        <v>104578.61</v>
      </c>
      <c r="H744" s="87">
        <v>105000</v>
      </c>
      <c r="I744" s="87">
        <v>105000</v>
      </c>
      <c r="J744" s="177"/>
      <c r="K744" s="200"/>
      <c r="L744" s="200"/>
      <c r="M744" s="200"/>
      <c r="N744" s="200"/>
      <c r="O744" s="200"/>
      <c r="P744" s="200"/>
      <c r="Q744" s="200"/>
      <c r="R744" s="200"/>
    </row>
    <row r="745" spans="1:18" s="18" customFormat="1" ht="25.5" hidden="1" customHeight="1">
      <c r="A745" s="135" t="s">
        <v>482</v>
      </c>
      <c r="B745" s="149">
        <v>774</v>
      </c>
      <c r="C745" s="84" t="s">
        <v>26</v>
      </c>
      <c r="D745" s="84" t="s">
        <v>28</v>
      </c>
      <c r="E745" s="84" t="s">
        <v>220</v>
      </c>
      <c r="F745" s="84"/>
      <c r="G745" s="87">
        <f t="shared" ref="G745:I747" si="178">G746</f>
        <v>0</v>
      </c>
      <c r="H745" s="87">
        <f t="shared" si="178"/>
        <v>0</v>
      </c>
      <c r="I745" s="87">
        <f t="shared" si="178"/>
        <v>0</v>
      </c>
      <c r="J745" s="177"/>
      <c r="K745" s="200"/>
      <c r="L745" s="200"/>
      <c r="M745" s="200"/>
      <c r="N745" s="200"/>
      <c r="O745" s="200"/>
      <c r="P745" s="200"/>
      <c r="Q745" s="200"/>
      <c r="R745" s="200"/>
    </row>
    <row r="746" spans="1:18" s="18" customFormat="1" ht="25.5" hidden="1">
      <c r="A746" s="82" t="s">
        <v>99</v>
      </c>
      <c r="B746" s="84" t="s">
        <v>94</v>
      </c>
      <c r="C746" s="84" t="s">
        <v>26</v>
      </c>
      <c r="D746" s="84" t="s">
        <v>28</v>
      </c>
      <c r="E746" s="84" t="s">
        <v>221</v>
      </c>
      <c r="F746" s="84"/>
      <c r="G746" s="87">
        <f t="shared" si="178"/>
        <v>0</v>
      </c>
      <c r="H746" s="87">
        <f t="shared" si="178"/>
        <v>0</v>
      </c>
      <c r="I746" s="87">
        <f t="shared" si="178"/>
        <v>0</v>
      </c>
      <c r="J746" s="177"/>
      <c r="K746" s="200"/>
      <c r="L746" s="200"/>
      <c r="M746" s="200"/>
      <c r="N746" s="200"/>
      <c r="O746" s="200"/>
      <c r="P746" s="200"/>
      <c r="Q746" s="200"/>
      <c r="R746" s="200"/>
    </row>
    <row r="747" spans="1:18" s="18" customFormat="1" ht="30.75" hidden="1" customHeight="1">
      <c r="A747" s="82" t="s">
        <v>30</v>
      </c>
      <c r="B747" s="84" t="s">
        <v>94</v>
      </c>
      <c r="C747" s="84" t="s">
        <v>26</v>
      </c>
      <c r="D747" s="84" t="s">
        <v>28</v>
      </c>
      <c r="E747" s="84" t="s">
        <v>221</v>
      </c>
      <c r="F747" s="84" t="s">
        <v>31</v>
      </c>
      <c r="G747" s="87">
        <f t="shared" si="178"/>
        <v>0</v>
      </c>
      <c r="H747" s="87">
        <f t="shared" si="178"/>
        <v>0</v>
      </c>
      <c r="I747" s="87">
        <f t="shared" si="178"/>
        <v>0</v>
      </c>
      <c r="J747" s="177"/>
      <c r="K747" s="200"/>
      <c r="L747" s="200"/>
      <c r="M747" s="200"/>
      <c r="N747" s="200"/>
      <c r="O747" s="200"/>
      <c r="P747" s="200"/>
      <c r="Q747" s="200"/>
      <c r="R747" s="200"/>
    </row>
    <row r="748" spans="1:18" s="18" customFormat="1" hidden="1">
      <c r="A748" s="82" t="s">
        <v>32</v>
      </c>
      <c r="B748" s="84" t="s">
        <v>94</v>
      </c>
      <c r="C748" s="84" t="s">
        <v>26</v>
      </c>
      <c r="D748" s="84" t="s">
        <v>28</v>
      </c>
      <c r="E748" s="84" t="s">
        <v>221</v>
      </c>
      <c r="F748" s="84" t="s">
        <v>33</v>
      </c>
      <c r="G748" s="87"/>
      <c r="H748" s="87"/>
      <c r="I748" s="87"/>
      <c r="J748" s="177"/>
      <c r="K748" s="200"/>
      <c r="L748" s="200"/>
      <c r="M748" s="200"/>
      <c r="N748" s="200"/>
      <c r="O748" s="200"/>
      <c r="P748" s="200"/>
      <c r="Q748" s="200"/>
      <c r="R748" s="200"/>
    </row>
    <row r="749" spans="1:18" s="18" customFormat="1" ht="38.25" hidden="1">
      <c r="A749" s="82" t="s">
        <v>459</v>
      </c>
      <c r="B749" s="84" t="s">
        <v>94</v>
      </c>
      <c r="C749" s="84" t="s">
        <v>26</v>
      </c>
      <c r="D749" s="84" t="s">
        <v>28</v>
      </c>
      <c r="E749" s="84" t="s">
        <v>458</v>
      </c>
      <c r="F749" s="84"/>
      <c r="G749" s="87">
        <f>G750</f>
        <v>0</v>
      </c>
      <c r="H749" s="87">
        <f t="shared" ref="H749:I750" si="179">H750</f>
        <v>0</v>
      </c>
      <c r="I749" s="87">
        <f t="shared" si="179"/>
        <v>0</v>
      </c>
      <c r="J749" s="177"/>
      <c r="K749" s="200"/>
      <c r="L749" s="200"/>
      <c r="M749" s="200"/>
      <c r="N749" s="200"/>
      <c r="O749" s="200"/>
      <c r="P749" s="200"/>
      <c r="Q749" s="200"/>
      <c r="R749" s="200"/>
    </row>
    <row r="750" spans="1:18" s="18" customFormat="1" ht="52.5" hidden="1" customHeight="1">
      <c r="A750" s="82" t="s">
        <v>744</v>
      </c>
      <c r="B750" s="84" t="s">
        <v>94</v>
      </c>
      <c r="C750" s="84" t="s">
        <v>26</v>
      </c>
      <c r="D750" s="84" t="s">
        <v>28</v>
      </c>
      <c r="E750" s="84" t="s">
        <v>745</v>
      </c>
      <c r="F750" s="84"/>
      <c r="G750" s="87">
        <f>G751</f>
        <v>0</v>
      </c>
      <c r="H750" s="87">
        <f t="shared" si="179"/>
        <v>0</v>
      </c>
      <c r="I750" s="87">
        <f t="shared" si="179"/>
        <v>0</v>
      </c>
      <c r="J750" s="177"/>
      <c r="K750" s="200"/>
      <c r="L750" s="200"/>
      <c r="M750" s="200"/>
      <c r="N750" s="200"/>
      <c r="O750" s="200"/>
      <c r="P750" s="200"/>
      <c r="Q750" s="200"/>
      <c r="R750" s="200"/>
    </row>
    <row r="751" spans="1:18" s="18" customFormat="1" ht="25.5" hidden="1">
      <c r="A751" s="82" t="s">
        <v>96</v>
      </c>
      <c r="B751" s="84" t="s">
        <v>94</v>
      </c>
      <c r="C751" s="84" t="s">
        <v>26</v>
      </c>
      <c r="D751" s="84" t="s">
        <v>28</v>
      </c>
      <c r="E751" s="84" t="s">
        <v>745</v>
      </c>
      <c r="F751" s="84" t="s">
        <v>348</v>
      </c>
      <c r="G751" s="87"/>
      <c r="H751" s="87"/>
      <c r="I751" s="87"/>
      <c r="J751" s="177"/>
      <c r="K751" s="200"/>
      <c r="L751" s="200"/>
      <c r="M751" s="200"/>
      <c r="N751" s="200"/>
      <c r="O751" s="200"/>
      <c r="P751" s="200"/>
      <c r="Q751" s="200"/>
      <c r="R751" s="200"/>
    </row>
    <row r="752" spans="1:18" s="18" customFormat="1" ht="89.25" hidden="1">
      <c r="A752" s="133" t="s">
        <v>420</v>
      </c>
      <c r="B752" s="84" t="s">
        <v>94</v>
      </c>
      <c r="C752" s="84" t="s">
        <v>26</v>
      </c>
      <c r="D752" s="84" t="s">
        <v>28</v>
      </c>
      <c r="E752" s="84" t="s">
        <v>745</v>
      </c>
      <c r="F752" s="84" t="s">
        <v>419</v>
      </c>
      <c r="G752" s="87"/>
      <c r="H752" s="87"/>
      <c r="I752" s="87"/>
      <c r="J752" s="177"/>
      <c r="K752" s="200"/>
      <c r="L752" s="200"/>
      <c r="M752" s="200"/>
      <c r="N752" s="200"/>
      <c r="O752" s="200"/>
      <c r="P752" s="200"/>
      <c r="Q752" s="200"/>
      <c r="R752" s="200"/>
    </row>
    <row r="753" spans="1:18" s="18" customFormat="1" ht="38.25" hidden="1">
      <c r="A753" s="82" t="s">
        <v>459</v>
      </c>
      <c r="B753" s="84" t="s">
        <v>94</v>
      </c>
      <c r="C753" s="84" t="s">
        <v>26</v>
      </c>
      <c r="D753" s="84" t="s">
        <v>28</v>
      </c>
      <c r="E753" s="84" t="s">
        <v>458</v>
      </c>
      <c r="F753" s="84"/>
      <c r="G753" s="87">
        <f>G754</f>
        <v>0</v>
      </c>
      <c r="H753" s="87">
        <f t="shared" ref="H753:I753" si="180">H754</f>
        <v>0</v>
      </c>
      <c r="I753" s="87">
        <f t="shared" si="180"/>
        <v>0</v>
      </c>
      <c r="J753" s="177"/>
      <c r="K753" s="200"/>
      <c r="L753" s="200"/>
      <c r="M753" s="200"/>
      <c r="N753" s="200"/>
      <c r="O753" s="200"/>
      <c r="P753" s="200"/>
      <c r="Q753" s="200"/>
      <c r="R753" s="200"/>
    </row>
    <row r="754" spans="1:18" s="18" customFormat="1" ht="52.5" hidden="1" customHeight="1">
      <c r="A754" s="82" t="s">
        <v>744</v>
      </c>
      <c r="B754" s="84" t="s">
        <v>94</v>
      </c>
      <c r="C754" s="84" t="s">
        <v>26</v>
      </c>
      <c r="D754" s="84" t="s">
        <v>28</v>
      </c>
      <c r="E754" s="84" t="s">
        <v>745</v>
      </c>
      <c r="F754" s="84"/>
      <c r="G754" s="87">
        <f>G755</f>
        <v>0</v>
      </c>
      <c r="H754" s="87">
        <f t="shared" ref="H754:I754" si="181">H755</f>
        <v>0</v>
      </c>
      <c r="I754" s="87">
        <f t="shared" si="181"/>
        <v>0</v>
      </c>
      <c r="J754" s="177"/>
      <c r="K754" s="200"/>
      <c r="L754" s="200"/>
      <c r="M754" s="200"/>
      <c r="N754" s="200"/>
      <c r="O754" s="200"/>
      <c r="P754" s="200"/>
      <c r="Q754" s="200"/>
      <c r="R754" s="200"/>
    </row>
    <row r="755" spans="1:18" s="18" customFormat="1" ht="25.5" hidden="1">
      <c r="A755" s="82" t="s">
        <v>96</v>
      </c>
      <c r="B755" s="84" t="s">
        <v>94</v>
      </c>
      <c r="C755" s="84" t="s">
        <v>26</v>
      </c>
      <c r="D755" s="84" t="s">
        <v>28</v>
      </c>
      <c r="E755" s="84" t="s">
        <v>745</v>
      </c>
      <c r="F755" s="84" t="s">
        <v>348</v>
      </c>
      <c r="G755" s="87">
        <f>G756</f>
        <v>0</v>
      </c>
      <c r="H755" s="87">
        <f t="shared" ref="H755:I755" si="182">H756</f>
        <v>0</v>
      </c>
      <c r="I755" s="87">
        <f t="shared" si="182"/>
        <v>0</v>
      </c>
      <c r="J755" s="177"/>
      <c r="K755" s="200"/>
      <c r="L755" s="200"/>
      <c r="M755" s="200"/>
      <c r="N755" s="200"/>
      <c r="O755" s="200"/>
      <c r="P755" s="200"/>
      <c r="Q755" s="200"/>
      <c r="R755" s="200"/>
    </row>
    <row r="756" spans="1:18" s="18" customFormat="1" ht="89.25" hidden="1">
      <c r="A756" s="133" t="s">
        <v>420</v>
      </c>
      <c r="B756" s="84" t="s">
        <v>94</v>
      </c>
      <c r="C756" s="84" t="s">
        <v>26</v>
      </c>
      <c r="D756" s="84" t="s">
        <v>28</v>
      </c>
      <c r="E756" s="84" t="s">
        <v>745</v>
      </c>
      <c r="F756" s="84" t="s">
        <v>419</v>
      </c>
      <c r="G756" s="87"/>
      <c r="H756" s="87"/>
      <c r="I756" s="87"/>
      <c r="J756" s="177"/>
      <c r="K756" s="200"/>
      <c r="L756" s="200"/>
      <c r="M756" s="200"/>
      <c r="N756" s="200"/>
      <c r="O756" s="200"/>
      <c r="P756" s="200"/>
      <c r="Q756" s="200"/>
      <c r="R756" s="200"/>
    </row>
    <row r="757" spans="1:18" s="18" customFormat="1" ht="51" hidden="1">
      <c r="A757" s="82" t="s">
        <v>513</v>
      </c>
      <c r="B757" s="84" t="s">
        <v>94</v>
      </c>
      <c r="C757" s="84" t="s">
        <v>26</v>
      </c>
      <c r="D757" s="84" t="s">
        <v>28</v>
      </c>
      <c r="E757" s="84" t="s">
        <v>214</v>
      </c>
      <c r="F757" s="84"/>
      <c r="G757" s="87">
        <f>G758</f>
        <v>0</v>
      </c>
      <c r="H757" s="87">
        <f>H758+H761</f>
        <v>0</v>
      </c>
      <c r="I757" s="87">
        <f t="shared" ref="H757:I759" si="183">I758</f>
        <v>0</v>
      </c>
      <c r="J757" s="177"/>
      <c r="K757" s="200"/>
      <c r="L757" s="200"/>
      <c r="M757" s="200"/>
      <c r="N757" s="200"/>
      <c r="O757" s="200"/>
      <c r="P757" s="200"/>
      <c r="Q757" s="200"/>
      <c r="R757" s="200"/>
    </row>
    <row r="758" spans="1:18" s="18" customFormat="1" ht="25.5" hidden="1">
      <c r="A758" s="82" t="s">
        <v>505</v>
      </c>
      <c r="B758" s="84" t="s">
        <v>94</v>
      </c>
      <c r="C758" s="84" t="s">
        <v>26</v>
      </c>
      <c r="D758" s="84" t="s">
        <v>28</v>
      </c>
      <c r="E758" s="84" t="s">
        <v>504</v>
      </c>
      <c r="F758" s="84"/>
      <c r="G758" s="87">
        <f>G759</f>
        <v>0</v>
      </c>
      <c r="H758" s="87">
        <f t="shared" si="183"/>
        <v>0</v>
      </c>
      <c r="I758" s="87">
        <f t="shared" si="183"/>
        <v>0</v>
      </c>
      <c r="J758" s="177"/>
      <c r="K758" s="200"/>
      <c r="L758" s="200"/>
      <c r="M758" s="200"/>
      <c r="N758" s="200"/>
      <c r="O758" s="200"/>
      <c r="P758" s="200"/>
      <c r="Q758" s="200"/>
      <c r="R758" s="200"/>
    </row>
    <row r="759" spans="1:18" s="18" customFormat="1" ht="36" hidden="1" customHeight="1">
      <c r="A759" s="82" t="s">
        <v>96</v>
      </c>
      <c r="B759" s="84" t="s">
        <v>94</v>
      </c>
      <c r="C759" s="84" t="s">
        <v>26</v>
      </c>
      <c r="D759" s="84" t="s">
        <v>28</v>
      </c>
      <c r="E759" s="84" t="s">
        <v>504</v>
      </c>
      <c r="F759" s="84" t="s">
        <v>348</v>
      </c>
      <c r="G759" s="87">
        <f>G760</f>
        <v>0</v>
      </c>
      <c r="H759" s="87">
        <f t="shared" si="183"/>
        <v>0</v>
      </c>
      <c r="I759" s="87">
        <f t="shared" si="183"/>
        <v>0</v>
      </c>
      <c r="J759" s="177"/>
      <c r="K759" s="200"/>
      <c r="L759" s="200"/>
      <c r="M759" s="200"/>
      <c r="N759" s="200"/>
      <c r="O759" s="200"/>
      <c r="P759" s="200"/>
      <c r="Q759" s="200"/>
      <c r="R759" s="200"/>
    </row>
    <row r="760" spans="1:18" s="18" customFormat="1" ht="99" hidden="1" customHeight="1">
      <c r="A760" s="133" t="s">
        <v>420</v>
      </c>
      <c r="B760" s="84" t="s">
        <v>94</v>
      </c>
      <c r="C760" s="84" t="s">
        <v>26</v>
      </c>
      <c r="D760" s="84" t="s">
        <v>28</v>
      </c>
      <c r="E760" s="84" t="s">
        <v>504</v>
      </c>
      <c r="F760" s="84" t="s">
        <v>419</v>
      </c>
      <c r="G760" s="87">
        <v>0</v>
      </c>
      <c r="H760" s="87"/>
      <c r="I760" s="87">
        <v>0</v>
      </c>
      <c r="J760" s="177"/>
      <c r="K760" s="200"/>
      <c r="L760" s="200"/>
      <c r="M760" s="200"/>
      <c r="N760" s="200"/>
      <c r="O760" s="200"/>
      <c r="P760" s="200"/>
      <c r="Q760" s="200"/>
      <c r="R760" s="200"/>
    </row>
    <row r="761" spans="1:18" s="18" customFormat="1" ht="25.5" hidden="1">
      <c r="A761" s="82" t="s">
        <v>507</v>
      </c>
      <c r="B761" s="84" t="s">
        <v>94</v>
      </c>
      <c r="C761" s="84" t="s">
        <v>26</v>
      </c>
      <c r="D761" s="84" t="s">
        <v>28</v>
      </c>
      <c r="E761" s="84" t="s">
        <v>506</v>
      </c>
      <c r="F761" s="84"/>
      <c r="G761" s="87">
        <f>G762</f>
        <v>0</v>
      </c>
      <c r="H761" s="87">
        <f t="shared" ref="H761:I762" si="184">H762</f>
        <v>0</v>
      </c>
      <c r="I761" s="87">
        <f t="shared" si="184"/>
        <v>0</v>
      </c>
      <c r="J761" s="177"/>
      <c r="K761" s="200"/>
      <c r="L761" s="200"/>
      <c r="M761" s="200"/>
      <c r="N761" s="200"/>
      <c r="O761" s="200"/>
      <c r="P761" s="200"/>
      <c r="Q761" s="200"/>
      <c r="R761" s="200"/>
    </row>
    <row r="762" spans="1:18" s="18" customFormat="1" ht="36" hidden="1" customHeight="1">
      <c r="A762" s="82" t="s">
        <v>96</v>
      </c>
      <c r="B762" s="84" t="s">
        <v>94</v>
      </c>
      <c r="C762" s="84" t="s">
        <v>26</v>
      </c>
      <c r="D762" s="84" t="s">
        <v>28</v>
      </c>
      <c r="E762" s="84" t="s">
        <v>506</v>
      </c>
      <c r="F762" s="84" t="s">
        <v>348</v>
      </c>
      <c r="G762" s="87">
        <f>G763</f>
        <v>0</v>
      </c>
      <c r="H762" s="87">
        <f t="shared" si="184"/>
        <v>0</v>
      </c>
      <c r="I762" s="87">
        <f t="shared" si="184"/>
        <v>0</v>
      </c>
      <c r="J762" s="177"/>
      <c r="K762" s="200"/>
      <c r="L762" s="200"/>
      <c r="M762" s="200"/>
      <c r="N762" s="200"/>
      <c r="O762" s="200"/>
      <c r="P762" s="200"/>
      <c r="Q762" s="200"/>
      <c r="R762" s="200"/>
    </row>
    <row r="763" spans="1:18" s="18" customFormat="1" ht="99" hidden="1" customHeight="1">
      <c r="A763" s="133" t="s">
        <v>420</v>
      </c>
      <c r="B763" s="84" t="s">
        <v>94</v>
      </c>
      <c r="C763" s="84" t="s">
        <v>26</v>
      </c>
      <c r="D763" s="84" t="s">
        <v>28</v>
      </c>
      <c r="E763" s="84" t="s">
        <v>506</v>
      </c>
      <c r="F763" s="84" t="s">
        <v>419</v>
      </c>
      <c r="G763" s="87">
        <v>0</v>
      </c>
      <c r="H763" s="87"/>
      <c r="I763" s="87">
        <v>0</v>
      </c>
      <c r="J763" s="177"/>
      <c r="K763" s="200"/>
      <c r="L763" s="200"/>
      <c r="M763" s="200"/>
      <c r="N763" s="200"/>
      <c r="O763" s="200"/>
      <c r="P763" s="200"/>
      <c r="Q763" s="200"/>
      <c r="R763" s="200"/>
    </row>
    <row r="764" spans="1:18" s="76" customFormat="1" ht="24.75" hidden="1" customHeight="1">
      <c r="A764" s="139" t="s">
        <v>169</v>
      </c>
      <c r="B764" s="84" t="s">
        <v>94</v>
      </c>
      <c r="C764" s="84" t="s">
        <v>26</v>
      </c>
      <c r="D764" s="84" t="s">
        <v>28</v>
      </c>
      <c r="E764" s="84" t="s">
        <v>233</v>
      </c>
      <c r="F764" s="159"/>
      <c r="G764" s="87">
        <f>G765</f>
        <v>0</v>
      </c>
      <c r="H764" s="87">
        <v>0</v>
      </c>
      <c r="I764" s="87">
        <v>0</v>
      </c>
      <c r="J764" s="177"/>
      <c r="K764" s="216"/>
      <c r="L764" s="217"/>
      <c r="M764" s="217"/>
      <c r="N764" s="217"/>
      <c r="O764" s="217"/>
      <c r="P764" s="217"/>
      <c r="Q764" s="217"/>
      <c r="R764" s="217"/>
    </row>
    <row r="765" spans="1:18" ht="25.5" hidden="1">
      <c r="A765" s="139" t="s">
        <v>169</v>
      </c>
      <c r="B765" s="84" t="s">
        <v>94</v>
      </c>
      <c r="C765" s="84" t="s">
        <v>26</v>
      </c>
      <c r="D765" s="84" t="s">
        <v>28</v>
      </c>
      <c r="E765" s="84" t="s">
        <v>275</v>
      </c>
      <c r="F765" s="149"/>
      <c r="G765" s="87">
        <f>G766</f>
        <v>0</v>
      </c>
      <c r="H765" s="87">
        <v>0</v>
      </c>
      <c r="I765" s="87">
        <v>0</v>
      </c>
      <c r="J765" s="177"/>
      <c r="K765" s="209"/>
    </row>
    <row r="766" spans="1:18" hidden="1">
      <c r="A766" s="82" t="s">
        <v>63</v>
      </c>
      <c r="B766" s="84" t="s">
        <v>94</v>
      </c>
      <c r="C766" s="84" t="s">
        <v>26</v>
      </c>
      <c r="D766" s="84" t="s">
        <v>28</v>
      </c>
      <c r="E766" s="84" t="s">
        <v>275</v>
      </c>
      <c r="F766" s="84" t="s">
        <v>31</v>
      </c>
      <c r="G766" s="87">
        <f>G767</f>
        <v>0</v>
      </c>
      <c r="H766" s="87">
        <f>H767</f>
        <v>0</v>
      </c>
      <c r="I766" s="87">
        <f>I767</f>
        <v>0</v>
      </c>
      <c r="J766" s="177"/>
      <c r="K766" s="209"/>
    </row>
    <row r="767" spans="1:18" ht="19.5" hidden="1" customHeight="1">
      <c r="A767" s="82" t="s">
        <v>180</v>
      </c>
      <c r="B767" s="84" t="s">
        <v>94</v>
      </c>
      <c r="C767" s="84" t="s">
        <v>26</v>
      </c>
      <c r="D767" s="84" t="s">
        <v>28</v>
      </c>
      <c r="E767" s="84" t="s">
        <v>275</v>
      </c>
      <c r="F767" s="84" t="s">
        <v>33</v>
      </c>
      <c r="G767" s="87"/>
      <c r="H767" s="87">
        <f>'прил 5,'!H238</f>
        <v>0</v>
      </c>
      <c r="I767" s="87">
        <f>'прил 5,'!I238</f>
        <v>0</v>
      </c>
      <c r="J767" s="177"/>
      <c r="K767" s="209"/>
    </row>
    <row r="768" spans="1:18" ht="30" hidden="1" customHeight="1">
      <c r="A768" s="82" t="s">
        <v>333</v>
      </c>
      <c r="B768" s="84" t="s">
        <v>94</v>
      </c>
      <c r="C768" s="84" t="s">
        <v>26</v>
      </c>
      <c r="D768" s="84" t="s">
        <v>28</v>
      </c>
      <c r="E768" s="84" t="s">
        <v>211</v>
      </c>
      <c r="F768" s="84"/>
      <c r="G768" s="87">
        <f>G769</f>
        <v>0</v>
      </c>
      <c r="H768" s="87"/>
      <c r="I768" s="87"/>
      <c r="J768" s="177"/>
      <c r="K768" s="209"/>
    </row>
    <row r="769" spans="1:18" ht="29.25" hidden="1" customHeight="1">
      <c r="A769" s="82" t="s">
        <v>30</v>
      </c>
      <c r="B769" s="84" t="s">
        <v>94</v>
      </c>
      <c r="C769" s="84" t="s">
        <v>26</v>
      </c>
      <c r="D769" s="84" t="s">
        <v>28</v>
      </c>
      <c r="E769" s="84" t="s">
        <v>211</v>
      </c>
      <c r="F769" s="84" t="s">
        <v>31</v>
      </c>
      <c r="G769" s="87">
        <f>G770</f>
        <v>0</v>
      </c>
      <c r="H769" s="87"/>
      <c r="I769" s="87"/>
      <c r="J769" s="177"/>
      <c r="K769" s="209"/>
    </row>
    <row r="770" spans="1:18" ht="19.5" hidden="1" customHeight="1">
      <c r="A770" s="82" t="s">
        <v>32</v>
      </c>
      <c r="B770" s="84" t="s">
        <v>94</v>
      </c>
      <c r="C770" s="84" t="s">
        <v>26</v>
      </c>
      <c r="D770" s="84" t="s">
        <v>28</v>
      </c>
      <c r="E770" s="84" t="s">
        <v>211</v>
      </c>
      <c r="F770" s="84" t="s">
        <v>33</v>
      </c>
      <c r="G770" s="87"/>
      <c r="H770" s="87"/>
      <c r="I770" s="87"/>
      <c r="J770" s="177"/>
      <c r="K770" s="209"/>
    </row>
    <row r="771" spans="1:18" s="165" customFormat="1" ht="30.75" hidden="1" customHeight="1">
      <c r="A771" s="139" t="s">
        <v>272</v>
      </c>
      <c r="B771" s="84" t="s">
        <v>94</v>
      </c>
      <c r="C771" s="84" t="s">
        <v>26</v>
      </c>
      <c r="D771" s="84" t="s">
        <v>28</v>
      </c>
      <c r="E771" s="84" t="s">
        <v>570</v>
      </c>
      <c r="F771" s="84"/>
      <c r="G771" s="87">
        <f>G772</f>
        <v>0</v>
      </c>
      <c r="H771" s="272">
        <v>0</v>
      </c>
      <c r="I771" s="272">
        <v>0</v>
      </c>
      <c r="J771" s="193"/>
      <c r="K771" s="206"/>
      <c r="L771" s="206"/>
      <c r="M771" s="206"/>
      <c r="N771" s="206"/>
      <c r="O771" s="206"/>
      <c r="P771" s="206"/>
      <c r="Q771" s="206"/>
      <c r="R771" s="206"/>
    </row>
    <row r="772" spans="1:18" ht="30.75" hidden="1" customHeight="1">
      <c r="A772" s="82" t="s">
        <v>272</v>
      </c>
      <c r="B772" s="84" t="s">
        <v>94</v>
      </c>
      <c r="C772" s="84" t="s">
        <v>26</v>
      </c>
      <c r="D772" s="84" t="s">
        <v>28</v>
      </c>
      <c r="E772" s="84" t="s">
        <v>571</v>
      </c>
      <c r="F772" s="84"/>
      <c r="G772" s="87">
        <f>G779</f>
        <v>0</v>
      </c>
      <c r="H772" s="87">
        <v>0</v>
      </c>
      <c r="I772" s="87">
        <v>0</v>
      </c>
      <c r="J772" s="177"/>
    </row>
    <row r="773" spans="1:18" ht="30.75" hidden="1" customHeight="1">
      <c r="A773" s="82" t="s">
        <v>36</v>
      </c>
      <c r="B773" s="84" t="s">
        <v>94</v>
      </c>
      <c r="C773" s="84" t="s">
        <v>26</v>
      </c>
      <c r="D773" s="84" t="s">
        <v>28</v>
      </c>
      <c r="E773" s="84" t="s">
        <v>571</v>
      </c>
      <c r="F773" s="84" t="s">
        <v>37</v>
      </c>
      <c r="G773" s="87">
        <f>G774</f>
        <v>44000</v>
      </c>
      <c r="H773" s="87">
        <v>0</v>
      </c>
      <c r="I773" s="87">
        <v>0</v>
      </c>
      <c r="J773" s="177"/>
    </row>
    <row r="774" spans="1:18" ht="30.75" hidden="1" customHeight="1">
      <c r="A774" s="82" t="s">
        <v>38</v>
      </c>
      <c r="B774" s="84" t="s">
        <v>94</v>
      </c>
      <c r="C774" s="84" t="s">
        <v>26</v>
      </c>
      <c r="D774" s="84" t="s">
        <v>28</v>
      </c>
      <c r="E774" s="84" t="s">
        <v>571</v>
      </c>
      <c r="F774" s="84" t="s">
        <v>39</v>
      </c>
      <c r="G774" s="87">
        <f>'прил 5,'!G1242</f>
        <v>44000</v>
      </c>
      <c r="H774" s="87">
        <v>0</v>
      </c>
      <c r="I774" s="87">
        <v>0</v>
      </c>
      <c r="J774" s="177"/>
    </row>
    <row r="775" spans="1:18" ht="23.25" hidden="1" customHeight="1">
      <c r="A775" s="82" t="s">
        <v>148</v>
      </c>
      <c r="B775" s="84" t="s">
        <v>94</v>
      </c>
      <c r="C775" s="84" t="s">
        <v>26</v>
      </c>
      <c r="D775" s="84" t="s">
        <v>28</v>
      </c>
      <c r="E775" s="84" t="s">
        <v>571</v>
      </c>
      <c r="F775" s="84" t="s">
        <v>149</v>
      </c>
      <c r="G775" s="87">
        <f>G776</f>
        <v>1041561.01</v>
      </c>
      <c r="H775" s="87">
        <v>0</v>
      </c>
      <c r="I775" s="87">
        <v>0</v>
      </c>
      <c r="J775" s="177"/>
    </row>
    <row r="776" spans="1:18" ht="30.75" hidden="1" customHeight="1">
      <c r="A776" s="82" t="s">
        <v>150</v>
      </c>
      <c r="B776" s="84" t="s">
        <v>94</v>
      </c>
      <c r="C776" s="84" t="s">
        <v>26</v>
      </c>
      <c r="D776" s="84" t="s">
        <v>28</v>
      </c>
      <c r="E776" s="84" t="s">
        <v>571</v>
      </c>
      <c r="F776" s="84" t="s">
        <v>151</v>
      </c>
      <c r="G776" s="87">
        <f>'прил 5,'!G733</f>
        <v>1041561.01</v>
      </c>
      <c r="H776" s="87">
        <v>0</v>
      </c>
      <c r="I776" s="87">
        <v>0</v>
      </c>
      <c r="J776" s="177"/>
    </row>
    <row r="777" spans="1:18" ht="21.75" hidden="1" customHeight="1">
      <c r="A777" s="82" t="s">
        <v>156</v>
      </c>
      <c r="B777" s="84" t="s">
        <v>94</v>
      </c>
      <c r="C777" s="84" t="s">
        <v>26</v>
      </c>
      <c r="D777" s="84" t="s">
        <v>28</v>
      </c>
      <c r="E777" s="84" t="s">
        <v>571</v>
      </c>
      <c r="F777" s="84" t="s">
        <v>157</v>
      </c>
      <c r="G777" s="87">
        <f>G778</f>
        <v>0</v>
      </c>
      <c r="H777" s="87">
        <v>0</v>
      </c>
      <c r="I777" s="87">
        <v>0</v>
      </c>
      <c r="J777" s="177"/>
    </row>
    <row r="778" spans="1:18" ht="22.5" hidden="1" customHeight="1">
      <c r="A778" s="82" t="s">
        <v>178</v>
      </c>
      <c r="B778" s="84" t="s">
        <v>94</v>
      </c>
      <c r="C778" s="84" t="s">
        <v>26</v>
      </c>
      <c r="D778" s="84" t="s">
        <v>28</v>
      </c>
      <c r="E778" s="84" t="s">
        <v>571</v>
      </c>
      <c r="F778" s="84" t="s">
        <v>179</v>
      </c>
      <c r="G778" s="87"/>
      <c r="H778" s="87">
        <v>0</v>
      </c>
      <c r="I778" s="87">
        <v>0</v>
      </c>
      <c r="J778" s="177"/>
    </row>
    <row r="779" spans="1:18" ht="25.5" hidden="1">
      <c r="A779" s="82" t="s">
        <v>30</v>
      </c>
      <c r="B779" s="84" t="s">
        <v>94</v>
      </c>
      <c r="C779" s="84" t="s">
        <v>26</v>
      </c>
      <c r="D779" s="84" t="s">
        <v>28</v>
      </c>
      <c r="E779" s="84" t="s">
        <v>571</v>
      </c>
      <c r="F779" s="84" t="s">
        <v>31</v>
      </c>
      <c r="G779" s="85">
        <f t="shared" ref="G779:I779" si="185">G780</f>
        <v>0</v>
      </c>
      <c r="H779" s="85">
        <f t="shared" si="185"/>
        <v>0</v>
      </c>
      <c r="I779" s="85">
        <f t="shared" si="185"/>
        <v>0</v>
      </c>
      <c r="J779" s="178"/>
    </row>
    <row r="780" spans="1:18" hidden="1">
      <c r="A780" s="82" t="s">
        <v>32</v>
      </c>
      <c r="B780" s="84" t="s">
        <v>94</v>
      </c>
      <c r="C780" s="84" t="s">
        <v>26</v>
      </c>
      <c r="D780" s="84" t="s">
        <v>28</v>
      </c>
      <c r="E780" s="84" t="s">
        <v>571</v>
      </c>
      <c r="F780" s="84" t="s">
        <v>33</v>
      </c>
      <c r="G780" s="85"/>
      <c r="H780" s="85"/>
      <c r="I780" s="85"/>
      <c r="J780" s="178"/>
    </row>
    <row r="781" spans="1:18" s="165" customFormat="1" ht="30.75" hidden="1" customHeight="1">
      <c r="A781" s="139" t="s">
        <v>169</v>
      </c>
      <c r="B781" s="84" t="s">
        <v>94</v>
      </c>
      <c r="C781" s="84" t="s">
        <v>26</v>
      </c>
      <c r="D781" s="84" t="s">
        <v>28</v>
      </c>
      <c r="E781" s="84" t="s">
        <v>233</v>
      </c>
      <c r="F781" s="84"/>
      <c r="G781" s="87">
        <f>G782</f>
        <v>0</v>
      </c>
      <c r="H781" s="272">
        <v>0</v>
      </c>
      <c r="I781" s="272">
        <v>0</v>
      </c>
      <c r="J781" s="193"/>
      <c r="K781" s="206"/>
      <c r="L781" s="206"/>
      <c r="M781" s="206"/>
      <c r="N781" s="206"/>
      <c r="O781" s="206"/>
      <c r="P781" s="206"/>
      <c r="Q781" s="206"/>
      <c r="R781" s="206"/>
    </row>
    <row r="782" spans="1:18" ht="30.75" hidden="1" customHeight="1">
      <c r="A782" s="82" t="s">
        <v>169</v>
      </c>
      <c r="B782" s="84" t="s">
        <v>94</v>
      </c>
      <c r="C782" s="84" t="s">
        <v>26</v>
      </c>
      <c r="D782" s="84" t="s">
        <v>28</v>
      </c>
      <c r="E782" s="84" t="s">
        <v>829</v>
      </c>
      <c r="F782" s="84"/>
      <c r="G782" s="87">
        <f>G789</f>
        <v>0</v>
      </c>
      <c r="H782" s="87">
        <v>0</v>
      </c>
      <c r="I782" s="87">
        <v>0</v>
      </c>
      <c r="J782" s="177"/>
    </row>
    <row r="783" spans="1:18" ht="30.75" hidden="1" customHeight="1">
      <c r="A783" s="82" t="s">
        <v>36</v>
      </c>
      <c r="B783" s="84" t="s">
        <v>94</v>
      </c>
      <c r="C783" s="84" t="s">
        <v>26</v>
      </c>
      <c r="D783" s="84" t="s">
        <v>28</v>
      </c>
      <c r="E783" s="84" t="s">
        <v>571</v>
      </c>
      <c r="F783" s="84" t="s">
        <v>37</v>
      </c>
      <c r="G783" s="87">
        <f>G784</f>
        <v>6721909</v>
      </c>
      <c r="H783" s="87">
        <v>0</v>
      </c>
      <c r="I783" s="87">
        <v>0</v>
      </c>
      <c r="J783" s="177"/>
    </row>
    <row r="784" spans="1:18" ht="30.75" hidden="1" customHeight="1">
      <c r="A784" s="82" t="s">
        <v>38</v>
      </c>
      <c r="B784" s="84" t="s">
        <v>94</v>
      </c>
      <c r="C784" s="84" t="s">
        <v>26</v>
      </c>
      <c r="D784" s="84" t="s">
        <v>28</v>
      </c>
      <c r="E784" s="84" t="s">
        <v>571</v>
      </c>
      <c r="F784" s="84" t="s">
        <v>39</v>
      </c>
      <c r="G784" s="87">
        <f>'прил 5,'!G1255</f>
        <v>6721909</v>
      </c>
      <c r="H784" s="87">
        <v>0</v>
      </c>
      <c r="I784" s="87">
        <v>0</v>
      </c>
      <c r="J784" s="177"/>
    </row>
    <row r="785" spans="1:18" ht="23.25" hidden="1" customHeight="1">
      <c r="A785" s="82" t="s">
        <v>148</v>
      </c>
      <c r="B785" s="84" t="s">
        <v>94</v>
      </c>
      <c r="C785" s="84" t="s">
        <v>26</v>
      </c>
      <c r="D785" s="84" t="s">
        <v>28</v>
      </c>
      <c r="E785" s="84" t="s">
        <v>571</v>
      </c>
      <c r="F785" s="84" t="s">
        <v>149</v>
      </c>
      <c r="G785" s="87">
        <f>G786</f>
        <v>3461741</v>
      </c>
      <c r="H785" s="87">
        <v>0</v>
      </c>
      <c r="I785" s="87">
        <v>0</v>
      </c>
      <c r="J785" s="177"/>
    </row>
    <row r="786" spans="1:18" ht="30.75" hidden="1" customHeight="1">
      <c r="A786" s="82" t="s">
        <v>150</v>
      </c>
      <c r="B786" s="84" t="s">
        <v>94</v>
      </c>
      <c r="C786" s="84" t="s">
        <v>26</v>
      </c>
      <c r="D786" s="84" t="s">
        <v>28</v>
      </c>
      <c r="E786" s="84" t="s">
        <v>571</v>
      </c>
      <c r="F786" s="84" t="s">
        <v>151</v>
      </c>
      <c r="G786" s="87">
        <f>'прил 5,'!G683</f>
        <v>3461741</v>
      </c>
      <c r="H786" s="87">
        <v>0</v>
      </c>
      <c r="I786" s="87">
        <v>0</v>
      </c>
      <c r="J786" s="177"/>
    </row>
    <row r="787" spans="1:18" ht="21.75" hidden="1" customHeight="1">
      <c r="A787" s="82" t="s">
        <v>156</v>
      </c>
      <c r="B787" s="84" t="s">
        <v>94</v>
      </c>
      <c r="C787" s="84" t="s">
        <v>26</v>
      </c>
      <c r="D787" s="84" t="s">
        <v>28</v>
      </c>
      <c r="E787" s="84" t="s">
        <v>571</v>
      </c>
      <c r="F787" s="84" t="s">
        <v>157</v>
      </c>
      <c r="G787" s="87">
        <f>G788</f>
        <v>0</v>
      </c>
      <c r="H787" s="87">
        <v>0</v>
      </c>
      <c r="I787" s="87">
        <v>0</v>
      </c>
      <c r="J787" s="177"/>
    </row>
    <row r="788" spans="1:18" ht="22.5" hidden="1" customHeight="1">
      <c r="A788" s="82" t="s">
        <v>178</v>
      </c>
      <c r="B788" s="84" t="s">
        <v>94</v>
      </c>
      <c r="C788" s="84" t="s">
        <v>26</v>
      </c>
      <c r="D788" s="84" t="s">
        <v>28</v>
      </c>
      <c r="E788" s="84" t="s">
        <v>571</v>
      </c>
      <c r="F788" s="84" t="s">
        <v>179</v>
      </c>
      <c r="G788" s="87"/>
      <c r="H788" s="87">
        <v>0</v>
      </c>
      <c r="I788" s="87">
        <v>0</v>
      </c>
      <c r="J788" s="177"/>
    </row>
    <row r="789" spans="1:18" ht="25.5" hidden="1">
      <c r="A789" s="82" t="s">
        <v>30</v>
      </c>
      <c r="B789" s="84" t="s">
        <v>94</v>
      </c>
      <c r="C789" s="84" t="s">
        <v>26</v>
      </c>
      <c r="D789" s="84" t="s">
        <v>28</v>
      </c>
      <c r="E789" s="84" t="s">
        <v>829</v>
      </c>
      <c r="F789" s="84" t="s">
        <v>31</v>
      </c>
      <c r="G789" s="85">
        <f t="shared" ref="G789:I789" si="186">G790</f>
        <v>0</v>
      </c>
      <c r="H789" s="85">
        <f t="shared" si="186"/>
        <v>0</v>
      </c>
      <c r="I789" s="85">
        <f t="shared" si="186"/>
        <v>0</v>
      </c>
      <c r="J789" s="178"/>
    </row>
    <row r="790" spans="1:18" hidden="1">
      <c r="A790" s="82" t="s">
        <v>32</v>
      </c>
      <c r="B790" s="84" t="s">
        <v>94</v>
      </c>
      <c r="C790" s="84" t="s">
        <v>26</v>
      </c>
      <c r="D790" s="84" t="s">
        <v>28</v>
      </c>
      <c r="E790" s="84" t="s">
        <v>829</v>
      </c>
      <c r="F790" s="84" t="s">
        <v>33</v>
      </c>
      <c r="G790" s="85"/>
      <c r="H790" s="85"/>
      <c r="I790" s="85"/>
      <c r="J790" s="178"/>
    </row>
    <row r="791" spans="1:18" s="169" customFormat="1" ht="28.5" hidden="1" customHeight="1">
      <c r="A791" s="139" t="s">
        <v>484</v>
      </c>
      <c r="B791" s="84" t="s">
        <v>94</v>
      </c>
      <c r="C791" s="84" t="s">
        <v>26</v>
      </c>
      <c r="D791" s="84" t="s">
        <v>28</v>
      </c>
      <c r="E791" s="84" t="s">
        <v>195</v>
      </c>
      <c r="F791" s="84"/>
      <c r="G791" s="87">
        <f>G795</f>
        <v>0</v>
      </c>
      <c r="H791" s="87">
        <f t="shared" ref="H791:I791" si="187">H795</f>
        <v>0</v>
      </c>
      <c r="I791" s="87">
        <f t="shared" si="187"/>
        <v>0</v>
      </c>
      <c r="J791" s="177"/>
      <c r="K791" s="204"/>
      <c r="L791" s="204"/>
      <c r="M791" s="204"/>
      <c r="N791" s="204"/>
      <c r="O791" s="204"/>
      <c r="P791" s="204"/>
      <c r="Q791" s="204"/>
      <c r="R791" s="204"/>
    </row>
    <row r="792" spans="1:18" s="169" customFormat="1" ht="27.75" hidden="1" customHeight="1">
      <c r="A792" s="139" t="s">
        <v>73</v>
      </c>
      <c r="B792" s="84" t="s">
        <v>94</v>
      </c>
      <c r="C792" s="84" t="s">
        <v>26</v>
      </c>
      <c r="D792" s="84" t="s">
        <v>70</v>
      </c>
      <c r="E792" s="84" t="s">
        <v>206</v>
      </c>
      <c r="F792" s="84"/>
      <c r="G792" s="87">
        <f>G793</f>
        <v>0</v>
      </c>
      <c r="H792" s="87">
        <f t="shared" ref="H792:I792" si="188">H793</f>
        <v>0</v>
      </c>
      <c r="I792" s="87">
        <f t="shared" si="188"/>
        <v>0</v>
      </c>
      <c r="J792" s="177"/>
      <c r="K792" s="204"/>
      <c r="L792" s="204"/>
      <c r="M792" s="204"/>
      <c r="N792" s="204"/>
      <c r="O792" s="204"/>
      <c r="P792" s="204"/>
      <c r="Q792" s="204"/>
      <c r="R792" s="204"/>
    </row>
    <row r="793" spans="1:18" s="227" customFormat="1" ht="28.5" hidden="1" customHeight="1">
      <c r="A793" s="82" t="s">
        <v>36</v>
      </c>
      <c r="B793" s="84" t="s">
        <v>94</v>
      </c>
      <c r="C793" s="84" t="s">
        <v>26</v>
      </c>
      <c r="D793" s="84" t="s">
        <v>70</v>
      </c>
      <c r="E793" s="84" t="s">
        <v>206</v>
      </c>
      <c r="F793" s="84" t="s">
        <v>37</v>
      </c>
      <c r="G793" s="87">
        <f>G794</f>
        <v>0</v>
      </c>
      <c r="H793" s="87">
        <f>H794</f>
        <v>0</v>
      </c>
      <c r="I793" s="87">
        <f>I794</f>
        <v>0</v>
      </c>
      <c r="J793" s="177"/>
      <c r="K793" s="203"/>
      <c r="L793" s="203"/>
      <c r="M793" s="203"/>
      <c r="N793" s="203"/>
      <c r="O793" s="203"/>
      <c r="P793" s="203"/>
      <c r="Q793" s="203"/>
      <c r="R793" s="203"/>
    </row>
    <row r="794" spans="1:18" s="227" customFormat="1" hidden="1">
      <c r="A794" s="82"/>
      <c r="B794" s="84" t="s">
        <v>94</v>
      </c>
      <c r="C794" s="84" t="s">
        <v>26</v>
      </c>
      <c r="D794" s="84" t="s">
        <v>70</v>
      </c>
      <c r="E794" s="84"/>
      <c r="F794" s="84"/>
      <c r="G794" s="87"/>
      <c r="H794" s="87"/>
      <c r="I794" s="87"/>
      <c r="J794" s="177"/>
      <c r="K794" s="205"/>
      <c r="L794" s="203"/>
      <c r="M794" s="203"/>
      <c r="N794" s="203"/>
      <c r="O794" s="203"/>
      <c r="P794" s="203"/>
      <c r="Q794" s="203"/>
      <c r="R794" s="203"/>
    </row>
    <row r="795" spans="1:18" s="169" customFormat="1" ht="65.25" hidden="1" customHeight="1">
      <c r="A795" s="139" t="s">
        <v>984</v>
      </c>
      <c r="B795" s="84" t="s">
        <v>94</v>
      </c>
      <c r="C795" s="84" t="s">
        <v>26</v>
      </c>
      <c r="D795" s="84" t="s">
        <v>28</v>
      </c>
      <c r="E795" s="84" t="s">
        <v>960</v>
      </c>
      <c r="F795" s="84"/>
      <c r="G795" s="87">
        <f>G796</f>
        <v>0</v>
      </c>
      <c r="H795" s="87">
        <f t="shared" ref="H795:I795" si="189">H796</f>
        <v>0</v>
      </c>
      <c r="I795" s="87">
        <f t="shared" si="189"/>
        <v>0</v>
      </c>
      <c r="J795" s="177"/>
      <c r="K795" s="204"/>
      <c r="L795" s="204"/>
      <c r="M795" s="204"/>
      <c r="N795" s="204"/>
      <c r="O795" s="204"/>
      <c r="P795" s="204"/>
      <c r="Q795" s="204"/>
      <c r="R795" s="204"/>
    </row>
    <row r="796" spans="1:18" s="227" customFormat="1" ht="28.5" hidden="1" customHeight="1">
      <c r="A796" s="82" t="s">
        <v>30</v>
      </c>
      <c r="B796" s="84" t="s">
        <v>94</v>
      </c>
      <c r="C796" s="84" t="s">
        <v>26</v>
      </c>
      <c r="D796" s="84" t="s">
        <v>28</v>
      </c>
      <c r="E796" s="84" t="s">
        <v>960</v>
      </c>
      <c r="F796" s="84" t="s">
        <v>31</v>
      </c>
      <c r="G796" s="87">
        <f>G797</f>
        <v>0</v>
      </c>
      <c r="H796" s="87">
        <f>H797</f>
        <v>0</v>
      </c>
      <c r="I796" s="87">
        <f>I797</f>
        <v>0</v>
      </c>
      <c r="J796" s="177"/>
      <c r="K796" s="203"/>
      <c r="L796" s="203"/>
      <c r="M796" s="203"/>
      <c r="N796" s="203"/>
      <c r="O796" s="203"/>
      <c r="P796" s="203"/>
      <c r="Q796" s="203"/>
      <c r="R796" s="203"/>
    </row>
    <row r="797" spans="1:18" s="227" customFormat="1" hidden="1">
      <c r="A797" s="82" t="s">
        <v>32</v>
      </c>
      <c r="B797" s="84" t="s">
        <v>94</v>
      </c>
      <c r="C797" s="84" t="s">
        <v>26</v>
      </c>
      <c r="D797" s="84" t="s">
        <v>28</v>
      </c>
      <c r="E797" s="84" t="s">
        <v>960</v>
      </c>
      <c r="F797" s="84" t="s">
        <v>33</v>
      </c>
      <c r="G797" s="87">
        <v>0</v>
      </c>
      <c r="H797" s="87">
        <v>0</v>
      </c>
      <c r="I797" s="87">
        <v>0</v>
      </c>
      <c r="J797" s="177"/>
      <c r="K797" s="205"/>
      <c r="L797" s="203"/>
      <c r="M797" s="203"/>
      <c r="N797" s="203"/>
      <c r="O797" s="203"/>
      <c r="P797" s="203"/>
      <c r="Q797" s="203"/>
      <c r="R797" s="203"/>
    </row>
    <row r="798" spans="1:18" s="33" customFormat="1" ht="27" customHeight="1">
      <c r="A798" s="82" t="s">
        <v>98</v>
      </c>
      <c r="B798" s="149">
        <v>774</v>
      </c>
      <c r="C798" s="84" t="s">
        <v>26</v>
      </c>
      <c r="D798" s="84" t="s">
        <v>28</v>
      </c>
      <c r="E798" s="149" t="s">
        <v>210</v>
      </c>
      <c r="F798" s="84"/>
      <c r="G798" s="87">
        <f>G799+G802</f>
        <v>290000</v>
      </c>
      <c r="H798" s="87">
        <f t="shared" ref="H798:I799" si="190">H799</f>
        <v>0</v>
      </c>
      <c r="I798" s="87">
        <f t="shared" si="190"/>
        <v>0</v>
      </c>
      <c r="J798" s="177"/>
      <c r="K798" s="211"/>
      <c r="L798" s="211"/>
      <c r="M798" s="211"/>
      <c r="N798" s="211"/>
      <c r="O798" s="211"/>
      <c r="P798" s="211"/>
      <c r="Q798" s="211"/>
      <c r="R798" s="211"/>
    </row>
    <row r="799" spans="1:18" ht="19.5" customHeight="1">
      <c r="A799" s="82" t="s">
        <v>832</v>
      </c>
      <c r="B799" s="149">
        <v>774</v>
      </c>
      <c r="C799" s="84" t="s">
        <v>26</v>
      </c>
      <c r="D799" s="84" t="s">
        <v>28</v>
      </c>
      <c r="E799" s="84" t="s">
        <v>833</v>
      </c>
      <c r="F799" s="84"/>
      <c r="G799" s="87">
        <f>G800</f>
        <v>90000</v>
      </c>
      <c r="H799" s="87">
        <f t="shared" si="190"/>
        <v>0</v>
      </c>
      <c r="I799" s="87">
        <f t="shared" si="190"/>
        <v>0</v>
      </c>
      <c r="J799" s="177"/>
    </row>
    <row r="800" spans="1:18" ht="30.75" customHeight="1">
      <c r="A800" s="82" t="s">
        <v>30</v>
      </c>
      <c r="B800" s="149">
        <v>774</v>
      </c>
      <c r="C800" s="84" t="s">
        <v>26</v>
      </c>
      <c r="D800" s="84" t="s">
        <v>28</v>
      </c>
      <c r="E800" s="84" t="s">
        <v>833</v>
      </c>
      <c r="F800" s="84" t="s">
        <v>31</v>
      </c>
      <c r="G800" s="87">
        <f>G801</f>
        <v>90000</v>
      </c>
      <c r="H800" s="87">
        <f>H801</f>
        <v>0</v>
      </c>
      <c r="I800" s="87">
        <f>I801</f>
        <v>0</v>
      </c>
      <c r="J800" s="177"/>
    </row>
    <row r="801" spans="1:18" ht="18.75" customHeight="1">
      <c r="A801" s="82" t="s">
        <v>32</v>
      </c>
      <c r="B801" s="149">
        <v>774</v>
      </c>
      <c r="C801" s="84" t="s">
        <v>26</v>
      </c>
      <c r="D801" s="84" t="s">
        <v>28</v>
      </c>
      <c r="E801" s="84" t="s">
        <v>833</v>
      </c>
      <c r="F801" s="84" t="s">
        <v>33</v>
      </c>
      <c r="G801" s="87">
        <f>30000+60000</f>
        <v>90000</v>
      </c>
      <c r="H801" s="87">
        <v>0</v>
      </c>
      <c r="I801" s="87">
        <v>0</v>
      </c>
      <c r="J801" s="177"/>
    </row>
    <row r="802" spans="1:18" ht="19.5" customHeight="1">
      <c r="A802" s="82" t="s">
        <v>1046</v>
      </c>
      <c r="B802" s="149">
        <v>774</v>
      </c>
      <c r="C802" s="84" t="s">
        <v>26</v>
      </c>
      <c r="D802" s="84" t="s">
        <v>28</v>
      </c>
      <c r="E802" s="84" t="s">
        <v>1047</v>
      </c>
      <c r="F802" s="84"/>
      <c r="G802" s="87">
        <f>G803</f>
        <v>200000</v>
      </c>
      <c r="H802" s="87">
        <f t="shared" ref="H802:I802" si="191">H803</f>
        <v>0</v>
      </c>
      <c r="I802" s="87">
        <f t="shared" si="191"/>
        <v>0</v>
      </c>
      <c r="J802" s="177"/>
    </row>
    <row r="803" spans="1:18" ht="30.75" customHeight="1">
      <c r="A803" s="82" t="s">
        <v>30</v>
      </c>
      <c r="B803" s="149">
        <v>774</v>
      </c>
      <c r="C803" s="84" t="s">
        <v>26</v>
      </c>
      <c r="D803" s="84" t="s">
        <v>28</v>
      </c>
      <c r="E803" s="84" t="s">
        <v>1047</v>
      </c>
      <c r="F803" s="84" t="s">
        <v>31</v>
      </c>
      <c r="G803" s="87">
        <f>G804</f>
        <v>200000</v>
      </c>
      <c r="H803" s="87">
        <f>H804</f>
        <v>0</v>
      </c>
      <c r="I803" s="87">
        <f>I804</f>
        <v>0</v>
      </c>
      <c r="J803" s="177"/>
    </row>
    <row r="804" spans="1:18" ht="18.75" customHeight="1">
      <c r="A804" s="82" t="s">
        <v>32</v>
      </c>
      <c r="B804" s="149">
        <v>774</v>
      </c>
      <c r="C804" s="84" t="s">
        <v>26</v>
      </c>
      <c r="D804" s="84" t="s">
        <v>28</v>
      </c>
      <c r="E804" s="84" t="s">
        <v>1047</v>
      </c>
      <c r="F804" s="84" t="s">
        <v>33</v>
      </c>
      <c r="G804" s="87">
        <v>200000</v>
      </c>
      <c r="H804" s="87">
        <v>0</v>
      </c>
      <c r="I804" s="87">
        <v>0</v>
      </c>
      <c r="J804" s="177"/>
    </row>
    <row r="805" spans="1:18" s="33" customFormat="1" ht="27" customHeight="1">
      <c r="A805" s="82" t="s">
        <v>272</v>
      </c>
      <c r="B805" s="149">
        <v>774</v>
      </c>
      <c r="C805" s="84" t="s">
        <v>26</v>
      </c>
      <c r="D805" s="84" t="s">
        <v>28</v>
      </c>
      <c r="E805" s="149" t="s">
        <v>570</v>
      </c>
      <c r="F805" s="84"/>
      <c r="G805" s="87">
        <f>G806</f>
        <v>1132348</v>
      </c>
      <c r="H805" s="87">
        <f t="shared" ref="H805:I806" si="192">H806</f>
        <v>0</v>
      </c>
      <c r="I805" s="87">
        <f t="shared" si="192"/>
        <v>0</v>
      </c>
      <c r="J805" s="177"/>
      <c r="K805" s="211"/>
      <c r="L805" s="211"/>
      <c r="M805" s="211"/>
      <c r="N805" s="211"/>
      <c r="O805" s="211"/>
      <c r="P805" s="211"/>
      <c r="Q805" s="211"/>
      <c r="R805" s="211"/>
    </row>
    <row r="806" spans="1:18" ht="19.5" customHeight="1">
      <c r="A806" s="82" t="s">
        <v>272</v>
      </c>
      <c r="B806" s="149">
        <v>774</v>
      </c>
      <c r="C806" s="84" t="s">
        <v>26</v>
      </c>
      <c r="D806" s="84" t="s">
        <v>28</v>
      </c>
      <c r="E806" s="84" t="s">
        <v>571</v>
      </c>
      <c r="F806" s="84"/>
      <c r="G806" s="87">
        <f>G807</f>
        <v>1132348</v>
      </c>
      <c r="H806" s="87">
        <f t="shared" si="192"/>
        <v>0</v>
      </c>
      <c r="I806" s="87">
        <f t="shared" si="192"/>
        <v>0</v>
      </c>
      <c r="J806" s="177"/>
    </row>
    <row r="807" spans="1:18" ht="30.75" customHeight="1">
      <c r="A807" s="82" t="s">
        <v>30</v>
      </c>
      <c r="B807" s="149">
        <v>774</v>
      </c>
      <c r="C807" s="84" t="s">
        <v>26</v>
      </c>
      <c r="D807" s="84" t="s">
        <v>28</v>
      </c>
      <c r="E807" s="84" t="s">
        <v>571</v>
      </c>
      <c r="F807" s="84" t="s">
        <v>31</v>
      </c>
      <c r="G807" s="87">
        <f>G808</f>
        <v>1132348</v>
      </c>
      <c r="H807" s="87">
        <f>H808</f>
        <v>0</v>
      </c>
      <c r="I807" s="87">
        <f>I808</f>
        <v>0</v>
      </c>
      <c r="J807" s="177"/>
    </row>
    <row r="808" spans="1:18" ht="18.75" customHeight="1">
      <c r="A808" s="82" t="s">
        <v>32</v>
      </c>
      <c r="B808" s="149">
        <v>774</v>
      </c>
      <c r="C808" s="84" t="s">
        <v>26</v>
      </c>
      <c r="D808" s="84" t="s">
        <v>28</v>
      </c>
      <c r="E808" s="84" t="s">
        <v>571</v>
      </c>
      <c r="F808" s="84" t="s">
        <v>33</v>
      </c>
      <c r="G808" s="87">
        <v>1132348</v>
      </c>
      <c r="H808" s="87">
        <v>0</v>
      </c>
      <c r="I808" s="87">
        <v>0</v>
      </c>
      <c r="J808" s="177"/>
    </row>
    <row r="809" spans="1:18" ht="18.75" customHeight="1">
      <c r="A809" s="82" t="s">
        <v>95</v>
      </c>
      <c r="B809" s="149">
        <v>774</v>
      </c>
      <c r="C809" s="84" t="s">
        <v>26</v>
      </c>
      <c r="D809" s="84" t="s">
        <v>70</v>
      </c>
      <c r="E809" s="84"/>
      <c r="F809" s="149"/>
      <c r="G809" s="87">
        <f>G810+G873+G869+G881+G888+G908+G918+G922</f>
        <v>103376153.63000003</v>
      </c>
      <c r="H809" s="87">
        <f>H810+H873+H869+H881+H888+H908+H918+H922</f>
        <v>98534971.280000001</v>
      </c>
      <c r="I809" s="87">
        <f>I810+I873+I869+I881+I888+I908+I918+I922</f>
        <v>98766076.530000001</v>
      </c>
      <c r="J809" s="177"/>
    </row>
    <row r="810" spans="1:18" s="28" customFormat="1" ht="25.5">
      <c r="A810" s="82" t="s">
        <v>477</v>
      </c>
      <c r="B810" s="84" t="s">
        <v>94</v>
      </c>
      <c r="C810" s="84" t="s">
        <v>26</v>
      </c>
      <c r="D810" s="84" t="s">
        <v>70</v>
      </c>
      <c r="E810" s="84" t="s">
        <v>189</v>
      </c>
      <c r="F810" s="168"/>
      <c r="G810" s="87">
        <f>G811+G865+G846+G830</f>
        <v>99186717.630000025</v>
      </c>
      <c r="H810" s="87">
        <f t="shared" ref="H810:I810" si="193">H811+H865+H846+H830</f>
        <v>98534971.280000001</v>
      </c>
      <c r="I810" s="87">
        <f t="shared" si="193"/>
        <v>98766076.530000001</v>
      </c>
      <c r="J810" s="177"/>
      <c r="K810" s="204"/>
      <c r="L810" s="204"/>
      <c r="M810" s="204"/>
      <c r="N810" s="204"/>
      <c r="O810" s="204"/>
      <c r="P810" s="204"/>
      <c r="Q810" s="204"/>
      <c r="R810" s="204"/>
    </row>
    <row r="811" spans="1:18" ht="30.75" customHeight="1">
      <c r="A811" s="82" t="s">
        <v>90</v>
      </c>
      <c r="B811" s="84" t="s">
        <v>94</v>
      </c>
      <c r="C811" s="84" t="s">
        <v>26</v>
      </c>
      <c r="D811" s="84" t="s">
        <v>70</v>
      </c>
      <c r="E811" s="84" t="s">
        <v>215</v>
      </c>
      <c r="F811" s="84"/>
      <c r="G811" s="87">
        <f>G815+G818+G812+G836+G827+G833+G824+G821+G843</f>
        <v>98636778.690000027</v>
      </c>
      <c r="H811" s="87">
        <f t="shared" ref="H811:I811" si="194">H815+H818+H812+H836+H827+H833+H824+H821+H843</f>
        <v>97979045.280000001</v>
      </c>
      <c r="I811" s="87">
        <f t="shared" si="194"/>
        <v>96752900.530000001</v>
      </c>
      <c r="J811" s="177"/>
    </row>
    <row r="812" spans="1:18" ht="45" customHeight="1">
      <c r="A812" s="82" t="s">
        <v>3</v>
      </c>
      <c r="B812" s="84" t="s">
        <v>94</v>
      </c>
      <c r="C812" s="84" t="s">
        <v>26</v>
      </c>
      <c r="D812" s="84" t="s">
        <v>70</v>
      </c>
      <c r="E812" s="84" t="s">
        <v>912</v>
      </c>
      <c r="F812" s="84"/>
      <c r="G812" s="87">
        <f t="shared" ref="G812:I813" si="195">G813</f>
        <v>2517245.86</v>
      </c>
      <c r="H812" s="87">
        <f t="shared" si="195"/>
        <v>1195000</v>
      </c>
      <c r="I812" s="87">
        <f t="shared" si="195"/>
        <v>1341133</v>
      </c>
      <c r="J812" s="177"/>
    </row>
    <row r="813" spans="1:18" s="18" customFormat="1" ht="25.5">
      <c r="A813" s="82" t="s">
        <v>30</v>
      </c>
      <c r="B813" s="84" t="s">
        <v>94</v>
      </c>
      <c r="C813" s="84" t="s">
        <v>26</v>
      </c>
      <c r="D813" s="84" t="s">
        <v>70</v>
      </c>
      <c r="E813" s="84" t="s">
        <v>912</v>
      </c>
      <c r="F813" s="84" t="s">
        <v>31</v>
      </c>
      <c r="G813" s="87">
        <f t="shared" si="195"/>
        <v>2517245.86</v>
      </c>
      <c r="H813" s="87">
        <f t="shared" si="195"/>
        <v>1195000</v>
      </c>
      <c r="I813" s="87">
        <f t="shared" si="195"/>
        <v>1341133</v>
      </c>
      <c r="J813" s="177"/>
      <c r="K813" s="200"/>
      <c r="L813" s="200"/>
      <c r="M813" s="200"/>
      <c r="N813" s="200"/>
      <c r="O813" s="200"/>
      <c r="P813" s="200"/>
      <c r="Q813" s="200"/>
      <c r="R813" s="200"/>
    </row>
    <row r="814" spans="1:18" s="18" customFormat="1">
      <c r="A814" s="82" t="s">
        <v>32</v>
      </c>
      <c r="B814" s="84" t="s">
        <v>94</v>
      </c>
      <c r="C814" s="84" t="s">
        <v>26</v>
      </c>
      <c r="D814" s="84" t="s">
        <v>70</v>
      </c>
      <c r="E814" s="84" t="s">
        <v>912</v>
      </c>
      <c r="F814" s="84" t="s">
        <v>33</v>
      </c>
      <c r="G814" s="87">
        <v>2517245.86</v>
      </c>
      <c r="H814" s="87">
        <v>1195000</v>
      </c>
      <c r="I814" s="87">
        <v>1341133</v>
      </c>
      <c r="J814" s="177"/>
      <c r="K814" s="200"/>
      <c r="L814" s="200"/>
      <c r="M814" s="200"/>
      <c r="N814" s="200"/>
      <c r="O814" s="200"/>
      <c r="P814" s="200"/>
      <c r="Q814" s="200"/>
      <c r="R814" s="200"/>
    </row>
    <row r="815" spans="1:18" s="18" customFormat="1" ht="15" customHeight="1">
      <c r="A815" s="82" t="s">
        <v>91</v>
      </c>
      <c r="B815" s="84" t="s">
        <v>94</v>
      </c>
      <c r="C815" s="84" t="s">
        <v>26</v>
      </c>
      <c r="D815" s="84" t="s">
        <v>70</v>
      </c>
      <c r="E815" s="84" t="s">
        <v>134</v>
      </c>
      <c r="F815" s="84"/>
      <c r="G815" s="87">
        <f t="shared" ref="G815:I828" si="196">G816</f>
        <v>64378848.93</v>
      </c>
      <c r="H815" s="87">
        <f t="shared" si="196"/>
        <v>67049924.280000001</v>
      </c>
      <c r="I815" s="87">
        <f t="shared" si="196"/>
        <v>69810871.530000001</v>
      </c>
      <c r="J815" s="177"/>
      <c r="K815" s="200"/>
      <c r="L815" s="200"/>
      <c r="M815" s="200"/>
      <c r="N815" s="200"/>
      <c r="O815" s="200"/>
      <c r="P815" s="200"/>
      <c r="Q815" s="200"/>
      <c r="R815" s="200"/>
    </row>
    <row r="816" spans="1:18" s="18" customFormat="1" ht="25.5">
      <c r="A816" s="82" t="s">
        <v>30</v>
      </c>
      <c r="B816" s="84" t="s">
        <v>94</v>
      </c>
      <c r="C816" s="84" t="s">
        <v>26</v>
      </c>
      <c r="D816" s="84" t="s">
        <v>70</v>
      </c>
      <c r="E816" s="84" t="s">
        <v>134</v>
      </c>
      <c r="F816" s="84" t="s">
        <v>31</v>
      </c>
      <c r="G816" s="87">
        <f>G817</f>
        <v>64378848.93</v>
      </c>
      <c r="H816" s="87">
        <f t="shared" si="196"/>
        <v>67049924.280000001</v>
      </c>
      <c r="I816" s="87">
        <f t="shared" si="196"/>
        <v>69810871.530000001</v>
      </c>
      <c r="J816" s="177"/>
      <c r="K816" s="200"/>
      <c r="L816" s="200"/>
      <c r="M816" s="200"/>
      <c r="N816" s="200"/>
      <c r="O816" s="200"/>
      <c r="P816" s="200"/>
      <c r="Q816" s="200"/>
      <c r="R816" s="200"/>
    </row>
    <row r="817" spans="1:18" s="18" customFormat="1">
      <c r="A817" s="82" t="s">
        <v>32</v>
      </c>
      <c r="B817" s="84" t="s">
        <v>94</v>
      </c>
      <c r="C817" s="84" t="s">
        <v>26</v>
      </c>
      <c r="D817" s="84" t="s">
        <v>70</v>
      </c>
      <c r="E817" s="84" t="s">
        <v>134</v>
      </c>
      <c r="F817" s="84" t="s">
        <v>33</v>
      </c>
      <c r="G817" s="87">
        <f>64378849-0.07</f>
        <v>64378848.93</v>
      </c>
      <c r="H817" s="87">
        <f>67049924+0.28</f>
        <v>67049924.280000001</v>
      </c>
      <c r="I817" s="87">
        <f>69810872-0.47</f>
        <v>69810871.530000001</v>
      </c>
      <c r="J817" s="177"/>
      <c r="K817" s="200"/>
      <c r="L817" s="200"/>
      <c r="M817" s="200"/>
      <c r="N817" s="200"/>
      <c r="O817" s="200"/>
      <c r="P817" s="200"/>
      <c r="Q817" s="200"/>
      <c r="R817" s="200"/>
    </row>
    <row r="818" spans="1:18" ht="25.5">
      <c r="A818" s="82" t="s">
        <v>29</v>
      </c>
      <c r="B818" s="84" t="s">
        <v>94</v>
      </c>
      <c r="C818" s="84" t="s">
        <v>26</v>
      </c>
      <c r="D818" s="84" t="s">
        <v>70</v>
      </c>
      <c r="E818" s="84" t="s">
        <v>223</v>
      </c>
      <c r="F818" s="84"/>
      <c r="G818" s="87">
        <f t="shared" ref="G818:I819" si="197">G819</f>
        <v>17494146</v>
      </c>
      <c r="H818" s="87">
        <f t="shared" si="197"/>
        <v>15367283</v>
      </c>
      <c r="I818" s="87">
        <f t="shared" si="197"/>
        <v>11015458</v>
      </c>
      <c r="J818" s="177"/>
    </row>
    <row r="819" spans="1:18" ht="25.5">
      <c r="A819" s="82" t="s">
        <v>30</v>
      </c>
      <c r="B819" s="84" t="s">
        <v>94</v>
      </c>
      <c r="C819" s="84" t="s">
        <v>26</v>
      </c>
      <c r="D819" s="84" t="s">
        <v>70</v>
      </c>
      <c r="E819" s="84" t="s">
        <v>223</v>
      </c>
      <c r="F819" s="84" t="s">
        <v>31</v>
      </c>
      <c r="G819" s="87">
        <f t="shared" si="197"/>
        <v>17494146</v>
      </c>
      <c r="H819" s="87">
        <f t="shared" si="197"/>
        <v>15367283</v>
      </c>
      <c r="I819" s="87">
        <f t="shared" si="197"/>
        <v>11015458</v>
      </c>
      <c r="J819" s="177"/>
    </row>
    <row r="820" spans="1:18">
      <c r="A820" s="82" t="s">
        <v>32</v>
      </c>
      <c r="B820" s="84" t="s">
        <v>94</v>
      </c>
      <c r="C820" s="84" t="s">
        <v>26</v>
      </c>
      <c r="D820" s="84" t="s">
        <v>70</v>
      </c>
      <c r="E820" s="84" t="s">
        <v>223</v>
      </c>
      <c r="F820" s="84" t="s">
        <v>33</v>
      </c>
      <c r="G820" s="87">
        <v>17494146</v>
      </c>
      <c r="H820" s="87">
        <v>15367283</v>
      </c>
      <c r="I820" s="87">
        <v>11015458</v>
      </c>
      <c r="J820" s="177"/>
    </row>
    <row r="821" spans="1:18" s="18" customFormat="1">
      <c r="A821" s="82" t="s">
        <v>858</v>
      </c>
      <c r="B821" s="149">
        <v>774</v>
      </c>
      <c r="C821" s="84" t="s">
        <v>26</v>
      </c>
      <c r="D821" s="84" t="s">
        <v>70</v>
      </c>
      <c r="E821" s="84" t="s">
        <v>876</v>
      </c>
      <c r="F821" s="84"/>
      <c r="G821" s="87">
        <f t="shared" ref="G821:I822" si="198">G822</f>
        <v>81257.899999999994</v>
      </c>
      <c r="H821" s="87">
        <f t="shared" si="198"/>
        <v>48538</v>
      </c>
      <c r="I821" s="87">
        <f t="shared" si="198"/>
        <v>48538</v>
      </c>
      <c r="J821" s="177"/>
      <c r="K821" s="200"/>
      <c r="L821" s="200"/>
      <c r="M821" s="200"/>
      <c r="N821" s="200"/>
      <c r="O821" s="200"/>
      <c r="P821" s="200"/>
      <c r="Q821" s="200"/>
      <c r="R821" s="200"/>
    </row>
    <row r="822" spans="1:18" s="18" customFormat="1" ht="25.5">
      <c r="A822" s="82" t="s">
        <v>30</v>
      </c>
      <c r="B822" s="149">
        <v>774</v>
      </c>
      <c r="C822" s="84" t="s">
        <v>26</v>
      </c>
      <c r="D822" s="84" t="s">
        <v>70</v>
      </c>
      <c r="E822" s="84" t="s">
        <v>876</v>
      </c>
      <c r="F822" s="84" t="s">
        <v>31</v>
      </c>
      <c r="G822" s="87">
        <f t="shared" si="198"/>
        <v>81257.899999999994</v>
      </c>
      <c r="H822" s="87">
        <f t="shared" si="198"/>
        <v>48538</v>
      </c>
      <c r="I822" s="87">
        <f t="shared" si="198"/>
        <v>48538</v>
      </c>
      <c r="J822" s="177"/>
      <c r="K822" s="200"/>
      <c r="L822" s="200"/>
      <c r="M822" s="200"/>
      <c r="N822" s="200"/>
      <c r="O822" s="200"/>
      <c r="P822" s="200"/>
      <c r="Q822" s="200"/>
      <c r="R822" s="200"/>
    </row>
    <row r="823" spans="1:18" s="18" customFormat="1">
      <c r="A823" s="82" t="s">
        <v>32</v>
      </c>
      <c r="B823" s="149">
        <v>774</v>
      </c>
      <c r="C823" s="84" t="s">
        <v>26</v>
      </c>
      <c r="D823" s="84" t="s">
        <v>70</v>
      </c>
      <c r="E823" s="84" t="s">
        <v>876</v>
      </c>
      <c r="F823" s="84" t="s">
        <v>33</v>
      </c>
      <c r="G823" s="87">
        <f>109952.41-22367.74-6326.77</f>
        <v>81257.899999999994</v>
      </c>
      <c r="H823" s="87">
        <v>48538</v>
      </c>
      <c r="I823" s="87">
        <v>48538</v>
      </c>
      <c r="J823" s="177"/>
      <c r="K823" s="200"/>
      <c r="L823" s="200"/>
      <c r="M823" s="200"/>
      <c r="N823" s="200"/>
      <c r="O823" s="200"/>
      <c r="P823" s="200"/>
      <c r="Q823" s="200"/>
      <c r="R823" s="200"/>
    </row>
    <row r="824" spans="1:18" s="3" customFormat="1" ht="25.5" hidden="1">
      <c r="A824" s="82" t="s">
        <v>675</v>
      </c>
      <c r="B824" s="149">
        <v>774</v>
      </c>
      <c r="C824" s="84" t="s">
        <v>26</v>
      </c>
      <c r="D824" s="84" t="s">
        <v>70</v>
      </c>
      <c r="E824" s="84" t="s">
        <v>720</v>
      </c>
      <c r="F824" s="84"/>
      <c r="G824" s="87">
        <f t="shared" ref="G824:I825" si="199">G825</f>
        <v>0</v>
      </c>
      <c r="H824" s="87">
        <f t="shared" si="199"/>
        <v>0</v>
      </c>
      <c r="I824" s="87">
        <f t="shared" si="199"/>
        <v>0</v>
      </c>
      <c r="J824" s="177"/>
      <c r="K824" s="199"/>
      <c r="L824" s="199"/>
      <c r="M824" s="199"/>
      <c r="N824" s="199"/>
      <c r="O824" s="199"/>
      <c r="P824" s="199"/>
      <c r="Q824" s="199"/>
      <c r="R824" s="199"/>
    </row>
    <row r="825" spans="1:18" s="3" customFormat="1" ht="25.5" hidden="1">
      <c r="A825" s="82" t="s">
        <v>30</v>
      </c>
      <c r="B825" s="149">
        <v>774</v>
      </c>
      <c r="C825" s="84" t="s">
        <v>26</v>
      </c>
      <c r="D825" s="84" t="s">
        <v>70</v>
      </c>
      <c r="E825" s="84" t="s">
        <v>720</v>
      </c>
      <c r="F825" s="84" t="s">
        <v>31</v>
      </c>
      <c r="G825" s="87">
        <f t="shared" si="199"/>
        <v>0</v>
      </c>
      <c r="H825" s="87">
        <f t="shared" si="199"/>
        <v>0</v>
      </c>
      <c r="I825" s="87">
        <f t="shared" si="199"/>
        <v>0</v>
      </c>
      <c r="J825" s="177"/>
      <c r="K825" s="199"/>
      <c r="L825" s="199"/>
      <c r="M825" s="199"/>
      <c r="N825" s="199"/>
      <c r="O825" s="199"/>
      <c r="P825" s="199"/>
      <c r="Q825" s="199"/>
      <c r="R825" s="199"/>
    </row>
    <row r="826" spans="1:18" s="3" customFormat="1" hidden="1">
      <c r="A826" s="82" t="s">
        <v>32</v>
      </c>
      <c r="B826" s="149">
        <v>774</v>
      </c>
      <c r="C826" s="84" t="s">
        <v>26</v>
      </c>
      <c r="D826" s="84" t="s">
        <v>70</v>
      </c>
      <c r="E826" s="84" t="s">
        <v>720</v>
      </c>
      <c r="F826" s="84" t="s">
        <v>33</v>
      </c>
      <c r="G826" s="87"/>
      <c r="H826" s="87"/>
      <c r="I826" s="87"/>
      <c r="J826" s="177"/>
      <c r="K826" s="199"/>
      <c r="L826" s="199"/>
      <c r="M826" s="199"/>
      <c r="N826" s="199"/>
      <c r="O826" s="199"/>
      <c r="P826" s="199"/>
      <c r="Q826" s="199"/>
      <c r="R826" s="199"/>
    </row>
    <row r="827" spans="1:18" s="18" customFormat="1" ht="53.25" customHeight="1">
      <c r="A827" s="82" t="s">
        <v>637</v>
      </c>
      <c r="B827" s="84" t="s">
        <v>94</v>
      </c>
      <c r="C827" s="84" t="s">
        <v>26</v>
      </c>
      <c r="D827" s="84" t="s">
        <v>70</v>
      </c>
      <c r="E827" s="84" t="s">
        <v>636</v>
      </c>
      <c r="F827" s="84"/>
      <c r="G827" s="87">
        <f t="shared" si="196"/>
        <v>10919566.07</v>
      </c>
      <c r="H827" s="87">
        <f t="shared" si="196"/>
        <v>11053199.720000001</v>
      </c>
      <c r="I827" s="87">
        <f t="shared" si="196"/>
        <v>11215464.470000001</v>
      </c>
      <c r="J827" s="177"/>
      <c r="K827" s="200"/>
      <c r="L827" s="200"/>
      <c r="M827" s="200"/>
      <c r="N827" s="200"/>
      <c r="O827" s="200"/>
      <c r="P827" s="200"/>
      <c r="Q827" s="215"/>
      <c r="R827" s="200"/>
    </row>
    <row r="828" spans="1:18" s="18" customFormat="1" ht="25.5">
      <c r="A828" s="82" t="s">
        <v>30</v>
      </c>
      <c r="B828" s="84" t="s">
        <v>94</v>
      </c>
      <c r="C828" s="84" t="s">
        <v>26</v>
      </c>
      <c r="D828" s="84" t="s">
        <v>70</v>
      </c>
      <c r="E828" s="84" t="s">
        <v>636</v>
      </c>
      <c r="F828" s="84" t="s">
        <v>31</v>
      </c>
      <c r="G828" s="87">
        <f t="shared" si="196"/>
        <v>10919566.07</v>
      </c>
      <c r="H828" s="87">
        <f t="shared" si="196"/>
        <v>11053199.720000001</v>
      </c>
      <c r="I828" s="87">
        <f t="shared" si="196"/>
        <v>11215464.470000001</v>
      </c>
      <c r="J828" s="177"/>
      <c r="K828" s="200"/>
      <c r="L828" s="200"/>
      <c r="M828" s="200"/>
      <c r="N828" s="200"/>
      <c r="O828" s="200"/>
      <c r="P828" s="200"/>
      <c r="Q828" s="200"/>
      <c r="R828" s="200"/>
    </row>
    <row r="829" spans="1:18" s="18" customFormat="1">
      <c r="A829" s="82" t="s">
        <v>32</v>
      </c>
      <c r="B829" s="84" t="s">
        <v>94</v>
      </c>
      <c r="C829" s="84" t="s">
        <v>26</v>
      </c>
      <c r="D829" s="84" t="s">
        <v>70</v>
      </c>
      <c r="E829" s="84" t="s">
        <v>636</v>
      </c>
      <c r="F829" s="84" t="s">
        <v>33</v>
      </c>
      <c r="G829" s="87">
        <f>10919566+0.07</f>
        <v>10919566.07</v>
      </c>
      <c r="H829" s="87">
        <f>11053200-0.28</f>
        <v>11053199.720000001</v>
      </c>
      <c r="I829" s="87">
        <f>11215464+0.47</f>
        <v>11215464.470000001</v>
      </c>
      <c r="J829" s="177"/>
      <c r="K829" s="200"/>
      <c r="L829" s="200"/>
      <c r="M829" s="200"/>
      <c r="N829" s="200"/>
      <c r="O829" s="200"/>
      <c r="P829" s="200"/>
      <c r="Q829" s="200"/>
      <c r="R829" s="200"/>
    </row>
    <row r="830" spans="1:18" ht="16.5" hidden="1" customHeight="1">
      <c r="A830" s="82" t="s">
        <v>1</v>
      </c>
      <c r="B830" s="149">
        <v>774</v>
      </c>
      <c r="C830" s="84" t="s">
        <v>26</v>
      </c>
      <c r="D830" s="84" t="s">
        <v>70</v>
      </c>
      <c r="E830" s="84" t="s">
        <v>219</v>
      </c>
      <c r="F830" s="84"/>
      <c r="G830" s="87">
        <f t="shared" ref="G830:I831" si="200">G831</f>
        <v>0</v>
      </c>
      <c r="H830" s="87">
        <f t="shared" si="200"/>
        <v>0</v>
      </c>
      <c r="I830" s="87">
        <f t="shared" si="200"/>
        <v>0</v>
      </c>
      <c r="J830" s="177"/>
    </row>
    <row r="831" spans="1:18" ht="25.5" hidden="1">
      <c r="A831" s="82" t="s">
        <v>30</v>
      </c>
      <c r="B831" s="149">
        <v>774</v>
      </c>
      <c r="C831" s="84" t="s">
        <v>26</v>
      </c>
      <c r="D831" s="84" t="s">
        <v>70</v>
      </c>
      <c r="E831" s="84" t="s">
        <v>219</v>
      </c>
      <c r="F831" s="84" t="s">
        <v>31</v>
      </c>
      <c r="G831" s="87">
        <f t="shared" si="200"/>
        <v>0</v>
      </c>
      <c r="H831" s="87">
        <f t="shared" si="200"/>
        <v>0</v>
      </c>
      <c r="I831" s="87">
        <f t="shared" si="200"/>
        <v>0</v>
      </c>
      <c r="J831" s="177"/>
    </row>
    <row r="832" spans="1:18" ht="15" hidden="1" customHeight="1">
      <c r="A832" s="82" t="s">
        <v>32</v>
      </c>
      <c r="B832" s="149">
        <v>774</v>
      </c>
      <c r="C832" s="84" t="s">
        <v>26</v>
      </c>
      <c r="D832" s="84" t="s">
        <v>70</v>
      </c>
      <c r="E832" s="84" t="s">
        <v>219</v>
      </c>
      <c r="F832" s="84" t="s">
        <v>33</v>
      </c>
      <c r="G832" s="87">
        <f>310000+29000-339000</f>
        <v>0</v>
      </c>
      <c r="H832" s="87">
        <f>310000+29000-339000</f>
        <v>0</v>
      </c>
      <c r="I832" s="87">
        <f>310000+29000-339000</f>
        <v>0</v>
      </c>
      <c r="J832" s="177"/>
    </row>
    <row r="833" spans="1:18" s="18" customFormat="1" ht="53.25" hidden="1" customHeight="1">
      <c r="A833" s="82" t="s">
        <v>651</v>
      </c>
      <c r="B833" s="84" t="s">
        <v>94</v>
      </c>
      <c r="C833" s="84" t="s">
        <v>26</v>
      </c>
      <c r="D833" s="84" t="s">
        <v>70</v>
      </c>
      <c r="E833" s="84" t="s">
        <v>650</v>
      </c>
      <c r="F833" s="84"/>
      <c r="G833" s="87">
        <f t="shared" ref="G833:I834" si="201">G834</f>
        <v>0</v>
      </c>
      <c r="H833" s="87">
        <f t="shared" si="201"/>
        <v>0</v>
      </c>
      <c r="I833" s="87">
        <f t="shared" si="201"/>
        <v>0</v>
      </c>
      <c r="J833" s="177"/>
      <c r="K833" s="200"/>
      <c r="L833" s="200"/>
      <c r="M833" s="200"/>
      <c r="N833" s="200"/>
      <c r="O833" s="200"/>
      <c r="P833" s="200"/>
      <c r="Q833" s="200"/>
      <c r="R833" s="200"/>
    </row>
    <row r="834" spans="1:18" s="18" customFormat="1" ht="25.5" hidden="1">
      <c r="A834" s="82" t="s">
        <v>30</v>
      </c>
      <c r="B834" s="84" t="s">
        <v>94</v>
      </c>
      <c r="C834" s="84" t="s">
        <v>26</v>
      </c>
      <c r="D834" s="84" t="s">
        <v>70</v>
      </c>
      <c r="E834" s="84" t="s">
        <v>650</v>
      </c>
      <c r="F834" s="84" t="s">
        <v>31</v>
      </c>
      <c r="G834" s="87">
        <f t="shared" si="201"/>
        <v>0</v>
      </c>
      <c r="H834" s="87">
        <f t="shared" si="201"/>
        <v>0</v>
      </c>
      <c r="I834" s="87">
        <f t="shared" si="201"/>
        <v>0</v>
      </c>
      <c r="J834" s="177"/>
      <c r="K834" s="200"/>
      <c r="L834" s="200"/>
      <c r="M834" s="200"/>
      <c r="N834" s="200"/>
      <c r="O834" s="200"/>
      <c r="P834" s="200"/>
      <c r="Q834" s="200"/>
      <c r="R834" s="200"/>
    </row>
    <row r="835" spans="1:18" s="18" customFormat="1" hidden="1">
      <c r="A835" s="82" t="s">
        <v>32</v>
      </c>
      <c r="B835" s="84" t="s">
        <v>94</v>
      </c>
      <c r="C835" s="84" t="s">
        <v>26</v>
      </c>
      <c r="D835" s="84" t="s">
        <v>70</v>
      </c>
      <c r="E835" s="84" t="s">
        <v>650</v>
      </c>
      <c r="F835" s="84" t="s">
        <v>33</v>
      </c>
      <c r="G835" s="87"/>
      <c r="H835" s="87"/>
      <c r="I835" s="87"/>
      <c r="J835" s="177"/>
      <c r="K835" s="200"/>
      <c r="L835" s="200"/>
      <c r="M835" s="200"/>
      <c r="N835" s="200"/>
      <c r="O835" s="200"/>
      <c r="P835" s="200"/>
      <c r="Q835" s="200"/>
      <c r="R835" s="200"/>
    </row>
    <row r="836" spans="1:18" ht="39.75" customHeight="1">
      <c r="A836" s="82" t="s">
        <v>635</v>
      </c>
      <c r="B836" s="149">
        <v>774</v>
      </c>
      <c r="C836" s="84" t="s">
        <v>26</v>
      </c>
      <c r="D836" s="84" t="s">
        <v>70</v>
      </c>
      <c r="E836" s="84" t="s">
        <v>649</v>
      </c>
      <c r="F836" s="84"/>
      <c r="G836" s="87">
        <f>G837+G841</f>
        <v>3245713.93</v>
      </c>
      <c r="H836" s="87">
        <f t="shared" ref="H836:I836" si="202">H837+H841</f>
        <v>3265100.28</v>
      </c>
      <c r="I836" s="87">
        <f t="shared" si="202"/>
        <v>3321435.53</v>
      </c>
      <c r="J836" s="177"/>
    </row>
    <row r="837" spans="1:18" ht="34.5" customHeight="1">
      <c r="A837" s="82" t="s">
        <v>30</v>
      </c>
      <c r="B837" s="149">
        <v>774</v>
      </c>
      <c r="C837" s="84" t="s">
        <v>26</v>
      </c>
      <c r="D837" s="84" t="s">
        <v>70</v>
      </c>
      <c r="E837" s="84" t="s">
        <v>649</v>
      </c>
      <c r="F837" s="84" t="s">
        <v>31</v>
      </c>
      <c r="G837" s="87">
        <f>G838+G839+G840</f>
        <v>3171860.29</v>
      </c>
      <c r="H837" s="87">
        <f t="shared" ref="H837:I837" si="203">H838+H839+H840</f>
        <v>3190448.78</v>
      </c>
      <c r="I837" s="87">
        <f t="shared" si="203"/>
        <v>3245644.28</v>
      </c>
      <c r="J837" s="177"/>
    </row>
    <row r="838" spans="1:18" ht="15" customHeight="1">
      <c r="A838" s="82" t="s">
        <v>32</v>
      </c>
      <c r="B838" s="149">
        <v>774</v>
      </c>
      <c r="C838" s="84" t="s">
        <v>26</v>
      </c>
      <c r="D838" s="84" t="s">
        <v>70</v>
      </c>
      <c r="E838" s="84" t="s">
        <v>649</v>
      </c>
      <c r="F838" s="84" t="s">
        <v>33</v>
      </c>
      <c r="G838" s="87">
        <v>3024153.01</v>
      </c>
      <c r="H838" s="87">
        <v>3041145.78</v>
      </c>
      <c r="I838" s="87">
        <v>3094061.78</v>
      </c>
      <c r="J838" s="177"/>
    </row>
    <row r="839" spans="1:18" ht="15" customHeight="1">
      <c r="A839" s="82" t="s">
        <v>634</v>
      </c>
      <c r="B839" s="149">
        <v>774</v>
      </c>
      <c r="C839" s="84" t="s">
        <v>26</v>
      </c>
      <c r="D839" s="84" t="s">
        <v>70</v>
      </c>
      <c r="E839" s="84" t="s">
        <v>649</v>
      </c>
      <c r="F839" s="84" t="s">
        <v>633</v>
      </c>
      <c r="G839" s="87">
        <v>73853.64</v>
      </c>
      <c r="H839" s="87">
        <v>74651.5</v>
      </c>
      <c r="I839" s="87">
        <v>75791.25</v>
      </c>
      <c r="J839" s="177"/>
    </row>
    <row r="840" spans="1:18" ht="36" customHeight="1">
      <c r="A840" s="82" t="s">
        <v>9</v>
      </c>
      <c r="B840" s="149">
        <v>774</v>
      </c>
      <c r="C840" s="84" t="s">
        <v>26</v>
      </c>
      <c r="D840" s="84" t="s">
        <v>70</v>
      </c>
      <c r="E840" s="84" t="s">
        <v>649</v>
      </c>
      <c r="F840" s="84" t="s">
        <v>8</v>
      </c>
      <c r="G840" s="87">
        <v>73853.64</v>
      </c>
      <c r="H840" s="87">
        <v>74651.5</v>
      </c>
      <c r="I840" s="87">
        <v>75791.25</v>
      </c>
      <c r="J840" s="177"/>
    </row>
    <row r="841" spans="1:18" ht="15" customHeight="1">
      <c r="A841" s="82" t="s">
        <v>63</v>
      </c>
      <c r="B841" s="149">
        <v>774</v>
      </c>
      <c r="C841" s="84" t="s">
        <v>26</v>
      </c>
      <c r="D841" s="84" t="s">
        <v>70</v>
      </c>
      <c r="E841" s="84" t="s">
        <v>649</v>
      </c>
      <c r="F841" s="84" t="s">
        <v>64</v>
      </c>
      <c r="G841" s="87">
        <f>G842</f>
        <v>73853.64</v>
      </c>
      <c r="H841" s="87">
        <f t="shared" ref="H841:I841" si="204">H842</f>
        <v>74651.5</v>
      </c>
      <c r="I841" s="87">
        <f t="shared" si="204"/>
        <v>75791.25</v>
      </c>
      <c r="J841" s="177"/>
    </row>
    <row r="842" spans="1:18" ht="51.75" customHeight="1">
      <c r="A842" s="82" t="s">
        <v>432</v>
      </c>
      <c r="B842" s="149">
        <v>774</v>
      </c>
      <c r="C842" s="84" t="s">
        <v>26</v>
      </c>
      <c r="D842" s="84" t="s">
        <v>70</v>
      </c>
      <c r="E842" s="84" t="s">
        <v>649</v>
      </c>
      <c r="F842" s="84" t="s">
        <v>341</v>
      </c>
      <c r="G842" s="87">
        <v>73853.64</v>
      </c>
      <c r="H842" s="87">
        <v>74651.5</v>
      </c>
      <c r="I842" s="87">
        <v>75791.25</v>
      </c>
      <c r="J842" s="177"/>
    </row>
    <row r="843" spans="1:18" ht="16.5" hidden="1" customHeight="1">
      <c r="A843" s="82" t="s">
        <v>1</v>
      </c>
      <c r="B843" s="84" t="s">
        <v>94</v>
      </c>
      <c r="C843" s="84" t="s">
        <v>26</v>
      </c>
      <c r="D843" s="84" t="s">
        <v>70</v>
      </c>
      <c r="E843" s="84" t="s">
        <v>550</v>
      </c>
      <c r="F843" s="84"/>
      <c r="G843" s="87">
        <f t="shared" ref="G843:I843" si="205">G844</f>
        <v>0</v>
      </c>
      <c r="H843" s="87">
        <f t="shared" si="205"/>
        <v>0</v>
      </c>
      <c r="I843" s="87">
        <f t="shared" si="205"/>
        <v>0</v>
      </c>
      <c r="J843" s="177"/>
    </row>
    <row r="844" spans="1:18" ht="24.75" hidden="1" customHeight="1">
      <c r="A844" s="82" t="s">
        <v>30</v>
      </c>
      <c r="B844" s="84" t="s">
        <v>94</v>
      </c>
      <c r="C844" s="84" t="s">
        <v>26</v>
      </c>
      <c r="D844" s="84" t="s">
        <v>70</v>
      </c>
      <c r="E844" s="84" t="s">
        <v>550</v>
      </c>
      <c r="F844" s="84" t="s">
        <v>31</v>
      </c>
      <c r="G844" s="87">
        <f>G845</f>
        <v>0</v>
      </c>
      <c r="H844" s="87">
        <f>H845</f>
        <v>0</v>
      </c>
      <c r="I844" s="87">
        <f>I845</f>
        <v>0</v>
      </c>
      <c r="J844" s="177"/>
    </row>
    <row r="845" spans="1:18" hidden="1">
      <c r="A845" s="82" t="s">
        <v>32</v>
      </c>
      <c r="B845" s="84" t="s">
        <v>94</v>
      </c>
      <c r="C845" s="84" t="s">
        <v>26</v>
      </c>
      <c r="D845" s="84" t="s">
        <v>70</v>
      </c>
      <c r="E845" s="84" t="s">
        <v>550</v>
      </c>
      <c r="F845" s="84" t="s">
        <v>33</v>
      </c>
      <c r="G845" s="87"/>
      <c r="H845" s="87"/>
      <c r="I845" s="87"/>
      <c r="J845" s="177"/>
    </row>
    <row r="846" spans="1:18" ht="35.25" customHeight="1">
      <c r="A846" s="82" t="s">
        <v>0</v>
      </c>
      <c r="B846" s="149">
        <v>774</v>
      </c>
      <c r="C846" s="84" t="s">
        <v>26</v>
      </c>
      <c r="D846" s="84" t="s">
        <v>70</v>
      </c>
      <c r="E846" s="84" t="s">
        <v>218</v>
      </c>
      <c r="F846" s="84"/>
      <c r="G846" s="87">
        <f>G856+G859+G862+G853+G847+G850</f>
        <v>103926</v>
      </c>
      <c r="H846" s="87">
        <f t="shared" ref="H846:I846" si="206">H856+H859+H862+H853+H847+H850</f>
        <v>103926</v>
      </c>
      <c r="I846" s="87">
        <f t="shared" si="206"/>
        <v>1561176</v>
      </c>
      <c r="J846" s="177"/>
    </row>
    <row r="847" spans="1:18" ht="36" customHeight="1">
      <c r="A847" s="82" t="s">
        <v>1040</v>
      </c>
      <c r="B847" s="84" t="s">
        <v>94</v>
      </c>
      <c r="C847" s="84" t="s">
        <v>26</v>
      </c>
      <c r="D847" s="84" t="s">
        <v>70</v>
      </c>
      <c r="E847" s="84" t="s">
        <v>219</v>
      </c>
      <c r="F847" s="84"/>
      <c r="G847" s="87">
        <f t="shared" ref="G847:I847" si="207">G848</f>
        <v>0</v>
      </c>
      <c r="H847" s="87">
        <f t="shared" si="207"/>
        <v>0</v>
      </c>
      <c r="I847" s="87">
        <f t="shared" si="207"/>
        <v>0</v>
      </c>
      <c r="J847" s="177"/>
    </row>
    <row r="848" spans="1:18" ht="24.75" customHeight="1">
      <c r="A848" s="82" t="s">
        <v>30</v>
      </c>
      <c r="B848" s="84" t="s">
        <v>94</v>
      </c>
      <c r="C848" s="84" t="s">
        <v>26</v>
      </c>
      <c r="D848" s="84" t="s">
        <v>70</v>
      </c>
      <c r="E848" s="84" t="s">
        <v>219</v>
      </c>
      <c r="F848" s="84" t="s">
        <v>31</v>
      </c>
      <c r="G848" s="87">
        <f>G849</f>
        <v>0</v>
      </c>
      <c r="H848" s="87">
        <f>H849</f>
        <v>0</v>
      </c>
      <c r="I848" s="87">
        <f>I849</f>
        <v>0</v>
      </c>
      <c r="J848" s="177"/>
    </row>
    <row r="849" spans="1:18">
      <c r="A849" s="82" t="s">
        <v>32</v>
      </c>
      <c r="B849" s="84" t="s">
        <v>94</v>
      </c>
      <c r="C849" s="84" t="s">
        <v>26</v>
      </c>
      <c r="D849" s="84" t="s">
        <v>70</v>
      </c>
      <c r="E849" s="84" t="s">
        <v>219</v>
      </c>
      <c r="F849" s="84" t="s">
        <v>33</v>
      </c>
      <c r="G849" s="87">
        <f>1363506-1363506</f>
        <v>0</v>
      </c>
      <c r="H849" s="87"/>
      <c r="I849" s="87"/>
      <c r="J849" s="177"/>
    </row>
    <row r="850" spans="1:18" s="3" customFormat="1" ht="25.5">
      <c r="A850" s="82" t="s">
        <v>1013</v>
      </c>
      <c r="B850" s="149">
        <v>774</v>
      </c>
      <c r="C850" s="84" t="s">
        <v>26</v>
      </c>
      <c r="D850" s="84" t="s">
        <v>70</v>
      </c>
      <c r="E850" s="84" t="s">
        <v>1011</v>
      </c>
      <c r="F850" s="84"/>
      <c r="G850" s="87">
        <f t="shared" ref="G850:I851" si="208">G851</f>
        <v>0</v>
      </c>
      <c r="H850" s="87">
        <f t="shared" si="208"/>
        <v>0</v>
      </c>
      <c r="I850" s="87">
        <f t="shared" si="208"/>
        <v>1457250</v>
      </c>
      <c r="J850" s="177"/>
      <c r="K850" s="199"/>
      <c r="L850" s="199"/>
      <c r="M850" s="199"/>
      <c r="N850" s="199"/>
      <c r="O850" s="199"/>
      <c r="P850" s="199"/>
      <c r="Q850" s="199"/>
      <c r="R850" s="199"/>
    </row>
    <row r="851" spans="1:18" s="3" customFormat="1" ht="25.5">
      <c r="A851" s="82" t="s">
        <v>30</v>
      </c>
      <c r="B851" s="149">
        <v>774</v>
      </c>
      <c r="C851" s="84" t="s">
        <v>26</v>
      </c>
      <c r="D851" s="84" t="s">
        <v>70</v>
      </c>
      <c r="E851" s="84" t="s">
        <v>1011</v>
      </c>
      <c r="F851" s="84" t="s">
        <v>31</v>
      </c>
      <c r="G851" s="87">
        <f t="shared" si="208"/>
        <v>0</v>
      </c>
      <c r="H851" s="87">
        <f t="shared" si="208"/>
        <v>0</v>
      </c>
      <c r="I851" s="87">
        <f t="shared" si="208"/>
        <v>1457250</v>
      </c>
      <c r="J851" s="177"/>
      <c r="K851" s="199"/>
      <c r="L851" s="199"/>
      <c r="M851" s="199"/>
      <c r="N851" s="199"/>
      <c r="O851" s="199"/>
      <c r="P851" s="199"/>
      <c r="Q851" s="199"/>
      <c r="R851" s="199"/>
    </row>
    <row r="852" spans="1:18" s="3" customFormat="1">
      <c r="A852" s="82" t="s">
        <v>32</v>
      </c>
      <c r="B852" s="149">
        <v>774</v>
      </c>
      <c r="C852" s="84" t="s">
        <v>26</v>
      </c>
      <c r="D852" s="84" t="s">
        <v>70</v>
      </c>
      <c r="E852" s="84" t="s">
        <v>1011</v>
      </c>
      <c r="F852" s="84" t="s">
        <v>33</v>
      </c>
      <c r="G852" s="87">
        <v>0</v>
      </c>
      <c r="H852" s="87">
        <v>0</v>
      </c>
      <c r="I852" s="87">
        <v>1457250</v>
      </c>
      <c r="J852" s="177"/>
      <c r="K852" s="199"/>
      <c r="L852" s="199"/>
      <c r="M852" s="199"/>
      <c r="N852" s="199"/>
      <c r="O852" s="199"/>
      <c r="P852" s="199"/>
      <c r="Q852" s="199"/>
      <c r="R852" s="199"/>
    </row>
    <row r="853" spans="1:18" s="3" customFormat="1" ht="25.5">
      <c r="A853" s="82" t="s">
        <v>294</v>
      </c>
      <c r="B853" s="149">
        <v>774</v>
      </c>
      <c r="C853" s="84" t="s">
        <v>26</v>
      </c>
      <c r="D853" s="84" t="s">
        <v>70</v>
      </c>
      <c r="E853" s="84" t="s">
        <v>293</v>
      </c>
      <c r="F853" s="84"/>
      <c r="G853" s="87">
        <f t="shared" ref="G853:I854" si="209">G854</f>
        <v>103926</v>
      </c>
      <c r="H853" s="87">
        <f t="shared" si="209"/>
        <v>103926</v>
      </c>
      <c r="I853" s="87">
        <f t="shared" si="209"/>
        <v>103926</v>
      </c>
      <c r="J853" s="177"/>
      <c r="K853" s="199"/>
      <c r="L853" s="199"/>
      <c r="M853" s="199"/>
      <c r="N853" s="199"/>
      <c r="O853" s="199"/>
      <c r="P853" s="199"/>
      <c r="Q853" s="199"/>
      <c r="R853" s="199"/>
    </row>
    <row r="854" spans="1:18" s="3" customFormat="1" ht="25.5">
      <c r="A854" s="82" t="s">
        <v>30</v>
      </c>
      <c r="B854" s="149">
        <v>774</v>
      </c>
      <c r="C854" s="84" t="s">
        <v>26</v>
      </c>
      <c r="D854" s="84" t="s">
        <v>70</v>
      </c>
      <c r="E854" s="84" t="s">
        <v>293</v>
      </c>
      <c r="F854" s="84" t="s">
        <v>31</v>
      </c>
      <c r="G854" s="87">
        <f t="shared" si="209"/>
        <v>103926</v>
      </c>
      <c r="H854" s="87">
        <f t="shared" si="209"/>
        <v>103926</v>
      </c>
      <c r="I854" s="87">
        <f t="shared" si="209"/>
        <v>103926</v>
      </c>
      <c r="J854" s="177"/>
      <c r="K854" s="199"/>
      <c r="L854" s="199"/>
      <c r="M854" s="199"/>
      <c r="N854" s="199"/>
      <c r="O854" s="199"/>
      <c r="P854" s="199"/>
      <c r="Q854" s="199"/>
      <c r="R854" s="199"/>
    </row>
    <row r="855" spans="1:18" s="3" customFormat="1">
      <c r="A855" s="82" t="s">
        <v>32</v>
      </c>
      <c r="B855" s="149">
        <v>774</v>
      </c>
      <c r="C855" s="84" t="s">
        <v>26</v>
      </c>
      <c r="D855" s="84" t="s">
        <v>70</v>
      </c>
      <c r="E855" s="84" t="s">
        <v>293</v>
      </c>
      <c r="F855" s="84" t="s">
        <v>33</v>
      </c>
      <c r="G855" s="87">
        <v>103926</v>
      </c>
      <c r="H855" s="87">
        <v>103926</v>
      </c>
      <c r="I855" s="87">
        <v>103926</v>
      </c>
      <c r="J855" s="177"/>
      <c r="K855" s="199"/>
      <c r="L855" s="199"/>
      <c r="M855" s="199"/>
      <c r="N855" s="199"/>
      <c r="O855" s="199"/>
      <c r="P855" s="199"/>
      <c r="Q855" s="199"/>
      <c r="R855" s="199"/>
    </row>
    <row r="856" spans="1:18" s="3" customFormat="1" hidden="1">
      <c r="A856" s="82" t="s">
        <v>1</v>
      </c>
      <c r="B856" s="149">
        <v>774</v>
      </c>
      <c r="C856" s="84" t="s">
        <v>26</v>
      </c>
      <c r="D856" s="84" t="s">
        <v>70</v>
      </c>
      <c r="E856" s="84" t="s">
        <v>219</v>
      </c>
      <c r="F856" s="84"/>
      <c r="G856" s="87">
        <f t="shared" ref="G856:I857" si="210">G857</f>
        <v>0</v>
      </c>
      <c r="H856" s="87">
        <f t="shared" si="210"/>
        <v>0</v>
      </c>
      <c r="I856" s="87">
        <f t="shared" si="210"/>
        <v>0</v>
      </c>
      <c r="J856" s="177"/>
      <c r="K856" s="199"/>
      <c r="L856" s="199"/>
      <c r="M856" s="199"/>
      <c r="N856" s="199"/>
      <c r="O856" s="199"/>
      <c r="P856" s="199"/>
      <c r="Q856" s="199"/>
      <c r="R856" s="199"/>
    </row>
    <row r="857" spans="1:18" s="3" customFormat="1" ht="25.5" hidden="1">
      <c r="A857" s="82" t="s">
        <v>30</v>
      </c>
      <c r="B857" s="149">
        <v>774</v>
      </c>
      <c r="C857" s="84" t="s">
        <v>26</v>
      </c>
      <c r="D857" s="84" t="s">
        <v>70</v>
      </c>
      <c r="E857" s="84" t="s">
        <v>219</v>
      </c>
      <c r="F857" s="84" t="s">
        <v>31</v>
      </c>
      <c r="G857" s="87">
        <f t="shared" si="210"/>
        <v>0</v>
      </c>
      <c r="H857" s="87">
        <f t="shared" si="210"/>
        <v>0</v>
      </c>
      <c r="I857" s="87">
        <f t="shared" si="210"/>
        <v>0</v>
      </c>
      <c r="J857" s="177"/>
      <c r="K857" s="199"/>
      <c r="L857" s="199"/>
      <c r="M857" s="199"/>
      <c r="N857" s="199"/>
      <c r="O857" s="199"/>
      <c r="P857" s="199"/>
      <c r="Q857" s="199"/>
      <c r="R857" s="199"/>
    </row>
    <row r="858" spans="1:18" s="3" customFormat="1" hidden="1">
      <c r="A858" s="82" t="s">
        <v>32</v>
      </c>
      <c r="B858" s="149">
        <v>774</v>
      </c>
      <c r="C858" s="84" t="s">
        <v>26</v>
      </c>
      <c r="D858" s="84" t="s">
        <v>70</v>
      </c>
      <c r="E858" s="84" t="s">
        <v>219</v>
      </c>
      <c r="F858" s="84" t="s">
        <v>33</v>
      </c>
      <c r="G858" s="87"/>
      <c r="H858" s="87"/>
      <c r="I858" s="87"/>
      <c r="J858" s="177"/>
      <c r="K858" s="199"/>
      <c r="L858" s="199"/>
      <c r="M858" s="199"/>
      <c r="N858" s="199"/>
      <c r="O858" s="199"/>
      <c r="P858" s="199"/>
      <c r="Q858" s="199"/>
      <c r="R858" s="199"/>
    </row>
    <row r="859" spans="1:18" s="3" customFormat="1" ht="25.5" hidden="1">
      <c r="A859" s="82" t="s">
        <v>294</v>
      </c>
      <c r="B859" s="149">
        <v>774</v>
      </c>
      <c r="C859" s="84" t="s">
        <v>26</v>
      </c>
      <c r="D859" s="84" t="s">
        <v>70</v>
      </c>
      <c r="E859" s="84" t="s">
        <v>293</v>
      </c>
      <c r="F859" s="84"/>
      <c r="G859" s="87">
        <f t="shared" ref="G859:I860" si="211">G860</f>
        <v>0</v>
      </c>
      <c r="H859" s="87">
        <f t="shared" si="211"/>
        <v>0</v>
      </c>
      <c r="I859" s="87">
        <f t="shared" si="211"/>
        <v>0</v>
      </c>
      <c r="J859" s="177"/>
      <c r="K859" s="199"/>
      <c r="L859" s="199"/>
      <c r="M859" s="199"/>
      <c r="N859" s="199"/>
      <c r="O859" s="199"/>
      <c r="P859" s="199"/>
      <c r="Q859" s="199"/>
      <c r="R859" s="199"/>
    </row>
    <row r="860" spans="1:18" s="3" customFormat="1" ht="25.5" hidden="1">
      <c r="A860" s="82" t="s">
        <v>30</v>
      </c>
      <c r="B860" s="149">
        <v>774</v>
      </c>
      <c r="C860" s="84" t="s">
        <v>26</v>
      </c>
      <c r="D860" s="84" t="s">
        <v>70</v>
      </c>
      <c r="E860" s="84" t="s">
        <v>293</v>
      </c>
      <c r="F860" s="84" t="s">
        <v>31</v>
      </c>
      <c r="G860" s="87">
        <f t="shared" si="211"/>
        <v>0</v>
      </c>
      <c r="H860" s="87">
        <f t="shared" si="211"/>
        <v>0</v>
      </c>
      <c r="I860" s="87">
        <f t="shared" si="211"/>
        <v>0</v>
      </c>
      <c r="J860" s="177"/>
      <c r="K860" s="199"/>
      <c r="L860" s="199"/>
      <c r="M860" s="199"/>
      <c r="N860" s="199"/>
      <c r="O860" s="199"/>
      <c r="P860" s="199"/>
      <c r="Q860" s="199"/>
      <c r="R860" s="199"/>
    </row>
    <row r="861" spans="1:18" s="3" customFormat="1" hidden="1">
      <c r="A861" s="82" t="s">
        <v>32</v>
      </c>
      <c r="B861" s="149">
        <v>774</v>
      </c>
      <c r="C861" s="84" t="s">
        <v>26</v>
      </c>
      <c r="D861" s="84" t="s">
        <v>70</v>
      </c>
      <c r="E861" s="84" t="s">
        <v>293</v>
      </c>
      <c r="F861" s="84" t="s">
        <v>33</v>
      </c>
      <c r="G861" s="87"/>
      <c r="H861" s="87"/>
      <c r="I861" s="87"/>
      <c r="J861" s="177"/>
      <c r="K861" s="199"/>
      <c r="L861" s="199"/>
      <c r="M861" s="199"/>
      <c r="N861" s="199"/>
      <c r="O861" s="199"/>
      <c r="P861" s="199"/>
      <c r="Q861" s="199"/>
      <c r="R861" s="199"/>
    </row>
    <row r="862" spans="1:18" s="3" customFormat="1" ht="51.75" hidden="1" customHeight="1">
      <c r="A862" s="82" t="s">
        <v>726</v>
      </c>
      <c r="B862" s="149">
        <v>774</v>
      </c>
      <c r="C862" s="84" t="s">
        <v>26</v>
      </c>
      <c r="D862" s="84" t="s">
        <v>70</v>
      </c>
      <c r="E862" s="84" t="s">
        <v>727</v>
      </c>
      <c r="F862" s="84"/>
      <c r="G862" s="87">
        <f t="shared" ref="G862:I863" si="212">G863</f>
        <v>0</v>
      </c>
      <c r="H862" s="87">
        <f t="shared" si="212"/>
        <v>0</v>
      </c>
      <c r="I862" s="87">
        <f t="shared" si="212"/>
        <v>0</v>
      </c>
      <c r="J862" s="177"/>
      <c r="K862" s="199"/>
      <c r="L862" s="199"/>
      <c r="M862" s="199"/>
      <c r="N862" s="199"/>
      <c r="O862" s="199"/>
      <c r="P862" s="199"/>
      <c r="Q862" s="199"/>
      <c r="R862" s="199"/>
    </row>
    <row r="863" spans="1:18" s="3" customFormat="1" ht="25.5" hidden="1">
      <c r="A863" s="82" t="s">
        <v>30</v>
      </c>
      <c r="B863" s="149">
        <v>774</v>
      </c>
      <c r="C863" s="84" t="s">
        <v>26</v>
      </c>
      <c r="D863" s="84" t="s">
        <v>70</v>
      </c>
      <c r="E863" s="84" t="s">
        <v>727</v>
      </c>
      <c r="F863" s="84" t="s">
        <v>31</v>
      </c>
      <c r="G863" s="87">
        <f t="shared" si="212"/>
        <v>0</v>
      </c>
      <c r="H863" s="87">
        <f t="shared" si="212"/>
        <v>0</v>
      </c>
      <c r="I863" s="87">
        <f t="shared" si="212"/>
        <v>0</v>
      </c>
      <c r="J863" s="177"/>
      <c r="K863" s="199"/>
      <c r="L863" s="199"/>
      <c r="M863" s="199"/>
      <c r="N863" s="199"/>
      <c r="O863" s="199"/>
      <c r="P863" s="199"/>
      <c r="Q863" s="199"/>
      <c r="R863" s="199"/>
    </row>
    <row r="864" spans="1:18" s="3" customFormat="1" hidden="1">
      <c r="A864" s="82" t="s">
        <v>32</v>
      </c>
      <c r="B864" s="149">
        <v>774</v>
      </c>
      <c r="C864" s="84" t="s">
        <v>26</v>
      </c>
      <c r="D864" s="84" t="s">
        <v>70</v>
      </c>
      <c r="E864" s="84" t="s">
        <v>727</v>
      </c>
      <c r="F864" s="84" t="s">
        <v>33</v>
      </c>
      <c r="G864" s="87"/>
      <c r="H864" s="87"/>
      <c r="I864" s="87"/>
      <c r="J864" s="177"/>
      <c r="K864" s="199"/>
      <c r="L864" s="199"/>
      <c r="M864" s="199"/>
      <c r="N864" s="199"/>
      <c r="O864" s="199"/>
      <c r="P864" s="199"/>
      <c r="Q864" s="199"/>
      <c r="R864" s="199"/>
    </row>
    <row r="865" spans="1:18" ht="25.5">
      <c r="A865" s="82" t="s">
        <v>24</v>
      </c>
      <c r="B865" s="84" t="s">
        <v>94</v>
      </c>
      <c r="C865" s="84" t="s">
        <v>26</v>
      </c>
      <c r="D865" s="84" t="s">
        <v>70</v>
      </c>
      <c r="E865" s="84" t="s">
        <v>224</v>
      </c>
      <c r="F865" s="84"/>
      <c r="G865" s="87">
        <f t="shared" ref="G865:I867" si="213">G866</f>
        <v>446012.94</v>
      </c>
      <c r="H865" s="87">
        <f t="shared" si="213"/>
        <v>452000</v>
      </c>
      <c r="I865" s="87">
        <f t="shared" si="213"/>
        <v>452000</v>
      </c>
      <c r="J865" s="177"/>
    </row>
    <row r="866" spans="1:18" ht="27" customHeight="1">
      <c r="A866" s="82" t="s">
        <v>142</v>
      </c>
      <c r="B866" s="84" t="s">
        <v>94</v>
      </c>
      <c r="C866" s="84" t="s">
        <v>26</v>
      </c>
      <c r="D866" s="84" t="s">
        <v>70</v>
      </c>
      <c r="E866" s="84" t="s">
        <v>225</v>
      </c>
      <c r="F866" s="84"/>
      <c r="G866" s="87">
        <f t="shared" si="213"/>
        <v>446012.94</v>
      </c>
      <c r="H866" s="87">
        <f t="shared" si="213"/>
        <v>452000</v>
      </c>
      <c r="I866" s="87">
        <f t="shared" si="213"/>
        <v>452000</v>
      </c>
      <c r="J866" s="177"/>
    </row>
    <row r="867" spans="1:18" ht="25.5">
      <c r="A867" s="82" t="s">
        <v>30</v>
      </c>
      <c r="B867" s="84" t="s">
        <v>94</v>
      </c>
      <c r="C867" s="84" t="s">
        <v>26</v>
      </c>
      <c r="D867" s="84" t="s">
        <v>70</v>
      </c>
      <c r="E867" s="84" t="s">
        <v>225</v>
      </c>
      <c r="F867" s="84" t="s">
        <v>31</v>
      </c>
      <c r="G867" s="87">
        <f t="shared" si="213"/>
        <v>446012.94</v>
      </c>
      <c r="H867" s="87">
        <f t="shared" si="213"/>
        <v>452000</v>
      </c>
      <c r="I867" s="87">
        <f t="shared" si="213"/>
        <v>452000</v>
      </c>
      <c r="J867" s="177"/>
    </row>
    <row r="868" spans="1:18">
      <c r="A868" s="82" t="s">
        <v>32</v>
      </c>
      <c r="B868" s="84" t="s">
        <v>94</v>
      </c>
      <c r="C868" s="84" t="s">
        <v>26</v>
      </c>
      <c r="D868" s="84" t="s">
        <v>70</v>
      </c>
      <c r="E868" s="84" t="s">
        <v>225</v>
      </c>
      <c r="F868" s="84" t="s">
        <v>33</v>
      </c>
      <c r="G868" s="87">
        <f>452000-5987.06</f>
        <v>446012.94</v>
      </c>
      <c r="H868" s="87">
        <v>452000</v>
      </c>
      <c r="I868" s="87">
        <v>452000</v>
      </c>
      <c r="J868" s="177"/>
    </row>
    <row r="869" spans="1:18" ht="35.25" hidden="1" customHeight="1">
      <c r="A869" s="139" t="s">
        <v>484</v>
      </c>
      <c r="B869" s="84" t="s">
        <v>94</v>
      </c>
      <c r="C869" s="84" t="s">
        <v>26</v>
      </c>
      <c r="D869" s="84" t="s">
        <v>70</v>
      </c>
      <c r="E869" s="84" t="s">
        <v>195</v>
      </c>
      <c r="F869" s="84"/>
      <c r="G869" s="87">
        <f>G870</f>
        <v>0</v>
      </c>
      <c r="H869" s="87">
        <f t="shared" ref="H869:I869" si="214">H870</f>
        <v>0</v>
      </c>
      <c r="I869" s="87">
        <f t="shared" si="214"/>
        <v>0</v>
      </c>
      <c r="J869" s="177"/>
    </row>
    <row r="870" spans="1:18" ht="36" hidden="1" customHeight="1">
      <c r="A870" s="82" t="s">
        <v>618</v>
      </c>
      <c r="B870" s="84" t="s">
        <v>94</v>
      </c>
      <c r="C870" s="84" t="s">
        <v>26</v>
      </c>
      <c r="D870" s="84" t="s">
        <v>70</v>
      </c>
      <c r="E870" s="84" t="s">
        <v>546</v>
      </c>
      <c r="F870" s="84"/>
      <c r="G870" s="87">
        <f>G871</f>
        <v>0</v>
      </c>
      <c r="H870" s="87">
        <f>H871+H873</f>
        <v>0</v>
      </c>
      <c r="I870" s="87">
        <f>I871+I873</f>
        <v>0</v>
      </c>
      <c r="J870" s="177"/>
    </row>
    <row r="871" spans="1:18" ht="25.5" hidden="1">
      <c r="A871" s="82" t="s">
        <v>30</v>
      </c>
      <c r="B871" s="84" t="s">
        <v>94</v>
      </c>
      <c r="C871" s="84" t="s">
        <v>26</v>
      </c>
      <c r="D871" s="84" t="s">
        <v>70</v>
      </c>
      <c r="E871" s="84" t="s">
        <v>546</v>
      </c>
      <c r="F871" s="84" t="s">
        <v>31</v>
      </c>
      <c r="G871" s="87">
        <f>G872</f>
        <v>0</v>
      </c>
      <c r="H871" s="87">
        <f>H872</f>
        <v>0</v>
      </c>
      <c r="I871" s="87">
        <f>I872</f>
        <v>0</v>
      </c>
      <c r="J871" s="177"/>
    </row>
    <row r="872" spans="1:18" ht="19.5" hidden="1" customHeight="1">
      <c r="A872" s="82" t="s">
        <v>32</v>
      </c>
      <c r="B872" s="84" t="s">
        <v>94</v>
      </c>
      <c r="C872" s="84" t="s">
        <v>26</v>
      </c>
      <c r="D872" s="84" t="s">
        <v>70</v>
      </c>
      <c r="E872" s="84" t="s">
        <v>546</v>
      </c>
      <c r="F872" s="84" t="s">
        <v>33</v>
      </c>
      <c r="G872" s="87"/>
      <c r="H872" s="87"/>
      <c r="I872" s="87"/>
      <c r="J872" s="177"/>
    </row>
    <row r="873" spans="1:18" ht="47.25" hidden="1" customHeight="1">
      <c r="A873" s="82" t="s">
        <v>459</v>
      </c>
      <c r="B873" s="84" t="s">
        <v>94</v>
      </c>
      <c r="C873" s="84" t="s">
        <v>26</v>
      </c>
      <c r="D873" s="84" t="s">
        <v>70</v>
      </c>
      <c r="E873" s="84" t="s">
        <v>458</v>
      </c>
      <c r="F873" s="84"/>
      <c r="G873" s="87">
        <f>G874</f>
        <v>0</v>
      </c>
      <c r="H873" s="87">
        <f>H874</f>
        <v>0</v>
      </c>
      <c r="I873" s="87">
        <f>I874</f>
        <v>0</v>
      </c>
      <c r="J873" s="177"/>
    </row>
    <row r="874" spans="1:18" ht="74.25" hidden="1" customHeight="1">
      <c r="A874" s="82" t="s">
        <v>612</v>
      </c>
      <c r="B874" s="84" t="s">
        <v>94</v>
      </c>
      <c r="C874" s="84" t="s">
        <v>26</v>
      </c>
      <c r="D874" s="84" t="s">
        <v>70</v>
      </c>
      <c r="E874" s="84" t="s">
        <v>611</v>
      </c>
      <c r="F874" s="84"/>
      <c r="G874" s="87">
        <f>G875</f>
        <v>0</v>
      </c>
      <c r="H874" s="87">
        <f t="shared" ref="H874:I875" si="215">H875</f>
        <v>0</v>
      </c>
      <c r="I874" s="87">
        <f t="shared" si="215"/>
        <v>0</v>
      </c>
      <c r="J874" s="177"/>
    </row>
    <row r="875" spans="1:18" ht="31.5" hidden="1" customHeight="1">
      <c r="A875" s="82" t="s">
        <v>30</v>
      </c>
      <c r="B875" s="84" t="s">
        <v>94</v>
      </c>
      <c r="C875" s="84" t="s">
        <v>26</v>
      </c>
      <c r="D875" s="84" t="s">
        <v>70</v>
      </c>
      <c r="E875" s="84" t="s">
        <v>611</v>
      </c>
      <c r="F875" s="84" t="s">
        <v>31</v>
      </c>
      <c r="G875" s="87">
        <f>G876</f>
        <v>0</v>
      </c>
      <c r="H875" s="87">
        <f t="shared" si="215"/>
        <v>0</v>
      </c>
      <c r="I875" s="87">
        <f t="shared" si="215"/>
        <v>0</v>
      </c>
      <c r="J875" s="177"/>
    </row>
    <row r="876" spans="1:18" ht="17.25" hidden="1" customHeight="1">
      <c r="A876" s="82" t="s">
        <v>32</v>
      </c>
      <c r="B876" s="84" t="s">
        <v>94</v>
      </c>
      <c r="C876" s="84" t="s">
        <v>26</v>
      </c>
      <c r="D876" s="84" t="s">
        <v>70</v>
      </c>
      <c r="E876" s="84" t="s">
        <v>611</v>
      </c>
      <c r="F876" s="84" t="s">
        <v>33</v>
      </c>
      <c r="G876" s="87"/>
      <c r="H876" s="127"/>
      <c r="I876" s="127"/>
      <c r="J876" s="198"/>
    </row>
    <row r="877" spans="1:18" s="28" customFormat="1" ht="28.5" hidden="1" customHeight="1">
      <c r="A877" s="139"/>
      <c r="B877" s="149"/>
      <c r="C877" s="84"/>
      <c r="D877" s="84"/>
      <c r="E877" s="84"/>
      <c r="F877" s="84"/>
      <c r="G877" s="87"/>
      <c r="H877" s="87"/>
      <c r="I877" s="87"/>
      <c r="J877" s="177"/>
      <c r="K877" s="204"/>
      <c r="L877" s="204"/>
      <c r="M877" s="204"/>
      <c r="N877" s="204"/>
      <c r="O877" s="204"/>
      <c r="P877" s="204"/>
      <c r="Q877" s="204"/>
      <c r="R877" s="204"/>
    </row>
    <row r="878" spans="1:18" s="28" customFormat="1" ht="27.75" hidden="1" customHeight="1">
      <c r="A878" s="139"/>
      <c r="B878" s="149"/>
      <c r="C878" s="84"/>
      <c r="D878" s="84"/>
      <c r="E878" s="84"/>
      <c r="F878" s="84"/>
      <c r="G878" s="87"/>
      <c r="H878" s="87"/>
      <c r="I878" s="87"/>
      <c r="J878" s="177"/>
      <c r="K878" s="204"/>
      <c r="L878" s="204"/>
      <c r="M878" s="204"/>
      <c r="N878" s="204"/>
      <c r="O878" s="204"/>
      <c r="P878" s="204"/>
      <c r="Q878" s="204"/>
      <c r="R878" s="204"/>
    </row>
    <row r="879" spans="1:18" s="32" customFormat="1" ht="28.5" hidden="1" customHeight="1">
      <c r="A879" s="82"/>
      <c r="B879" s="149"/>
      <c r="C879" s="84"/>
      <c r="D879" s="84"/>
      <c r="E879" s="84"/>
      <c r="F879" s="84"/>
      <c r="G879" s="87"/>
      <c r="H879" s="87"/>
      <c r="I879" s="87"/>
      <c r="J879" s="177"/>
      <c r="K879" s="203"/>
      <c r="L879" s="203"/>
      <c r="M879" s="203"/>
      <c r="N879" s="203"/>
      <c r="O879" s="203"/>
      <c r="P879" s="203"/>
      <c r="Q879" s="203"/>
      <c r="R879" s="203"/>
    </row>
    <row r="880" spans="1:18" s="32" customFormat="1" hidden="1">
      <c r="A880" s="82"/>
      <c r="B880" s="149"/>
      <c r="C880" s="84"/>
      <c r="D880" s="84"/>
      <c r="E880" s="84"/>
      <c r="F880" s="84"/>
      <c r="G880" s="87"/>
      <c r="H880" s="87"/>
      <c r="I880" s="87"/>
      <c r="J880" s="177"/>
      <c r="K880" s="205"/>
      <c r="L880" s="203"/>
      <c r="M880" s="203"/>
      <c r="N880" s="203"/>
      <c r="O880" s="203"/>
      <c r="P880" s="203"/>
      <c r="Q880" s="203"/>
      <c r="R880" s="203"/>
    </row>
    <row r="881" spans="1:18" s="28" customFormat="1" ht="28.5" hidden="1" customHeight="1">
      <c r="A881" s="139" t="s">
        <v>484</v>
      </c>
      <c r="B881" s="84" t="s">
        <v>94</v>
      </c>
      <c r="C881" s="84" t="s">
        <v>26</v>
      </c>
      <c r="D881" s="84" t="s">
        <v>70</v>
      </c>
      <c r="E881" s="84" t="s">
        <v>195</v>
      </c>
      <c r="F881" s="84"/>
      <c r="G881" s="87">
        <f>G882+G885</f>
        <v>0</v>
      </c>
      <c r="H881" s="87">
        <f>H882</f>
        <v>0</v>
      </c>
      <c r="I881" s="87">
        <f>I882</f>
        <v>0</v>
      </c>
      <c r="J881" s="177"/>
      <c r="K881" s="204"/>
      <c r="L881" s="204"/>
      <c r="M881" s="204"/>
      <c r="N881" s="204"/>
      <c r="O881" s="204"/>
      <c r="P881" s="204"/>
      <c r="Q881" s="204"/>
      <c r="R881" s="204"/>
    </row>
    <row r="882" spans="1:18" s="28" customFormat="1" ht="27.75" hidden="1" customHeight="1">
      <c r="A882" s="139" t="s">
        <v>702</v>
      </c>
      <c r="B882" s="84" t="s">
        <v>94</v>
      </c>
      <c r="C882" s="84" t="s">
        <v>26</v>
      </c>
      <c r="D882" s="84" t="s">
        <v>70</v>
      </c>
      <c r="E882" s="84" t="s">
        <v>701</v>
      </c>
      <c r="F882" s="84"/>
      <c r="G882" s="87">
        <f>G883</f>
        <v>0</v>
      </c>
      <c r="H882" s="87">
        <f t="shared" ref="H882:I882" si="216">H883</f>
        <v>0</v>
      </c>
      <c r="I882" s="87">
        <f t="shared" si="216"/>
        <v>0</v>
      </c>
      <c r="J882" s="177"/>
      <c r="K882" s="204"/>
      <c r="L882" s="204"/>
      <c r="M882" s="204"/>
      <c r="N882" s="204"/>
      <c r="O882" s="204"/>
      <c r="P882" s="204"/>
      <c r="Q882" s="204"/>
      <c r="R882" s="204"/>
    </row>
    <row r="883" spans="1:18" s="32" customFormat="1" ht="28.5" hidden="1" customHeight="1">
      <c r="A883" s="82" t="s">
        <v>30</v>
      </c>
      <c r="B883" s="84" t="s">
        <v>94</v>
      </c>
      <c r="C883" s="84" t="s">
        <v>26</v>
      </c>
      <c r="D883" s="84" t="s">
        <v>70</v>
      </c>
      <c r="E883" s="84" t="s">
        <v>701</v>
      </c>
      <c r="F883" s="84" t="s">
        <v>31</v>
      </c>
      <c r="G883" s="87">
        <f>G884</f>
        <v>0</v>
      </c>
      <c r="H883" s="87">
        <f>H884</f>
        <v>0</v>
      </c>
      <c r="I883" s="87">
        <f>I884</f>
        <v>0</v>
      </c>
      <c r="J883" s="177"/>
      <c r="K883" s="203"/>
      <c r="L883" s="203"/>
      <c r="M883" s="203"/>
      <c r="N883" s="203"/>
      <c r="O883" s="203"/>
      <c r="P883" s="203"/>
      <c r="Q883" s="203"/>
      <c r="R883" s="203"/>
    </row>
    <row r="884" spans="1:18" s="32" customFormat="1" hidden="1">
      <c r="A884" s="82" t="s">
        <v>32</v>
      </c>
      <c r="B884" s="84" t="s">
        <v>94</v>
      </c>
      <c r="C884" s="84" t="s">
        <v>26</v>
      </c>
      <c r="D884" s="84" t="s">
        <v>70</v>
      </c>
      <c r="E884" s="84" t="s">
        <v>701</v>
      </c>
      <c r="F884" s="84" t="s">
        <v>33</v>
      </c>
      <c r="G884" s="87"/>
      <c r="H884" s="87">
        <v>0</v>
      </c>
      <c r="I884" s="87">
        <v>0</v>
      </c>
      <c r="J884" s="177"/>
      <c r="K884" s="205"/>
      <c r="L884" s="203"/>
      <c r="M884" s="203"/>
      <c r="N884" s="203"/>
      <c r="O884" s="203"/>
      <c r="P884" s="203"/>
      <c r="Q884" s="203"/>
      <c r="R884" s="203"/>
    </row>
    <row r="885" spans="1:18" s="28" customFormat="1" ht="27.75" hidden="1" customHeight="1">
      <c r="A885" s="139" t="s">
        <v>618</v>
      </c>
      <c r="B885" s="84" t="s">
        <v>94</v>
      </c>
      <c r="C885" s="84" t="s">
        <v>26</v>
      </c>
      <c r="D885" s="84" t="s">
        <v>70</v>
      </c>
      <c r="E885" s="84" t="s">
        <v>546</v>
      </c>
      <c r="F885" s="84"/>
      <c r="G885" s="87">
        <f>G886</f>
        <v>0</v>
      </c>
      <c r="H885" s="87">
        <f t="shared" ref="H885:I885" si="217">H886</f>
        <v>0</v>
      </c>
      <c r="I885" s="87">
        <f t="shared" si="217"/>
        <v>0</v>
      </c>
      <c r="J885" s="177"/>
      <c r="K885" s="204"/>
      <c r="L885" s="204"/>
      <c r="M885" s="204"/>
      <c r="N885" s="204"/>
      <c r="O885" s="204"/>
      <c r="P885" s="204"/>
      <c r="Q885" s="204"/>
      <c r="R885" s="204"/>
    </row>
    <row r="886" spans="1:18" s="32" customFormat="1" ht="28.5" hidden="1" customHeight="1">
      <c r="A886" s="82" t="s">
        <v>30</v>
      </c>
      <c r="B886" s="84" t="s">
        <v>94</v>
      </c>
      <c r="C886" s="84" t="s">
        <v>26</v>
      </c>
      <c r="D886" s="84" t="s">
        <v>70</v>
      </c>
      <c r="E886" s="84" t="s">
        <v>546</v>
      </c>
      <c r="F886" s="84" t="s">
        <v>31</v>
      </c>
      <c r="G886" s="87">
        <f>G887</f>
        <v>0</v>
      </c>
      <c r="H886" s="87">
        <f>H887</f>
        <v>0</v>
      </c>
      <c r="I886" s="87">
        <f>I887</f>
        <v>0</v>
      </c>
      <c r="J886" s="177"/>
      <c r="K886" s="203"/>
      <c r="L886" s="203"/>
      <c r="M886" s="203"/>
      <c r="N886" s="203"/>
      <c r="O886" s="203"/>
      <c r="P886" s="203"/>
      <c r="Q886" s="203"/>
      <c r="R886" s="203"/>
    </row>
    <row r="887" spans="1:18" s="32" customFormat="1" hidden="1">
      <c r="A887" s="82" t="s">
        <v>32</v>
      </c>
      <c r="B887" s="84" t="s">
        <v>94</v>
      </c>
      <c r="C887" s="84" t="s">
        <v>26</v>
      </c>
      <c r="D887" s="84" t="s">
        <v>70</v>
      </c>
      <c r="E887" s="84" t="s">
        <v>546</v>
      </c>
      <c r="F887" s="84" t="s">
        <v>33</v>
      </c>
      <c r="G887" s="87"/>
      <c r="H887" s="87">
        <v>0</v>
      </c>
      <c r="I887" s="87">
        <v>0</v>
      </c>
      <c r="J887" s="177"/>
      <c r="K887" s="205"/>
      <c r="L887" s="203"/>
      <c r="M887" s="203"/>
      <c r="N887" s="203"/>
      <c r="O887" s="203"/>
      <c r="P887" s="203"/>
      <c r="Q887" s="203"/>
      <c r="R887" s="203"/>
    </row>
    <row r="888" spans="1:18" s="165" customFormat="1" ht="30.75" hidden="1" customHeight="1">
      <c r="A888" s="139" t="s">
        <v>272</v>
      </c>
      <c r="B888" s="271">
        <v>774</v>
      </c>
      <c r="C888" s="84" t="s">
        <v>26</v>
      </c>
      <c r="D888" s="84" t="s">
        <v>70</v>
      </c>
      <c r="E888" s="84" t="s">
        <v>570</v>
      </c>
      <c r="F888" s="84"/>
      <c r="G888" s="87">
        <f>G889</f>
        <v>0</v>
      </c>
      <c r="H888" s="272">
        <v>0</v>
      </c>
      <c r="I888" s="272">
        <v>0</v>
      </c>
      <c r="J888" s="193"/>
      <c r="K888" s="206"/>
      <c r="L888" s="206"/>
      <c r="M888" s="206"/>
      <c r="N888" s="206"/>
      <c r="O888" s="206"/>
      <c r="P888" s="206"/>
      <c r="Q888" s="206"/>
      <c r="R888" s="206"/>
    </row>
    <row r="889" spans="1:18" ht="25.5" hidden="1">
      <c r="A889" s="82" t="s">
        <v>30</v>
      </c>
      <c r="B889" s="84" t="s">
        <v>94</v>
      </c>
      <c r="C889" s="84" t="s">
        <v>26</v>
      </c>
      <c r="D889" s="84" t="s">
        <v>70</v>
      </c>
      <c r="E889" s="84" t="s">
        <v>571</v>
      </c>
      <c r="F889" s="84" t="s">
        <v>31</v>
      </c>
      <c r="G889" s="85">
        <f t="shared" ref="G889:I889" si="218">G890</f>
        <v>0</v>
      </c>
      <c r="H889" s="85">
        <f t="shared" si="218"/>
        <v>0</v>
      </c>
      <c r="I889" s="85">
        <f t="shared" si="218"/>
        <v>0</v>
      </c>
      <c r="J889" s="178"/>
    </row>
    <row r="890" spans="1:18" hidden="1">
      <c r="A890" s="82" t="s">
        <v>32</v>
      </c>
      <c r="B890" s="84" t="s">
        <v>94</v>
      </c>
      <c r="C890" s="84" t="s">
        <v>26</v>
      </c>
      <c r="D890" s="84" t="s">
        <v>70</v>
      </c>
      <c r="E890" s="84" t="s">
        <v>571</v>
      </c>
      <c r="F890" s="84" t="s">
        <v>33</v>
      </c>
      <c r="G890" s="85"/>
      <c r="H890" s="85">
        <v>0</v>
      </c>
      <c r="I890" s="85">
        <v>0</v>
      </c>
      <c r="J890" s="178"/>
    </row>
    <row r="891" spans="1:18" s="32" customFormat="1" ht="17.25" hidden="1" customHeight="1">
      <c r="A891" s="275"/>
      <c r="B891" s="84"/>
      <c r="C891" s="156"/>
      <c r="D891" s="156"/>
      <c r="E891" s="156"/>
      <c r="F891" s="156"/>
      <c r="G891" s="157"/>
      <c r="H891" s="157"/>
      <c r="I891" s="157"/>
      <c r="J891" s="196"/>
      <c r="K891" s="203"/>
      <c r="L891" s="203"/>
      <c r="M891" s="203"/>
      <c r="N891" s="203"/>
      <c r="O891" s="203"/>
      <c r="P891" s="203"/>
      <c r="Q891" s="203"/>
      <c r="R891" s="203"/>
    </row>
    <row r="892" spans="1:18" s="32" customFormat="1" ht="17.25" hidden="1" customHeight="1">
      <c r="A892" s="276" t="s">
        <v>495</v>
      </c>
      <c r="B892" s="84" t="s">
        <v>94</v>
      </c>
      <c r="C892" s="84" t="s">
        <v>72</v>
      </c>
      <c r="D892" s="84" t="s">
        <v>19</v>
      </c>
      <c r="E892" s="156"/>
      <c r="F892" s="156"/>
      <c r="G892" s="157">
        <f>G893+G903</f>
        <v>0</v>
      </c>
      <c r="H892" s="157">
        <f>H893+H903</f>
        <v>0</v>
      </c>
      <c r="I892" s="157">
        <f>I893+I903</f>
        <v>0</v>
      </c>
      <c r="J892" s="196"/>
      <c r="K892" s="203"/>
      <c r="L892" s="203"/>
      <c r="M892" s="203"/>
      <c r="N892" s="203"/>
      <c r="O892" s="203"/>
      <c r="P892" s="203"/>
      <c r="Q892" s="203"/>
      <c r="R892" s="203"/>
    </row>
    <row r="893" spans="1:18" ht="27.75" hidden="1" customHeight="1">
      <c r="A893" s="139" t="s">
        <v>484</v>
      </c>
      <c r="B893" s="84" t="s">
        <v>94</v>
      </c>
      <c r="C893" s="84" t="s">
        <v>72</v>
      </c>
      <c r="D893" s="84" t="s">
        <v>19</v>
      </c>
      <c r="E893" s="84" t="s">
        <v>195</v>
      </c>
      <c r="F893" s="84"/>
      <c r="G893" s="87">
        <f>G895+G898+G900</f>
        <v>0</v>
      </c>
      <c r="H893" s="87">
        <f>H895+H898+H900</f>
        <v>0</v>
      </c>
      <c r="I893" s="87">
        <f>I895+I898+I900</f>
        <v>0</v>
      </c>
      <c r="J893" s="177"/>
    </row>
    <row r="894" spans="1:18" ht="19.5" hidden="1" customHeight="1">
      <c r="A894" s="82" t="s">
        <v>32</v>
      </c>
      <c r="B894" s="84" t="s">
        <v>94</v>
      </c>
      <c r="C894" s="84" t="s">
        <v>72</v>
      </c>
      <c r="D894" s="84" t="s">
        <v>19</v>
      </c>
      <c r="E894" s="84" t="s">
        <v>40</v>
      </c>
      <c r="F894" s="84" t="s">
        <v>33</v>
      </c>
      <c r="G894" s="87"/>
      <c r="H894" s="87"/>
      <c r="I894" s="87"/>
      <c r="J894" s="177"/>
    </row>
    <row r="895" spans="1:18" ht="39" hidden="1" customHeight="1">
      <c r="A895" s="82" t="s">
        <v>112</v>
      </c>
      <c r="B895" s="84" t="s">
        <v>94</v>
      </c>
      <c r="C895" s="84" t="s">
        <v>72</v>
      </c>
      <c r="D895" s="84" t="s">
        <v>19</v>
      </c>
      <c r="E895" s="84" t="s">
        <v>196</v>
      </c>
      <c r="F895" s="84"/>
      <c r="G895" s="87">
        <f>G896</f>
        <v>0</v>
      </c>
      <c r="H895" s="87">
        <f t="shared" ref="H895:I895" si="219">H896</f>
        <v>0</v>
      </c>
      <c r="I895" s="87">
        <f t="shared" si="219"/>
        <v>0</v>
      </c>
      <c r="J895" s="177"/>
    </row>
    <row r="896" spans="1:18" ht="25.5" hidden="1">
      <c r="A896" s="82" t="s">
        <v>30</v>
      </c>
      <c r="B896" s="84" t="s">
        <v>94</v>
      </c>
      <c r="C896" s="84" t="s">
        <v>72</v>
      </c>
      <c r="D896" s="84" t="s">
        <v>19</v>
      </c>
      <c r="E896" s="84" t="s">
        <v>196</v>
      </c>
      <c r="F896" s="84" t="s">
        <v>31</v>
      </c>
      <c r="G896" s="87">
        <f>G897</f>
        <v>0</v>
      </c>
      <c r="H896" s="87">
        <f>H897</f>
        <v>0</v>
      </c>
      <c r="I896" s="87">
        <f>I897</f>
        <v>0</v>
      </c>
      <c r="J896" s="177"/>
    </row>
    <row r="897" spans="1:18" ht="19.5" hidden="1" customHeight="1">
      <c r="A897" s="82" t="s">
        <v>32</v>
      </c>
      <c r="B897" s="84" t="s">
        <v>94</v>
      </c>
      <c r="C897" s="84" t="s">
        <v>72</v>
      </c>
      <c r="D897" s="84" t="s">
        <v>19</v>
      </c>
      <c r="E897" s="84" t="s">
        <v>196</v>
      </c>
      <c r="F897" s="84" t="s">
        <v>33</v>
      </c>
      <c r="G897" s="87"/>
      <c r="H897" s="87"/>
      <c r="I897" s="87"/>
      <c r="J897" s="177"/>
    </row>
    <row r="898" spans="1:18" s="32" customFormat="1" ht="25.5" hidden="1" customHeight="1">
      <c r="A898" s="82" t="s">
        <v>30</v>
      </c>
      <c r="B898" s="84" t="s">
        <v>94</v>
      </c>
      <c r="C898" s="84" t="s">
        <v>72</v>
      </c>
      <c r="D898" s="84" t="s">
        <v>19</v>
      </c>
      <c r="E898" s="84" t="s">
        <v>546</v>
      </c>
      <c r="F898" s="84" t="s">
        <v>31</v>
      </c>
      <c r="G898" s="87">
        <f>G899</f>
        <v>0</v>
      </c>
      <c r="H898" s="87">
        <v>0</v>
      </c>
      <c r="I898" s="87">
        <v>0</v>
      </c>
      <c r="J898" s="177"/>
      <c r="K898" s="203"/>
      <c r="L898" s="203"/>
      <c r="M898" s="203"/>
      <c r="N898" s="203"/>
      <c r="O898" s="203"/>
      <c r="P898" s="203"/>
      <c r="Q898" s="203"/>
      <c r="R898" s="203"/>
    </row>
    <row r="899" spans="1:18" s="32" customFormat="1" ht="17.25" hidden="1" customHeight="1">
      <c r="A899" s="82" t="s">
        <v>32</v>
      </c>
      <c r="B899" s="84" t="s">
        <v>94</v>
      </c>
      <c r="C899" s="84" t="s">
        <v>72</v>
      </c>
      <c r="D899" s="84" t="s">
        <v>19</v>
      </c>
      <c r="E899" s="84" t="s">
        <v>546</v>
      </c>
      <c r="F899" s="84" t="s">
        <v>33</v>
      </c>
      <c r="G899" s="87"/>
      <c r="H899" s="87">
        <v>0</v>
      </c>
      <c r="I899" s="87">
        <v>0</v>
      </c>
      <c r="J899" s="177"/>
      <c r="K899" s="203"/>
      <c r="L899" s="203"/>
      <c r="M899" s="203"/>
      <c r="N899" s="203"/>
      <c r="O899" s="203"/>
      <c r="P899" s="203"/>
      <c r="Q899" s="203"/>
      <c r="R899" s="203"/>
    </row>
    <row r="900" spans="1:18" s="32" customFormat="1" ht="65.25" hidden="1" customHeight="1">
      <c r="A900" s="82" t="s">
        <v>615</v>
      </c>
      <c r="B900" s="84" t="s">
        <v>94</v>
      </c>
      <c r="C900" s="84" t="s">
        <v>72</v>
      </c>
      <c r="D900" s="84" t="s">
        <v>19</v>
      </c>
      <c r="E900" s="84" t="s">
        <v>614</v>
      </c>
      <c r="F900" s="84"/>
      <c r="G900" s="87">
        <f>G901</f>
        <v>0</v>
      </c>
      <c r="H900" s="87">
        <f t="shared" ref="H900:I900" si="220">H901</f>
        <v>0</v>
      </c>
      <c r="I900" s="87">
        <f t="shared" si="220"/>
        <v>0</v>
      </c>
      <c r="J900" s="177"/>
      <c r="K900" s="203"/>
      <c r="L900" s="203"/>
      <c r="M900" s="203"/>
      <c r="N900" s="203"/>
      <c r="O900" s="203"/>
      <c r="P900" s="203"/>
      <c r="Q900" s="203"/>
      <c r="R900" s="203"/>
    </row>
    <row r="901" spans="1:18" s="32" customFormat="1" ht="25.5" hidden="1" customHeight="1">
      <c r="A901" s="82" t="s">
        <v>30</v>
      </c>
      <c r="B901" s="84" t="s">
        <v>94</v>
      </c>
      <c r="C901" s="84" t="s">
        <v>72</v>
      </c>
      <c r="D901" s="84" t="s">
        <v>19</v>
      </c>
      <c r="E901" s="84" t="s">
        <v>614</v>
      </c>
      <c r="F901" s="84" t="s">
        <v>31</v>
      </c>
      <c r="G901" s="87">
        <f>G902</f>
        <v>0</v>
      </c>
      <c r="H901" s="87">
        <v>0</v>
      </c>
      <c r="I901" s="87">
        <v>0</v>
      </c>
      <c r="J901" s="177"/>
      <c r="K901" s="203"/>
      <c r="L901" s="203"/>
      <c r="M901" s="203"/>
      <c r="N901" s="203"/>
      <c r="O901" s="203"/>
      <c r="P901" s="203"/>
      <c r="Q901" s="203"/>
      <c r="R901" s="203"/>
    </row>
    <row r="902" spans="1:18" s="32" customFormat="1" ht="17.25" hidden="1" customHeight="1">
      <c r="A902" s="82" t="s">
        <v>32</v>
      </c>
      <c r="B902" s="84" t="s">
        <v>94</v>
      </c>
      <c r="C902" s="84" t="s">
        <v>72</v>
      </c>
      <c r="D902" s="84" t="s">
        <v>19</v>
      </c>
      <c r="E902" s="84" t="s">
        <v>614</v>
      </c>
      <c r="F902" s="84" t="s">
        <v>33</v>
      </c>
      <c r="G902" s="87"/>
      <c r="H902" s="87">
        <v>0</v>
      </c>
      <c r="I902" s="87">
        <v>0</v>
      </c>
      <c r="J902" s="177"/>
      <c r="K902" s="203"/>
      <c r="L902" s="203"/>
      <c r="M902" s="203"/>
      <c r="N902" s="203"/>
      <c r="O902" s="203"/>
      <c r="P902" s="203"/>
      <c r="Q902" s="203"/>
      <c r="R902" s="203"/>
    </row>
    <row r="903" spans="1:18" s="18" customFormat="1" ht="25.5" hidden="1">
      <c r="A903" s="82" t="s">
        <v>474</v>
      </c>
      <c r="B903" s="84" t="s">
        <v>94</v>
      </c>
      <c r="C903" s="84" t="s">
        <v>72</v>
      </c>
      <c r="D903" s="84" t="s">
        <v>19</v>
      </c>
      <c r="E903" s="84" t="s">
        <v>262</v>
      </c>
      <c r="F903" s="84"/>
      <c r="G903" s="87">
        <f>G904</f>
        <v>0</v>
      </c>
      <c r="H903" s="87">
        <f t="shared" ref="H903:I905" si="221">H904</f>
        <v>0</v>
      </c>
      <c r="I903" s="87">
        <f t="shared" si="221"/>
        <v>0</v>
      </c>
      <c r="J903" s="177"/>
      <c r="K903" s="200"/>
      <c r="L903" s="200"/>
      <c r="M903" s="200"/>
      <c r="N903" s="200"/>
      <c r="O903" s="200"/>
      <c r="P903" s="200"/>
      <c r="Q903" s="200"/>
      <c r="R903" s="200"/>
    </row>
    <row r="904" spans="1:18" s="18" customFormat="1" ht="25.5" hidden="1">
      <c r="A904" s="82" t="s">
        <v>473</v>
      </c>
      <c r="B904" s="84" t="s">
        <v>94</v>
      </c>
      <c r="C904" s="84" t="s">
        <v>72</v>
      </c>
      <c r="D904" s="84" t="s">
        <v>19</v>
      </c>
      <c r="E904" s="84" t="s">
        <v>445</v>
      </c>
      <c r="F904" s="84"/>
      <c r="G904" s="87">
        <f>G905</f>
        <v>0</v>
      </c>
      <c r="H904" s="87">
        <f t="shared" si="221"/>
        <v>0</v>
      </c>
      <c r="I904" s="87">
        <f t="shared" si="221"/>
        <v>0</v>
      </c>
      <c r="J904" s="177"/>
      <c r="K904" s="200"/>
      <c r="L904" s="200"/>
      <c r="M904" s="200"/>
      <c r="N904" s="200"/>
      <c r="O904" s="200"/>
      <c r="P904" s="200"/>
      <c r="Q904" s="200"/>
      <c r="R904" s="200"/>
    </row>
    <row r="905" spans="1:18" s="18" customFormat="1" ht="25.5" hidden="1">
      <c r="A905" s="82" t="s">
        <v>96</v>
      </c>
      <c r="B905" s="84" t="s">
        <v>94</v>
      </c>
      <c r="C905" s="84" t="s">
        <v>72</v>
      </c>
      <c r="D905" s="84" t="s">
        <v>19</v>
      </c>
      <c r="E905" s="84" t="s">
        <v>445</v>
      </c>
      <c r="F905" s="84" t="s">
        <v>348</v>
      </c>
      <c r="G905" s="87">
        <f>G906</f>
        <v>0</v>
      </c>
      <c r="H905" s="87">
        <f t="shared" si="221"/>
        <v>0</v>
      </c>
      <c r="I905" s="87">
        <f t="shared" si="221"/>
        <v>0</v>
      </c>
      <c r="J905" s="177"/>
      <c r="K905" s="200"/>
      <c r="L905" s="200"/>
      <c r="M905" s="200"/>
      <c r="N905" s="200"/>
      <c r="O905" s="200"/>
      <c r="P905" s="200"/>
      <c r="Q905" s="200"/>
      <c r="R905" s="200"/>
    </row>
    <row r="906" spans="1:18" s="18" customFormat="1" ht="89.25" hidden="1">
      <c r="A906" s="133" t="s">
        <v>420</v>
      </c>
      <c r="B906" s="84" t="s">
        <v>94</v>
      </c>
      <c r="C906" s="84" t="s">
        <v>72</v>
      </c>
      <c r="D906" s="84" t="s">
        <v>19</v>
      </c>
      <c r="E906" s="84" t="s">
        <v>445</v>
      </c>
      <c r="F906" s="84" t="s">
        <v>419</v>
      </c>
      <c r="G906" s="87">
        <f>50000-50000</f>
        <v>0</v>
      </c>
      <c r="H906" s="87"/>
      <c r="I906" s="87"/>
      <c r="J906" s="177"/>
      <c r="K906" s="200"/>
      <c r="L906" s="200"/>
      <c r="M906" s="200"/>
      <c r="N906" s="200"/>
      <c r="O906" s="200"/>
      <c r="P906" s="200"/>
      <c r="Q906" s="200"/>
      <c r="R906" s="200"/>
    </row>
    <row r="907" spans="1:18" s="33" customFormat="1" ht="15" hidden="1" customHeight="1">
      <c r="A907" s="82"/>
      <c r="B907" s="84"/>
      <c r="C907" s="84"/>
      <c r="D907" s="84"/>
      <c r="E907" s="168"/>
      <c r="F907" s="168"/>
      <c r="G907" s="93"/>
      <c r="H907" s="93"/>
      <c r="I907" s="93"/>
      <c r="J907" s="195"/>
      <c r="K907" s="211"/>
      <c r="L907" s="211"/>
      <c r="M907" s="211"/>
      <c r="N907" s="211"/>
      <c r="O907" s="211"/>
      <c r="P907" s="211"/>
      <c r="Q907" s="211"/>
      <c r="R907" s="211"/>
    </row>
    <row r="908" spans="1:18" s="169" customFormat="1" ht="28.5" customHeight="1">
      <c r="A908" s="139" t="s">
        <v>484</v>
      </c>
      <c r="B908" s="84" t="s">
        <v>94</v>
      </c>
      <c r="C908" s="84" t="s">
        <v>26</v>
      </c>
      <c r="D908" s="84" t="s">
        <v>70</v>
      </c>
      <c r="E908" s="84" t="s">
        <v>195</v>
      </c>
      <c r="F908" s="84"/>
      <c r="G908" s="87">
        <f>G912+G915+G911</f>
        <v>3825066</v>
      </c>
      <c r="H908" s="87">
        <f t="shared" ref="H908:I908" si="222">H912+H915+H911</f>
        <v>0</v>
      </c>
      <c r="I908" s="87">
        <f t="shared" si="222"/>
        <v>0</v>
      </c>
      <c r="J908" s="177"/>
      <c r="K908" s="204"/>
      <c r="L908" s="204"/>
      <c r="M908" s="204"/>
      <c r="N908" s="204"/>
      <c r="O908" s="204"/>
      <c r="P908" s="204"/>
      <c r="Q908" s="204"/>
      <c r="R908" s="204"/>
    </row>
    <row r="909" spans="1:18" s="169" customFormat="1" ht="33.75" customHeight="1">
      <c r="A909" s="139" t="s">
        <v>1120</v>
      </c>
      <c r="B909" s="84" t="s">
        <v>94</v>
      </c>
      <c r="C909" s="84" t="s">
        <v>26</v>
      </c>
      <c r="D909" s="84" t="s">
        <v>70</v>
      </c>
      <c r="E909" s="84" t="s">
        <v>1119</v>
      </c>
      <c r="F909" s="84"/>
      <c r="G909" s="87">
        <f>G910</f>
        <v>1304678.8</v>
      </c>
      <c r="H909" s="87">
        <f t="shared" ref="H909:I909" si="223">H910</f>
        <v>0</v>
      </c>
      <c r="I909" s="87">
        <f t="shared" si="223"/>
        <v>0</v>
      </c>
      <c r="J909" s="177"/>
      <c r="K909" s="204"/>
      <c r="L909" s="204"/>
      <c r="M909" s="204"/>
      <c r="N909" s="204"/>
      <c r="O909" s="204"/>
      <c r="P909" s="204"/>
      <c r="Q909" s="204"/>
      <c r="R909" s="204"/>
    </row>
    <row r="910" spans="1:18" s="227" customFormat="1" ht="28.5" customHeight="1">
      <c r="A910" s="82" t="s">
        <v>30</v>
      </c>
      <c r="B910" s="84" t="s">
        <v>94</v>
      </c>
      <c r="C910" s="84" t="s">
        <v>26</v>
      </c>
      <c r="D910" s="84" t="s">
        <v>70</v>
      </c>
      <c r="E910" s="84" t="s">
        <v>1119</v>
      </c>
      <c r="F910" s="84" t="s">
        <v>31</v>
      </c>
      <c r="G910" s="87">
        <f>G911</f>
        <v>1304678.8</v>
      </c>
      <c r="H910" s="87">
        <f>H911</f>
        <v>0</v>
      </c>
      <c r="I910" s="87">
        <f>I911</f>
        <v>0</v>
      </c>
      <c r="J910" s="177"/>
      <c r="K910" s="203"/>
      <c r="L910" s="203"/>
      <c r="M910" s="203"/>
      <c r="N910" s="203"/>
      <c r="O910" s="203"/>
      <c r="P910" s="203"/>
      <c r="Q910" s="203"/>
      <c r="R910" s="203"/>
    </row>
    <row r="911" spans="1:18" s="227" customFormat="1">
      <c r="A911" s="82" t="s">
        <v>32</v>
      </c>
      <c r="B911" s="84" t="s">
        <v>94</v>
      </c>
      <c r="C911" s="84" t="s">
        <v>26</v>
      </c>
      <c r="D911" s="84" t="s">
        <v>70</v>
      </c>
      <c r="E911" s="84" t="s">
        <v>1119</v>
      </c>
      <c r="F911" s="84" t="s">
        <v>33</v>
      </c>
      <c r="G911" s="87">
        <f>1363506-58827.2</f>
        <v>1304678.8</v>
      </c>
      <c r="H911" s="87">
        <v>0</v>
      </c>
      <c r="I911" s="87">
        <v>0</v>
      </c>
      <c r="J911" s="177"/>
      <c r="K911" s="205"/>
      <c r="L911" s="203"/>
      <c r="M911" s="203"/>
      <c r="N911" s="203"/>
      <c r="O911" s="203"/>
      <c r="P911" s="203"/>
      <c r="Q911" s="203"/>
      <c r="R911" s="203"/>
    </row>
    <row r="912" spans="1:18" s="169" customFormat="1" ht="43.5" customHeight="1">
      <c r="A912" s="139" t="s">
        <v>1121</v>
      </c>
      <c r="B912" s="84" t="s">
        <v>94</v>
      </c>
      <c r="C912" s="84" t="s">
        <v>26</v>
      </c>
      <c r="D912" s="84" t="s">
        <v>70</v>
      </c>
      <c r="E912" s="84" t="s">
        <v>1122</v>
      </c>
      <c r="F912" s="84"/>
      <c r="G912" s="87">
        <f>G913</f>
        <v>58827.199999999997</v>
      </c>
      <c r="H912" s="87">
        <f t="shared" ref="H912:I912" si="224">H913</f>
        <v>0</v>
      </c>
      <c r="I912" s="87">
        <f t="shared" si="224"/>
        <v>0</v>
      </c>
      <c r="J912" s="177"/>
      <c r="K912" s="204"/>
      <c r="L912" s="204"/>
      <c r="M912" s="204"/>
      <c r="N912" s="204"/>
      <c r="O912" s="204"/>
      <c r="P912" s="204"/>
      <c r="Q912" s="204"/>
      <c r="R912" s="204"/>
    </row>
    <row r="913" spans="1:20" s="227" customFormat="1" ht="28.5" customHeight="1">
      <c r="A913" s="82" t="s">
        <v>30</v>
      </c>
      <c r="B913" s="84" t="s">
        <v>94</v>
      </c>
      <c r="C913" s="84" t="s">
        <v>26</v>
      </c>
      <c r="D913" s="84" t="s">
        <v>70</v>
      </c>
      <c r="E913" s="84" t="s">
        <v>1122</v>
      </c>
      <c r="F913" s="84" t="s">
        <v>31</v>
      </c>
      <c r="G913" s="87">
        <f>G914</f>
        <v>58827.199999999997</v>
      </c>
      <c r="H913" s="87">
        <f>H914</f>
        <v>0</v>
      </c>
      <c r="I913" s="87">
        <f>I914</f>
        <v>0</v>
      </c>
      <c r="J913" s="177"/>
      <c r="K913" s="203"/>
      <c r="L913" s="203"/>
      <c r="M913" s="203"/>
      <c r="N913" s="203"/>
      <c r="O913" s="203"/>
      <c r="P913" s="203"/>
      <c r="Q913" s="203"/>
      <c r="R913" s="203"/>
    </row>
    <row r="914" spans="1:20" s="227" customFormat="1">
      <c r="A914" s="82" t="s">
        <v>32</v>
      </c>
      <c r="B914" s="84" t="s">
        <v>94</v>
      </c>
      <c r="C914" s="84" t="s">
        <v>26</v>
      </c>
      <c r="D914" s="84" t="s">
        <v>70</v>
      </c>
      <c r="E914" s="84" t="s">
        <v>1122</v>
      </c>
      <c r="F914" s="84" t="s">
        <v>33</v>
      </c>
      <c r="G914" s="87">
        <v>58827.199999999997</v>
      </c>
      <c r="H914" s="87">
        <v>0</v>
      </c>
      <c r="I914" s="87">
        <v>0</v>
      </c>
      <c r="J914" s="177"/>
      <c r="K914" s="205"/>
      <c r="L914" s="203"/>
      <c r="M914" s="203"/>
      <c r="N914" s="203"/>
      <c r="O914" s="203"/>
      <c r="P914" s="203"/>
      <c r="Q914" s="203"/>
      <c r="R914" s="203"/>
    </row>
    <row r="915" spans="1:20" s="28" customFormat="1" ht="35.25" customHeight="1">
      <c r="A915" s="139" t="s">
        <v>618</v>
      </c>
      <c r="B915" s="84" t="s">
        <v>94</v>
      </c>
      <c r="C915" s="84" t="s">
        <v>26</v>
      </c>
      <c r="D915" s="84" t="s">
        <v>70</v>
      </c>
      <c r="E915" s="84" t="s">
        <v>546</v>
      </c>
      <c r="F915" s="84"/>
      <c r="G915" s="87">
        <f>G916</f>
        <v>2461560</v>
      </c>
      <c r="H915" s="87">
        <f t="shared" ref="H915:I915" si="225">H916</f>
        <v>0</v>
      </c>
      <c r="I915" s="87">
        <f t="shared" si="225"/>
        <v>0</v>
      </c>
      <c r="J915" s="177"/>
      <c r="K915" s="204"/>
      <c r="L915" s="204"/>
      <c r="M915" s="204"/>
      <c r="N915" s="204"/>
      <c r="O915" s="204"/>
      <c r="P915" s="204"/>
      <c r="Q915" s="204"/>
      <c r="R915" s="204"/>
    </row>
    <row r="916" spans="1:20" s="32" customFormat="1" ht="28.5" customHeight="1">
      <c r="A916" s="82" t="s">
        <v>30</v>
      </c>
      <c r="B916" s="84" t="s">
        <v>94</v>
      </c>
      <c r="C916" s="84" t="s">
        <v>26</v>
      </c>
      <c r="D916" s="84" t="s">
        <v>70</v>
      </c>
      <c r="E916" s="84" t="s">
        <v>546</v>
      </c>
      <c r="F916" s="84" t="s">
        <v>31</v>
      </c>
      <c r="G916" s="87">
        <f>G917</f>
        <v>2461560</v>
      </c>
      <c r="H916" s="87">
        <f>H917</f>
        <v>0</v>
      </c>
      <c r="I916" s="87">
        <f>I917</f>
        <v>0</v>
      </c>
      <c r="J916" s="177"/>
      <c r="K916" s="203"/>
      <c r="L916" s="203"/>
      <c r="M916" s="203"/>
      <c r="N916" s="203"/>
      <c r="O916" s="203"/>
      <c r="P916" s="203"/>
      <c r="Q916" s="203"/>
      <c r="R916" s="203"/>
    </row>
    <row r="917" spans="1:20" s="32" customFormat="1">
      <c r="A917" s="82" t="s">
        <v>32</v>
      </c>
      <c r="B917" s="84" t="s">
        <v>94</v>
      </c>
      <c r="C917" s="84" t="s">
        <v>26</v>
      </c>
      <c r="D917" s="84" t="s">
        <v>70</v>
      </c>
      <c r="E917" s="84" t="s">
        <v>546</v>
      </c>
      <c r="F917" s="84" t="s">
        <v>33</v>
      </c>
      <c r="G917" s="87">
        <v>2461560</v>
      </c>
      <c r="H917" s="87">
        <v>0</v>
      </c>
      <c r="I917" s="87">
        <v>0</v>
      </c>
      <c r="J917" s="177"/>
      <c r="K917" s="205"/>
      <c r="L917" s="203"/>
      <c r="M917" s="203"/>
      <c r="N917" s="203"/>
      <c r="O917" s="203"/>
      <c r="P917" s="203"/>
      <c r="Q917" s="203"/>
      <c r="R917" s="203"/>
    </row>
    <row r="918" spans="1:20" s="32" customFormat="1" ht="38.25">
      <c r="A918" s="82" t="s">
        <v>459</v>
      </c>
      <c r="B918" s="149">
        <v>774</v>
      </c>
      <c r="C918" s="84" t="s">
        <v>26</v>
      </c>
      <c r="D918" s="84" t="s">
        <v>70</v>
      </c>
      <c r="E918" s="84" t="s">
        <v>458</v>
      </c>
      <c r="F918" s="84"/>
      <c r="G918" s="87">
        <f>G919</f>
        <v>364370</v>
      </c>
      <c r="H918" s="87"/>
      <c r="I918" s="87"/>
      <c r="J918" s="177"/>
      <c r="K918" s="205"/>
      <c r="L918" s="203"/>
      <c r="M918" s="203"/>
      <c r="N918" s="203"/>
      <c r="O918" s="203"/>
      <c r="P918" s="203"/>
      <c r="Q918" s="203"/>
      <c r="R918" s="203"/>
    </row>
    <row r="919" spans="1:20" s="32" customFormat="1" ht="25.5">
      <c r="A919" s="82" t="s">
        <v>457</v>
      </c>
      <c r="B919" s="149">
        <v>774</v>
      </c>
      <c r="C919" s="84" t="s">
        <v>26</v>
      </c>
      <c r="D919" s="84" t="s">
        <v>70</v>
      </c>
      <c r="E919" s="84" t="s">
        <v>1035</v>
      </c>
      <c r="F919" s="84"/>
      <c r="G919" s="87">
        <f>G920</f>
        <v>364370</v>
      </c>
      <c r="H919" s="87"/>
      <c r="I919" s="87"/>
      <c r="J919" s="177"/>
      <c r="K919" s="205"/>
      <c r="L919" s="203"/>
      <c r="M919" s="203"/>
      <c r="N919" s="203"/>
      <c r="O919" s="203"/>
      <c r="P919" s="203"/>
      <c r="Q919" s="203"/>
      <c r="R919" s="203"/>
    </row>
    <row r="920" spans="1:20" s="32" customFormat="1" ht="25.5">
      <c r="A920" s="82" t="s">
        <v>30</v>
      </c>
      <c r="B920" s="149">
        <v>774</v>
      </c>
      <c r="C920" s="84" t="s">
        <v>26</v>
      </c>
      <c r="D920" s="84" t="s">
        <v>70</v>
      </c>
      <c r="E920" s="84" t="s">
        <v>1035</v>
      </c>
      <c r="F920" s="84" t="s">
        <v>31</v>
      </c>
      <c r="G920" s="87">
        <f>G921</f>
        <v>364370</v>
      </c>
      <c r="H920" s="87"/>
      <c r="I920" s="87"/>
      <c r="J920" s="177"/>
      <c r="K920" s="205"/>
      <c r="L920" s="203"/>
      <c r="M920" s="203"/>
      <c r="N920" s="203"/>
      <c r="O920" s="203"/>
      <c r="P920" s="203"/>
      <c r="Q920" s="203"/>
      <c r="R920" s="203"/>
    </row>
    <row r="921" spans="1:20" s="32" customFormat="1" ht="21" customHeight="1">
      <c r="A921" s="82" t="s">
        <v>32</v>
      </c>
      <c r="B921" s="149">
        <v>774</v>
      </c>
      <c r="C921" s="84" t="s">
        <v>26</v>
      </c>
      <c r="D921" s="84" t="s">
        <v>70</v>
      </c>
      <c r="E921" s="84" t="s">
        <v>1035</v>
      </c>
      <c r="F921" s="84" t="s">
        <v>33</v>
      </c>
      <c r="G921" s="87">
        <v>364370</v>
      </c>
      <c r="H921" s="87"/>
      <c r="I921" s="87"/>
      <c r="J921" s="177"/>
      <c r="K921" s="205"/>
      <c r="L921" s="203"/>
      <c r="M921" s="203"/>
      <c r="N921" s="203"/>
      <c r="O921" s="203"/>
      <c r="P921" s="203"/>
      <c r="Q921" s="203"/>
      <c r="R921" s="203"/>
    </row>
    <row r="922" spans="1:20" s="161" customFormat="1" ht="34.5" customHeight="1">
      <c r="A922" s="139" t="s">
        <v>169</v>
      </c>
      <c r="B922" s="84" t="s">
        <v>94</v>
      </c>
      <c r="C922" s="84" t="s">
        <v>26</v>
      </c>
      <c r="D922" s="84" t="s">
        <v>70</v>
      </c>
      <c r="E922" s="84" t="s">
        <v>233</v>
      </c>
      <c r="F922" s="159"/>
      <c r="G922" s="87">
        <f>G923</f>
        <v>0</v>
      </c>
      <c r="H922" s="87">
        <f t="shared" ref="H922:I923" si="226">H923</f>
        <v>0</v>
      </c>
      <c r="I922" s="87">
        <f t="shared" si="226"/>
        <v>0</v>
      </c>
      <c r="J922" s="160"/>
      <c r="P922" s="160"/>
      <c r="Q922" s="160"/>
      <c r="R922" s="160"/>
      <c r="S922" s="160"/>
      <c r="T922" s="160"/>
    </row>
    <row r="923" spans="1:20" ht="18" customHeight="1">
      <c r="A923" s="82" t="s">
        <v>30</v>
      </c>
      <c r="B923" s="84" t="s">
        <v>94</v>
      </c>
      <c r="C923" s="84" t="s">
        <v>26</v>
      </c>
      <c r="D923" s="84" t="s">
        <v>70</v>
      </c>
      <c r="E923" s="84" t="s">
        <v>275</v>
      </c>
      <c r="F923" s="84" t="s">
        <v>31</v>
      </c>
      <c r="G923" s="87">
        <f>G924</f>
        <v>0</v>
      </c>
      <c r="H923" s="87">
        <f t="shared" si="226"/>
        <v>0</v>
      </c>
      <c r="I923" s="87">
        <f t="shared" si="226"/>
        <v>0</v>
      </c>
      <c r="J923" s="90"/>
      <c r="K923" s="1"/>
      <c r="L923" s="1"/>
      <c r="M923" s="1"/>
      <c r="N923" s="1"/>
      <c r="O923" s="1"/>
      <c r="P923" s="2"/>
      <c r="Q923" s="2"/>
      <c r="R923" s="2"/>
      <c r="S923" s="2"/>
      <c r="T923" s="2"/>
    </row>
    <row r="924" spans="1:20" ht="18" customHeight="1">
      <c r="A924" s="82" t="s">
        <v>32</v>
      </c>
      <c r="B924" s="84" t="s">
        <v>94</v>
      </c>
      <c r="C924" s="84" t="s">
        <v>26</v>
      </c>
      <c r="D924" s="84" t="s">
        <v>70</v>
      </c>
      <c r="E924" s="84" t="s">
        <v>275</v>
      </c>
      <c r="F924" s="84" t="s">
        <v>33</v>
      </c>
      <c r="G924" s="87">
        <f>400000-400000</f>
        <v>0</v>
      </c>
      <c r="H924" s="87">
        <v>0</v>
      </c>
      <c r="I924" s="87">
        <v>0</v>
      </c>
      <c r="J924" s="90"/>
      <c r="K924" s="1"/>
      <c r="L924" s="1"/>
      <c r="M924" s="1"/>
      <c r="N924" s="1"/>
      <c r="O924" s="1"/>
      <c r="P924" s="2"/>
      <c r="Q924" s="2"/>
      <c r="R924" s="2"/>
      <c r="S924" s="2"/>
      <c r="T924" s="2"/>
    </row>
    <row r="925" spans="1:20">
      <c r="A925" s="82" t="s">
        <v>281</v>
      </c>
      <c r="B925" s="84" t="s">
        <v>94</v>
      </c>
      <c r="C925" s="84" t="s">
        <v>26</v>
      </c>
      <c r="D925" s="84" t="s">
        <v>26</v>
      </c>
      <c r="E925" s="84"/>
      <c r="F925" s="84"/>
      <c r="G925" s="87">
        <f>G926+G973</f>
        <v>5100412.5599999996</v>
      </c>
      <c r="H925" s="87">
        <f>H926+H973</f>
        <v>4869412.54</v>
      </c>
      <c r="I925" s="87">
        <f>I926+I973</f>
        <v>4869412.5599999996</v>
      </c>
      <c r="J925" s="177"/>
    </row>
    <row r="926" spans="1:20" s="28" customFormat="1" ht="25.5">
      <c r="A926" s="82" t="s">
        <v>477</v>
      </c>
      <c r="B926" s="84" t="s">
        <v>94</v>
      </c>
      <c r="C926" s="84" t="s">
        <v>26</v>
      </c>
      <c r="D926" s="84" t="s">
        <v>26</v>
      </c>
      <c r="E926" s="84" t="s">
        <v>189</v>
      </c>
      <c r="F926" s="168"/>
      <c r="G926" s="87">
        <f>G927+G942</f>
        <v>5072468.2399999993</v>
      </c>
      <c r="H926" s="87">
        <f t="shared" ref="H926:I926" si="227">H927</f>
        <v>4869412.54</v>
      </c>
      <c r="I926" s="87">
        <f t="shared" si="227"/>
        <v>4869412.5599999996</v>
      </c>
      <c r="J926" s="177"/>
      <c r="K926" s="204"/>
      <c r="L926" s="204"/>
      <c r="M926" s="204"/>
      <c r="N926" s="204"/>
      <c r="O926" s="204"/>
      <c r="P926" s="204"/>
      <c r="Q926" s="204"/>
      <c r="R926" s="204"/>
    </row>
    <row r="927" spans="1:20" s="18" customFormat="1" ht="21.75" customHeight="1">
      <c r="A927" s="135" t="s">
        <v>119</v>
      </c>
      <c r="B927" s="84" t="s">
        <v>94</v>
      </c>
      <c r="C927" s="84" t="s">
        <v>26</v>
      </c>
      <c r="D927" s="84" t="s">
        <v>26</v>
      </c>
      <c r="E927" s="84" t="s">
        <v>190</v>
      </c>
      <c r="F927" s="84"/>
      <c r="G927" s="87">
        <f>G928+G933+G943+G936+G939+G949+G957+G962+G954+G970+G946+G967</f>
        <v>5072468.2399999993</v>
      </c>
      <c r="H927" s="87">
        <f t="shared" ref="H927:I927" si="228">H928+H933+H943+H936+H939+H949+H957+H962+H954+H970</f>
        <v>4869412.54</v>
      </c>
      <c r="I927" s="87">
        <f t="shared" si="228"/>
        <v>4869412.5599999996</v>
      </c>
      <c r="J927" s="177"/>
      <c r="K927" s="200"/>
      <c r="L927" s="200"/>
      <c r="M927" s="200"/>
      <c r="N927" s="200"/>
      <c r="O927" s="200"/>
      <c r="P927" s="200"/>
      <c r="Q927" s="200"/>
      <c r="R927" s="200"/>
    </row>
    <row r="928" spans="1:20" s="18" customFormat="1" ht="52.5" customHeight="1">
      <c r="A928" s="135" t="s">
        <v>127</v>
      </c>
      <c r="B928" s="84" t="s">
        <v>94</v>
      </c>
      <c r="C928" s="84" t="s">
        <v>26</v>
      </c>
      <c r="D928" s="84" t="s">
        <v>26</v>
      </c>
      <c r="E928" s="84" t="s">
        <v>191</v>
      </c>
      <c r="F928" s="84"/>
      <c r="G928" s="87">
        <f>G929+G931</f>
        <v>4369412.5599999996</v>
      </c>
      <c r="H928" s="87">
        <f>H929+H931</f>
        <v>4369412.54</v>
      </c>
      <c r="I928" s="87">
        <f>I929+I931</f>
        <v>4369412.5599999996</v>
      </c>
      <c r="J928" s="177"/>
      <c r="K928" s="200"/>
      <c r="L928" s="200"/>
      <c r="M928" s="200"/>
      <c r="N928" s="200"/>
      <c r="O928" s="200"/>
      <c r="P928" s="200"/>
      <c r="Q928" s="200"/>
      <c r="R928" s="200"/>
    </row>
    <row r="929" spans="1:18" s="18" customFormat="1" ht="25.5" hidden="1">
      <c r="A929" s="82" t="s">
        <v>36</v>
      </c>
      <c r="B929" s="84" t="s">
        <v>94</v>
      </c>
      <c r="C929" s="84" t="s">
        <v>26</v>
      </c>
      <c r="D929" s="84" t="s">
        <v>26</v>
      </c>
      <c r="E929" s="84" t="s">
        <v>135</v>
      </c>
      <c r="F929" s="84" t="s">
        <v>37</v>
      </c>
      <c r="G929" s="87">
        <f>G930</f>
        <v>0</v>
      </c>
      <c r="H929" s="87">
        <f>H930</f>
        <v>0</v>
      </c>
      <c r="I929" s="87">
        <f>I930</f>
        <v>0</v>
      </c>
      <c r="J929" s="177"/>
      <c r="K929" s="200"/>
      <c r="L929" s="200"/>
      <c r="M929" s="200"/>
      <c r="N929" s="200"/>
      <c r="O929" s="200"/>
      <c r="P929" s="200"/>
      <c r="Q929" s="200"/>
      <c r="R929" s="200"/>
    </row>
    <row r="930" spans="1:18" s="18" customFormat="1" ht="25.5" hidden="1">
      <c r="A930" s="82" t="s">
        <v>38</v>
      </c>
      <c r="B930" s="84" t="s">
        <v>94</v>
      </c>
      <c r="C930" s="84" t="s">
        <v>26</v>
      </c>
      <c r="D930" s="84" t="s">
        <v>26</v>
      </c>
      <c r="E930" s="84" t="s">
        <v>135</v>
      </c>
      <c r="F930" s="84" t="s">
        <v>39</v>
      </c>
      <c r="G930" s="87"/>
      <c r="H930" s="87"/>
      <c r="I930" s="87"/>
      <c r="J930" s="177"/>
      <c r="K930" s="200"/>
      <c r="L930" s="200"/>
      <c r="M930" s="200"/>
      <c r="N930" s="200"/>
      <c r="O930" s="200"/>
      <c r="P930" s="200"/>
      <c r="Q930" s="200"/>
      <c r="R930" s="200"/>
    </row>
    <row r="931" spans="1:18" s="18" customFormat="1" ht="25.5">
      <c r="A931" s="82" t="s">
        <v>30</v>
      </c>
      <c r="B931" s="84" t="s">
        <v>94</v>
      </c>
      <c r="C931" s="84" t="s">
        <v>26</v>
      </c>
      <c r="D931" s="84" t="s">
        <v>26</v>
      </c>
      <c r="E931" s="84" t="s">
        <v>191</v>
      </c>
      <c r="F931" s="84" t="s">
        <v>31</v>
      </c>
      <c r="G931" s="87">
        <f>G932</f>
        <v>4369412.5599999996</v>
      </c>
      <c r="H931" s="87">
        <f>H932</f>
        <v>4369412.54</v>
      </c>
      <c r="I931" s="87">
        <f>I932</f>
        <v>4369412.5599999996</v>
      </c>
      <c r="J931" s="177"/>
      <c r="K931" s="200"/>
      <c r="L931" s="200"/>
      <c r="M931" s="200"/>
      <c r="N931" s="200"/>
      <c r="O931" s="200"/>
      <c r="P931" s="200"/>
      <c r="Q931" s="200"/>
      <c r="R931" s="200"/>
    </row>
    <row r="932" spans="1:18" s="18" customFormat="1" ht="13.5" customHeight="1">
      <c r="A932" s="82" t="s">
        <v>32</v>
      </c>
      <c r="B932" s="84" t="s">
        <v>94</v>
      </c>
      <c r="C932" s="84" t="s">
        <v>26</v>
      </c>
      <c r="D932" s="84" t="s">
        <v>26</v>
      </c>
      <c r="E932" s="84" t="s">
        <v>191</v>
      </c>
      <c r="F932" s="84" t="s">
        <v>33</v>
      </c>
      <c r="G932" s="87">
        <v>4369412.5599999996</v>
      </c>
      <c r="H932" s="87">
        <v>4369412.54</v>
      </c>
      <c r="I932" s="87">
        <v>4369412.5599999996</v>
      </c>
      <c r="J932" s="177"/>
      <c r="K932" s="200"/>
      <c r="L932" s="200"/>
      <c r="M932" s="200"/>
      <c r="N932" s="200"/>
      <c r="O932" s="200"/>
      <c r="P932" s="200"/>
      <c r="Q932" s="200"/>
      <c r="R932" s="200"/>
    </row>
    <row r="933" spans="1:18" s="18" customFormat="1" ht="61.5" customHeight="1">
      <c r="A933" s="135" t="s">
        <v>351</v>
      </c>
      <c r="B933" s="84" t="s">
        <v>94</v>
      </c>
      <c r="C933" s="84" t="s">
        <v>26</v>
      </c>
      <c r="D933" s="84" t="s">
        <v>26</v>
      </c>
      <c r="E933" s="84" t="s">
        <v>192</v>
      </c>
      <c r="F933" s="84"/>
      <c r="G933" s="87">
        <f>G934</f>
        <v>362055.67999999999</v>
      </c>
      <c r="H933" s="87">
        <f t="shared" ref="H933:I933" si="229">H934</f>
        <v>500000</v>
      </c>
      <c r="I933" s="87">
        <f t="shared" si="229"/>
        <v>500000</v>
      </c>
      <c r="J933" s="177"/>
      <c r="K933" s="200"/>
      <c r="L933" s="200"/>
      <c r="M933" s="200"/>
      <c r="N933" s="200"/>
      <c r="O933" s="200"/>
      <c r="P933" s="200"/>
      <c r="Q933" s="200"/>
      <c r="R933" s="200"/>
    </row>
    <row r="934" spans="1:18" s="18" customFormat="1" ht="25.5">
      <c r="A934" s="82" t="s">
        <v>30</v>
      </c>
      <c r="B934" s="84" t="s">
        <v>94</v>
      </c>
      <c r="C934" s="84" t="s">
        <v>26</v>
      </c>
      <c r="D934" s="84" t="s">
        <v>26</v>
      </c>
      <c r="E934" s="84" t="s">
        <v>192</v>
      </c>
      <c r="F934" s="84" t="s">
        <v>31</v>
      </c>
      <c r="G934" s="87">
        <f>G935</f>
        <v>362055.67999999999</v>
      </c>
      <c r="H934" s="87">
        <f>H935</f>
        <v>500000</v>
      </c>
      <c r="I934" s="87">
        <f>I935</f>
        <v>500000</v>
      </c>
      <c r="J934" s="177"/>
      <c r="K934" s="200"/>
      <c r="L934" s="200"/>
      <c r="M934" s="200"/>
      <c r="N934" s="200"/>
      <c r="O934" s="200"/>
      <c r="P934" s="200"/>
      <c r="Q934" s="200"/>
      <c r="R934" s="200"/>
    </row>
    <row r="935" spans="1:18" s="18" customFormat="1">
      <c r="A935" s="82" t="s">
        <v>32</v>
      </c>
      <c r="B935" s="84" t="s">
        <v>94</v>
      </c>
      <c r="C935" s="84" t="s">
        <v>26</v>
      </c>
      <c r="D935" s="84" t="s">
        <v>26</v>
      </c>
      <c r="E935" s="84" t="s">
        <v>192</v>
      </c>
      <c r="F935" s="84" t="s">
        <v>33</v>
      </c>
      <c r="G935" s="87">
        <f>390000-27944.32</f>
        <v>362055.67999999999</v>
      </c>
      <c r="H935" s="87">
        <v>500000</v>
      </c>
      <c r="I935" s="87">
        <v>500000</v>
      </c>
      <c r="J935" s="177"/>
      <c r="K935" s="200"/>
      <c r="L935" s="200"/>
      <c r="M935" s="200"/>
      <c r="N935" s="200"/>
      <c r="O935" s="200"/>
      <c r="P935" s="200"/>
      <c r="Q935" s="200"/>
      <c r="R935" s="200"/>
    </row>
    <row r="936" spans="1:18" s="18" customFormat="1" ht="25.5" hidden="1">
      <c r="A936" s="82" t="s">
        <v>653</v>
      </c>
      <c r="B936" s="84" t="s">
        <v>94</v>
      </c>
      <c r="C936" s="84" t="s">
        <v>26</v>
      </c>
      <c r="D936" s="84" t="s">
        <v>26</v>
      </c>
      <c r="E936" s="84" t="s">
        <v>652</v>
      </c>
      <c r="F936" s="84"/>
      <c r="G936" s="87">
        <f>G937</f>
        <v>0</v>
      </c>
      <c r="H936" s="87">
        <f>H937</f>
        <v>0</v>
      </c>
      <c r="I936" s="87">
        <f>I937</f>
        <v>0</v>
      </c>
      <c r="J936" s="177"/>
      <c r="K936" s="200"/>
      <c r="L936" s="200"/>
      <c r="M936" s="200"/>
      <c r="N936" s="200"/>
      <c r="O936" s="200"/>
      <c r="P936" s="200"/>
      <c r="Q936" s="200"/>
      <c r="R936" s="200"/>
    </row>
    <row r="937" spans="1:18" s="18" customFormat="1" ht="25.5" hidden="1">
      <c r="A937" s="82" t="s">
        <v>30</v>
      </c>
      <c r="B937" s="84" t="s">
        <v>94</v>
      </c>
      <c r="C937" s="84" t="s">
        <v>26</v>
      </c>
      <c r="D937" s="84" t="s">
        <v>26</v>
      </c>
      <c r="E937" s="84" t="s">
        <v>652</v>
      </c>
      <c r="F937" s="84" t="s">
        <v>31</v>
      </c>
      <c r="G937" s="87">
        <f>G938</f>
        <v>0</v>
      </c>
      <c r="H937" s="87"/>
      <c r="I937" s="87"/>
      <c r="J937" s="177"/>
      <c r="K937" s="200"/>
      <c r="L937" s="200"/>
      <c r="M937" s="200"/>
      <c r="N937" s="200"/>
      <c r="O937" s="200"/>
      <c r="P937" s="200"/>
      <c r="Q937" s="200"/>
      <c r="R937" s="200"/>
    </row>
    <row r="938" spans="1:18" s="18" customFormat="1" hidden="1">
      <c r="A938" s="82" t="s">
        <v>32</v>
      </c>
      <c r="B938" s="84" t="s">
        <v>94</v>
      </c>
      <c r="C938" s="84" t="s">
        <v>26</v>
      </c>
      <c r="D938" s="84" t="s">
        <v>26</v>
      </c>
      <c r="E938" s="84" t="s">
        <v>652</v>
      </c>
      <c r="F938" s="84" t="s">
        <v>33</v>
      </c>
      <c r="G938" s="87"/>
      <c r="H938" s="87">
        <f>H939</f>
        <v>0</v>
      </c>
      <c r="I938" s="87">
        <f>I939</f>
        <v>0</v>
      </c>
      <c r="J938" s="177"/>
      <c r="K938" s="200"/>
      <c r="L938" s="200"/>
      <c r="M938" s="200"/>
      <c r="N938" s="200"/>
      <c r="O938" s="200"/>
      <c r="P938" s="200"/>
      <c r="Q938" s="200"/>
      <c r="R938" s="200"/>
    </row>
    <row r="939" spans="1:18" s="18" customFormat="1" ht="51" hidden="1">
      <c r="A939" s="82" t="s">
        <v>425</v>
      </c>
      <c r="B939" s="84" t="s">
        <v>94</v>
      </c>
      <c r="C939" s="84" t="s">
        <v>26</v>
      </c>
      <c r="D939" s="84" t="s">
        <v>26</v>
      </c>
      <c r="E939" s="84" t="s">
        <v>424</v>
      </c>
      <c r="F939" s="84"/>
      <c r="G939" s="87">
        <f>G940</f>
        <v>0</v>
      </c>
      <c r="H939" s="87"/>
      <c r="I939" s="87"/>
      <c r="J939" s="177"/>
      <c r="K939" s="200"/>
      <c r="L939" s="200"/>
      <c r="M939" s="200"/>
      <c r="N939" s="200"/>
      <c r="O939" s="200"/>
      <c r="P939" s="200"/>
      <c r="Q939" s="200"/>
      <c r="R939" s="200"/>
    </row>
    <row r="940" spans="1:18" s="18" customFormat="1" ht="25.5" hidden="1">
      <c r="A940" s="82" t="s">
        <v>30</v>
      </c>
      <c r="B940" s="84" t="s">
        <v>94</v>
      </c>
      <c r="C940" s="84" t="s">
        <v>26</v>
      </c>
      <c r="D940" s="84" t="s">
        <v>26</v>
      </c>
      <c r="E940" s="84" t="s">
        <v>424</v>
      </c>
      <c r="F940" s="84" t="s">
        <v>31</v>
      </c>
      <c r="G940" s="87">
        <f>G941</f>
        <v>0</v>
      </c>
      <c r="H940" s="87">
        <f>H941</f>
        <v>0</v>
      </c>
      <c r="I940" s="87">
        <f>I941</f>
        <v>0</v>
      </c>
      <c r="J940" s="177"/>
      <c r="K940" s="200"/>
      <c r="L940" s="200"/>
      <c r="M940" s="200"/>
      <c r="N940" s="200"/>
      <c r="O940" s="200"/>
      <c r="P940" s="200"/>
      <c r="Q940" s="200"/>
      <c r="R940" s="200"/>
    </row>
    <row r="941" spans="1:18" s="18" customFormat="1" hidden="1">
      <c r="A941" s="82" t="s">
        <v>32</v>
      </c>
      <c r="B941" s="84" t="s">
        <v>94</v>
      </c>
      <c r="C941" s="84" t="s">
        <v>26</v>
      </c>
      <c r="D941" s="84" t="s">
        <v>26</v>
      </c>
      <c r="E941" s="84" t="s">
        <v>424</v>
      </c>
      <c r="F941" s="84" t="s">
        <v>33</v>
      </c>
      <c r="G941" s="87"/>
      <c r="H941" s="87"/>
      <c r="I941" s="87"/>
      <c r="J941" s="177"/>
      <c r="K941" s="200"/>
      <c r="L941" s="200"/>
      <c r="M941" s="200"/>
      <c r="N941" s="200"/>
      <c r="O941" s="200"/>
      <c r="P941" s="200"/>
      <c r="Q941" s="200"/>
      <c r="R941" s="200"/>
    </row>
    <row r="942" spans="1:18" s="3" customFormat="1" ht="25.5" hidden="1">
      <c r="A942" s="82" t="s">
        <v>0</v>
      </c>
      <c r="B942" s="149">
        <v>774</v>
      </c>
      <c r="C942" s="84" t="s">
        <v>26</v>
      </c>
      <c r="D942" s="84" t="s">
        <v>26</v>
      </c>
      <c r="E942" s="84" t="s">
        <v>218</v>
      </c>
      <c r="F942" s="84"/>
      <c r="G942" s="87"/>
      <c r="H942" s="87"/>
      <c r="I942" s="87"/>
      <c r="J942" s="177"/>
      <c r="K942" s="199"/>
      <c r="L942" s="199"/>
      <c r="M942" s="199"/>
      <c r="N942" s="199"/>
      <c r="O942" s="199"/>
      <c r="P942" s="199"/>
      <c r="Q942" s="199"/>
      <c r="R942" s="199"/>
    </row>
    <row r="943" spans="1:18" s="3" customFormat="1" ht="38.25" hidden="1">
      <c r="A943" s="82" t="s">
        <v>531</v>
      </c>
      <c r="B943" s="149">
        <v>774</v>
      </c>
      <c r="C943" s="84" t="s">
        <v>26</v>
      </c>
      <c r="D943" s="84" t="s">
        <v>26</v>
      </c>
      <c r="E943" s="84" t="s">
        <v>564</v>
      </c>
      <c r="F943" s="84"/>
      <c r="G943" s="87">
        <f t="shared" ref="G943:I947" si="230">G944</f>
        <v>0</v>
      </c>
      <c r="H943" s="87">
        <f t="shared" si="230"/>
        <v>0</v>
      </c>
      <c r="I943" s="87">
        <f t="shared" si="230"/>
        <v>0</v>
      </c>
      <c r="J943" s="177"/>
      <c r="K943" s="199"/>
      <c r="L943" s="199"/>
      <c r="M943" s="199"/>
      <c r="N943" s="199"/>
      <c r="O943" s="199"/>
      <c r="P943" s="199"/>
      <c r="Q943" s="199"/>
      <c r="R943" s="199"/>
    </row>
    <row r="944" spans="1:18" s="3" customFormat="1" ht="25.5" hidden="1">
      <c r="A944" s="82" t="s">
        <v>30</v>
      </c>
      <c r="B944" s="149">
        <v>774</v>
      </c>
      <c r="C944" s="84" t="s">
        <v>26</v>
      </c>
      <c r="D944" s="84" t="s">
        <v>26</v>
      </c>
      <c r="E944" s="84" t="s">
        <v>564</v>
      </c>
      <c r="F944" s="84" t="s">
        <v>31</v>
      </c>
      <c r="G944" s="87">
        <f t="shared" si="230"/>
        <v>0</v>
      </c>
      <c r="H944" s="87">
        <f t="shared" si="230"/>
        <v>0</v>
      </c>
      <c r="I944" s="87">
        <f t="shared" si="230"/>
        <v>0</v>
      </c>
      <c r="J944" s="177"/>
      <c r="K944" s="199"/>
      <c r="L944" s="199"/>
      <c r="M944" s="199"/>
      <c r="N944" s="199"/>
      <c r="O944" s="199"/>
      <c r="P944" s="199"/>
      <c r="Q944" s="199"/>
      <c r="R944" s="199"/>
    </row>
    <row r="945" spans="1:18" s="3" customFormat="1" ht="15" customHeight="1">
      <c r="A945" s="82" t="s">
        <v>32</v>
      </c>
      <c r="B945" s="149">
        <v>774</v>
      </c>
      <c r="C945" s="84" t="s">
        <v>26</v>
      </c>
      <c r="D945" s="84" t="s">
        <v>26</v>
      </c>
      <c r="E945" s="84" t="s">
        <v>564</v>
      </c>
      <c r="F945" s="84" t="s">
        <v>33</v>
      </c>
      <c r="G945" s="87"/>
      <c r="H945" s="87"/>
      <c r="I945" s="87"/>
      <c r="J945" s="177"/>
      <c r="K945" s="199"/>
      <c r="L945" s="199"/>
      <c r="M945" s="199"/>
      <c r="N945" s="199"/>
      <c r="O945" s="199"/>
      <c r="P945" s="199"/>
      <c r="Q945" s="199"/>
      <c r="R945" s="199"/>
    </row>
    <row r="946" spans="1:18" s="3" customFormat="1" ht="25.5">
      <c r="A946" s="82" t="s">
        <v>298</v>
      </c>
      <c r="B946" s="149">
        <v>774</v>
      </c>
      <c r="C946" s="84" t="s">
        <v>26</v>
      </c>
      <c r="D946" s="84" t="s">
        <v>26</v>
      </c>
      <c r="E946" s="84" t="s">
        <v>585</v>
      </c>
      <c r="F946" s="84"/>
      <c r="G946" s="87">
        <f t="shared" si="230"/>
        <v>0</v>
      </c>
      <c r="H946" s="87">
        <f t="shared" si="230"/>
        <v>0</v>
      </c>
      <c r="I946" s="87">
        <f t="shared" si="230"/>
        <v>0</v>
      </c>
      <c r="J946" s="177"/>
      <c r="K946" s="199"/>
      <c r="L946" s="199"/>
      <c r="M946" s="199"/>
      <c r="N946" s="199"/>
      <c r="O946" s="199"/>
      <c r="P946" s="199"/>
      <c r="Q946" s="199"/>
      <c r="R946" s="199"/>
    </row>
    <row r="947" spans="1:18" s="3" customFormat="1" ht="25.5">
      <c r="A947" s="82" t="s">
        <v>30</v>
      </c>
      <c r="B947" s="149">
        <v>774</v>
      </c>
      <c r="C947" s="84" t="s">
        <v>26</v>
      </c>
      <c r="D947" s="84" t="s">
        <v>26</v>
      </c>
      <c r="E947" s="84" t="s">
        <v>585</v>
      </c>
      <c r="F947" s="84" t="s">
        <v>31</v>
      </c>
      <c r="G947" s="87">
        <f t="shared" si="230"/>
        <v>0</v>
      </c>
      <c r="H947" s="87">
        <f t="shared" si="230"/>
        <v>0</v>
      </c>
      <c r="I947" s="87">
        <f t="shared" si="230"/>
        <v>0</v>
      </c>
      <c r="J947" s="177"/>
      <c r="K947" s="199"/>
      <c r="L947" s="199"/>
      <c r="M947" s="199"/>
      <c r="N947" s="199"/>
      <c r="O947" s="199"/>
      <c r="P947" s="199"/>
      <c r="Q947" s="199"/>
      <c r="R947" s="199"/>
    </row>
    <row r="948" spans="1:18" s="3" customFormat="1">
      <c r="A948" s="82" t="s">
        <v>32</v>
      </c>
      <c r="B948" s="149">
        <v>774</v>
      </c>
      <c r="C948" s="84" t="s">
        <v>26</v>
      </c>
      <c r="D948" s="84" t="s">
        <v>26</v>
      </c>
      <c r="E948" s="84" t="s">
        <v>585</v>
      </c>
      <c r="F948" s="84" t="s">
        <v>33</v>
      </c>
      <c r="G948" s="87"/>
      <c r="H948" s="87">
        <v>0</v>
      </c>
      <c r="I948" s="87">
        <v>0</v>
      </c>
      <c r="J948" s="177"/>
      <c r="K948" s="199"/>
      <c r="L948" s="199"/>
      <c r="M948" s="199"/>
      <c r="N948" s="199"/>
      <c r="O948" s="199"/>
      <c r="P948" s="199"/>
      <c r="Q948" s="199"/>
      <c r="R948" s="199"/>
    </row>
    <row r="949" spans="1:18" s="18" customFormat="1" ht="52.5" hidden="1" customHeight="1">
      <c r="A949" s="135" t="s">
        <v>766</v>
      </c>
      <c r="B949" s="84" t="s">
        <v>94</v>
      </c>
      <c r="C949" s="84" t="s">
        <v>26</v>
      </c>
      <c r="D949" s="84" t="s">
        <v>26</v>
      </c>
      <c r="E949" s="84" t="s">
        <v>765</v>
      </c>
      <c r="F949" s="84"/>
      <c r="G949" s="87">
        <f>G950+G952</f>
        <v>0</v>
      </c>
      <c r="H949" s="87">
        <f>H950+H952</f>
        <v>0</v>
      </c>
      <c r="I949" s="87">
        <f>I950+I952</f>
        <v>0</v>
      </c>
      <c r="J949" s="177"/>
      <c r="K949" s="200"/>
      <c r="L949" s="200"/>
      <c r="M949" s="200"/>
      <c r="N949" s="200"/>
      <c r="O949" s="200"/>
      <c r="P949" s="200"/>
      <c r="Q949" s="200"/>
      <c r="R949" s="200"/>
    </row>
    <row r="950" spans="1:18" s="18" customFormat="1" ht="25.5" hidden="1">
      <c r="A950" s="82" t="s">
        <v>36</v>
      </c>
      <c r="B950" s="84" t="s">
        <v>94</v>
      </c>
      <c r="C950" s="84" t="s">
        <v>26</v>
      </c>
      <c r="D950" s="84" t="s">
        <v>26</v>
      </c>
      <c r="E950" s="84" t="s">
        <v>135</v>
      </c>
      <c r="F950" s="84" t="s">
        <v>37</v>
      </c>
      <c r="G950" s="87">
        <f>G951</f>
        <v>0</v>
      </c>
      <c r="H950" s="87">
        <f>H951</f>
        <v>0</v>
      </c>
      <c r="I950" s="87">
        <f>I951</f>
        <v>0</v>
      </c>
      <c r="J950" s="177"/>
      <c r="K950" s="200"/>
      <c r="L950" s="200"/>
      <c r="M950" s="200"/>
      <c r="N950" s="200"/>
      <c r="O950" s="200"/>
      <c r="P950" s="200"/>
      <c r="Q950" s="200"/>
      <c r="R950" s="200"/>
    </row>
    <row r="951" spans="1:18" s="18" customFormat="1" ht="25.5" hidden="1">
      <c r="A951" s="82" t="s">
        <v>38</v>
      </c>
      <c r="B951" s="84" t="s">
        <v>94</v>
      </c>
      <c r="C951" s="84" t="s">
        <v>26</v>
      </c>
      <c r="D951" s="84" t="s">
        <v>26</v>
      </c>
      <c r="E951" s="84" t="s">
        <v>135</v>
      </c>
      <c r="F951" s="84" t="s">
        <v>39</v>
      </c>
      <c r="G951" s="87"/>
      <c r="H951" s="87"/>
      <c r="I951" s="87"/>
      <c r="J951" s="177"/>
      <c r="K951" s="200"/>
      <c r="L951" s="200"/>
      <c r="M951" s="200"/>
      <c r="N951" s="200"/>
      <c r="O951" s="200"/>
      <c r="P951" s="200"/>
      <c r="Q951" s="200"/>
      <c r="R951" s="200"/>
    </row>
    <row r="952" spans="1:18" s="18" customFormat="1" hidden="1">
      <c r="A952" s="82" t="s">
        <v>63</v>
      </c>
      <c r="B952" s="84" t="s">
        <v>94</v>
      </c>
      <c r="C952" s="84" t="s">
        <v>26</v>
      </c>
      <c r="D952" s="84" t="s">
        <v>26</v>
      </c>
      <c r="E952" s="84" t="s">
        <v>765</v>
      </c>
      <c r="F952" s="84" t="s">
        <v>64</v>
      </c>
      <c r="G952" s="87">
        <f>G953</f>
        <v>0</v>
      </c>
      <c r="H952" s="87">
        <f>H953</f>
        <v>0</v>
      </c>
      <c r="I952" s="87">
        <f>I953</f>
        <v>0</v>
      </c>
      <c r="J952" s="177"/>
      <c r="K952" s="200"/>
      <c r="L952" s="200"/>
      <c r="M952" s="200"/>
      <c r="N952" s="200"/>
      <c r="O952" s="200"/>
      <c r="P952" s="200"/>
      <c r="Q952" s="200"/>
      <c r="R952" s="200"/>
    </row>
    <row r="953" spans="1:18" s="18" customFormat="1" ht="13.5" hidden="1" customHeight="1">
      <c r="A953" s="82" t="s">
        <v>180</v>
      </c>
      <c r="B953" s="84" t="s">
        <v>94</v>
      </c>
      <c r="C953" s="84" t="s">
        <v>26</v>
      </c>
      <c r="D953" s="84" t="s">
        <v>26</v>
      </c>
      <c r="E953" s="84" t="s">
        <v>765</v>
      </c>
      <c r="F953" s="84" t="s">
        <v>181</v>
      </c>
      <c r="G953" s="87">
        <f>1308000-1308000</f>
        <v>0</v>
      </c>
      <c r="H953" s="87"/>
      <c r="I953" s="87"/>
      <c r="J953" s="177"/>
      <c r="K953" s="200"/>
      <c r="L953" s="200"/>
      <c r="M953" s="200"/>
      <c r="N953" s="200"/>
      <c r="O953" s="200"/>
      <c r="P953" s="200"/>
      <c r="Q953" s="200"/>
      <c r="R953" s="200"/>
    </row>
    <row r="954" spans="1:18" s="18" customFormat="1" ht="61.5" hidden="1" customHeight="1">
      <c r="A954" s="135" t="s">
        <v>425</v>
      </c>
      <c r="B954" s="84" t="s">
        <v>94</v>
      </c>
      <c r="C954" s="84" t="s">
        <v>26</v>
      </c>
      <c r="D954" s="84" t="s">
        <v>26</v>
      </c>
      <c r="E954" s="84" t="s">
        <v>424</v>
      </c>
      <c r="F954" s="84"/>
      <c r="G954" s="87">
        <f>G955</f>
        <v>0</v>
      </c>
      <c r="H954" s="87">
        <f t="shared" ref="H954:I954" si="231">H955</f>
        <v>0</v>
      </c>
      <c r="I954" s="87">
        <f t="shared" si="231"/>
        <v>0</v>
      </c>
      <c r="J954" s="177"/>
      <c r="K954" s="200"/>
      <c r="L954" s="200"/>
      <c r="M954" s="200"/>
      <c r="N954" s="200"/>
      <c r="O954" s="200"/>
      <c r="P954" s="200"/>
      <c r="Q954" s="200"/>
      <c r="R954" s="200"/>
    </row>
    <row r="955" spans="1:18" s="18" customFormat="1" ht="25.5" hidden="1">
      <c r="A955" s="82" t="s">
        <v>30</v>
      </c>
      <c r="B955" s="84" t="s">
        <v>94</v>
      </c>
      <c r="C955" s="84" t="s">
        <v>26</v>
      </c>
      <c r="D955" s="84" t="s">
        <v>26</v>
      </c>
      <c r="E955" s="84" t="s">
        <v>424</v>
      </c>
      <c r="F955" s="84" t="s">
        <v>31</v>
      </c>
      <c r="G955" s="87">
        <f>G956</f>
        <v>0</v>
      </c>
      <c r="H955" s="87">
        <f>H956</f>
        <v>0</v>
      </c>
      <c r="I955" s="87">
        <f>I956</f>
        <v>0</v>
      </c>
      <c r="J955" s="177"/>
      <c r="K955" s="200"/>
      <c r="L955" s="200"/>
      <c r="M955" s="200"/>
      <c r="N955" s="200"/>
      <c r="O955" s="200"/>
      <c r="P955" s="200"/>
      <c r="Q955" s="200"/>
      <c r="R955" s="200"/>
    </row>
    <row r="956" spans="1:18" s="18" customFormat="1" hidden="1">
      <c r="A956" s="82" t="s">
        <v>32</v>
      </c>
      <c r="B956" s="84" t="s">
        <v>94</v>
      </c>
      <c r="C956" s="84" t="s">
        <v>26</v>
      </c>
      <c r="D956" s="84" t="s">
        <v>26</v>
      </c>
      <c r="E956" s="84" t="s">
        <v>424</v>
      </c>
      <c r="F956" s="84" t="s">
        <v>33</v>
      </c>
      <c r="G956" s="87"/>
      <c r="H956" s="87"/>
      <c r="I956" s="87"/>
      <c r="J956" s="177"/>
      <c r="K956" s="200"/>
      <c r="L956" s="200"/>
      <c r="M956" s="200"/>
      <c r="N956" s="200"/>
      <c r="O956" s="200"/>
      <c r="P956" s="200"/>
      <c r="Q956" s="200"/>
      <c r="R956" s="200"/>
    </row>
    <row r="957" spans="1:18" s="18" customFormat="1" ht="38.25" hidden="1" customHeight="1">
      <c r="A957" s="135" t="s">
        <v>768</v>
      </c>
      <c r="B957" s="84" t="s">
        <v>94</v>
      </c>
      <c r="C957" s="84" t="s">
        <v>26</v>
      </c>
      <c r="D957" s="84" t="s">
        <v>26</v>
      </c>
      <c r="E957" s="84" t="s">
        <v>767</v>
      </c>
      <c r="F957" s="84"/>
      <c r="G957" s="87">
        <f>G958+G960</f>
        <v>0</v>
      </c>
      <c r="H957" s="87">
        <f>H958+H960</f>
        <v>0</v>
      </c>
      <c r="I957" s="87">
        <f>I958+I960</f>
        <v>0</v>
      </c>
      <c r="J957" s="177"/>
      <c r="K957" s="200"/>
      <c r="L957" s="200"/>
      <c r="M957" s="200"/>
      <c r="N957" s="200"/>
      <c r="O957" s="200"/>
      <c r="P957" s="200"/>
      <c r="Q957" s="200"/>
      <c r="R957" s="200"/>
    </row>
    <row r="958" spans="1:18" s="18" customFormat="1" ht="25.5" hidden="1">
      <c r="A958" s="82" t="s">
        <v>36</v>
      </c>
      <c r="B958" s="84" t="s">
        <v>94</v>
      </c>
      <c r="C958" s="84" t="s">
        <v>26</v>
      </c>
      <c r="D958" s="84" t="s">
        <v>26</v>
      </c>
      <c r="E958" s="84" t="s">
        <v>135</v>
      </c>
      <c r="F958" s="84" t="s">
        <v>37</v>
      </c>
      <c r="G958" s="87">
        <f>G959</f>
        <v>0</v>
      </c>
      <c r="H958" s="87">
        <f>H959</f>
        <v>0</v>
      </c>
      <c r="I958" s="87">
        <f>I959</f>
        <v>0</v>
      </c>
      <c r="J958" s="177"/>
      <c r="K958" s="200"/>
      <c r="L958" s="200"/>
      <c r="M958" s="200"/>
      <c r="N958" s="200"/>
      <c r="O958" s="200"/>
      <c r="P958" s="200"/>
      <c r="Q958" s="200"/>
      <c r="R958" s="200"/>
    </row>
    <row r="959" spans="1:18" s="18" customFormat="1" ht="25.5" hidden="1">
      <c r="A959" s="82" t="s">
        <v>38</v>
      </c>
      <c r="B959" s="84" t="s">
        <v>94</v>
      </c>
      <c r="C959" s="84" t="s">
        <v>26</v>
      </c>
      <c r="D959" s="84" t="s">
        <v>26</v>
      </c>
      <c r="E959" s="84" t="s">
        <v>135</v>
      </c>
      <c r="F959" s="84" t="s">
        <v>39</v>
      </c>
      <c r="G959" s="87"/>
      <c r="H959" s="87"/>
      <c r="I959" s="87"/>
      <c r="J959" s="177"/>
      <c r="K959" s="200"/>
      <c r="L959" s="200"/>
      <c r="M959" s="200"/>
      <c r="N959" s="200"/>
      <c r="O959" s="200"/>
      <c r="P959" s="200"/>
      <c r="Q959" s="200"/>
      <c r="R959" s="200"/>
    </row>
    <row r="960" spans="1:18" s="18" customFormat="1" ht="25.5" hidden="1">
      <c r="A960" s="82" t="s">
        <v>30</v>
      </c>
      <c r="B960" s="84" t="s">
        <v>94</v>
      </c>
      <c r="C960" s="84" t="s">
        <v>26</v>
      </c>
      <c r="D960" s="84" t="s">
        <v>26</v>
      </c>
      <c r="E960" s="84" t="s">
        <v>767</v>
      </c>
      <c r="F960" s="84" t="s">
        <v>31</v>
      </c>
      <c r="G960" s="87">
        <f>G961</f>
        <v>0</v>
      </c>
      <c r="H960" s="87">
        <f>H961</f>
        <v>0</v>
      </c>
      <c r="I960" s="87">
        <f>I961</f>
        <v>0</v>
      </c>
      <c r="J960" s="177"/>
      <c r="K960" s="200"/>
      <c r="L960" s="200"/>
      <c r="M960" s="200"/>
      <c r="N960" s="200"/>
      <c r="O960" s="200"/>
      <c r="P960" s="200"/>
      <c r="Q960" s="200"/>
      <c r="R960" s="200"/>
    </row>
    <row r="961" spans="1:18" s="18" customFormat="1" ht="13.5" hidden="1" customHeight="1">
      <c r="A961" s="82" t="s">
        <v>32</v>
      </c>
      <c r="B961" s="84" t="s">
        <v>94</v>
      </c>
      <c r="C961" s="84" t="s">
        <v>26</v>
      </c>
      <c r="D961" s="84" t="s">
        <v>26</v>
      </c>
      <c r="E961" s="84" t="s">
        <v>767</v>
      </c>
      <c r="F961" s="84" t="s">
        <v>33</v>
      </c>
      <c r="G961" s="87"/>
      <c r="H961" s="87"/>
      <c r="I961" s="87"/>
      <c r="J961" s="177"/>
      <c r="K961" s="200"/>
      <c r="L961" s="200"/>
      <c r="M961" s="200"/>
      <c r="N961" s="200"/>
      <c r="O961" s="200"/>
      <c r="P961" s="200"/>
      <c r="Q961" s="200"/>
      <c r="R961" s="200"/>
    </row>
    <row r="962" spans="1:18" s="18" customFormat="1" ht="56.25" hidden="1" customHeight="1">
      <c r="A962" s="135" t="s">
        <v>770</v>
      </c>
      <c r="B962" s="84" t="s">
        <v>94</v>
      </c>
      <c r="C962" s="84" t="s">
        <v>26</v>
      </c>
      <c r="D962" s="84" t="s">
        <v>26</v>
      </c>
      <c r="E962" s="84" t="s">
        <v>769</v>
      </c>
      <c r="F962" s="84"/>
      <c r="G962" s="87">
        <f>G963+G965</f>
        <v>0</v>
      </c>
      <c r="H962" s="87">
        <f>H963+H965</f>
        <v>0</v>
      </c>
      <c r="I962" s="87">
        <f>I963+I965</f>
        <v>0</v>
      </c>
      <c r="J962" s="177"/>
      <c r="K962" s="200"/>
      <c r="L962" s="200"/>
      <c r="M962" s="200"/>
      <c r="N962" s="200"/>
      <c r="O962" s="200"/>
      <c r="P962" s="200"/>
      <c r="Q962" s="200"/>
      <c r="R962" s="200"/>
    </row>
    <row r="963" spans="1:18" s="18" customFormat="1" ht="25.5" hidden="1">
      <c r="A963" s="82" t="s">
        <v>36</v>
      </c>
      <c r="B963" s="84" t="s">
        <v>94</v>
      </c>
      <c r="C963" s="84" t="s">
        <v>26</v>
      </c>
      <c r="D963" s="84" t="s">
        <v>26</v>
      </c>
      <c r="E963" s="84" t="s">
        <v>135</v>
      </c>
      <c r="F963" s="84" t="s">
        <v>37</v>
      </c>
      <c r="G963" s="87">
        <f>G964</f>
        <v>0</v>
      </c>
      <c r="H963" s="87">
        <f>H964</f>
        <v>0</v>
      </c>
      <c r="I963" s="87">
        <f>I964</f>
        <v>0</v>
      </c>
      <c r="J963" s="177"/>
      <c r="K963" s="200"/>
      <c r="L963" s="200"/>
      <c r="M963" s="200"/>
      <c r="N963" s="200"/>
      <c r="O963" s="200"/>
      <c r="P963" s="200"/>
      <c r="Q963" s="200"/>
      <c r="R963" s="200"/>
    </row>
    <row r="964" spans="1:18" s="18" customFormat="1" ht="25.5" hidden="1">
      <c r="A964" s="82" t="s">
        <v>38</v>
      </c>
      <c r="B964" s="84" t="s">
        <v>94</v>
      </c>
      <c r="C964" s="84" t="s">
        <v>26</v>
      </c>
      <c r="D964" s="84" t="s">
        <v>26</v>
      </c>
      <c r="E964" s="84" t="s">
        <v>135</v>
      </c>
      <c r="F964" s="84" t="s">
        <v>39</v>
      </c>
      <c r="G964" s="87"/>
      <c r="H964" s="87"/>
      <c r="I964" s="87"/>
      <c r="J964" s="177"/>
      <c r="K964" s="200"/>
      <c r="L964" s="200"/>
      <c r="M964" s="200"/>
      <c r="N964" s="200"/>
      <c r="O964" s="200"/>
      <c r="P964" s="200"/>
      <c r="Q964" s="200"/>
      <c r="R964" s="200"/>
    </row>
    <row r="965" spans="1:18" s="18" customFormat="1" hidden="1">
      <c r="A965" s="82" t="s">
        <v>63</v>
      </c>
      <c r="B965" s="84" t="s">
        <v>94</v>
      </c>
      <c r="C965" s="84" t="s">
        <v>26</v>
      </c>
      <c r="D965" s="84" t="s">
        <v>26</v>
      </c>
      <c r="E965" s="84" t="s">
        <v>769</v>
      </c>
      <c r="F965" s="84" t="s">
        <v>64</v>
      </c>
      <c r="G965" s="87">
        <f>G966</f>
        <v>0</v>
      </c>
      <c r="H965" s="87">
        <f>H966</f>
        <v>0</v>
      </c>
      <c r="I965" s="87">
        <f>I966</f>
        <v>0</v>
      </c>
      <c r="J965" s="177"/>
      <c r="K965" s="200"/>
      <c r="L965" s="200"/>
      <c r="M965" s="200"/>
      <c r="N965" s="200"/>
      <c r="O965" s="200"/>
      <c r="P965" s="200"/>
      <c r="Q965" s="200"/>
      <c r="R965" s="200"/>
    </row>
    <row r="966" spans="1:18" s="18" customFormat="1" ht="13.5" hidden="1" customHeight="1">
      <c r="A966" s="82" t="s">
        <v>180</v>
      </c>
      <c r="B966" s="84" t="s">
        <v>94</v>
      </c>
      <c r="C966" s="84" t="s">
        <v>26</v>
      </c>
      <c r="D966" s="84" t="s">
        <v>26</v>
      </c>
      <c r="E966" s="84" t="s">
        <v>769</v>
      </c>
      <c r="F966" s="84" t="s">
        <v>181</v>
      </c>
      <c r="G966" s="87">
        <f>572400-572400</f>
        <v>0</v>
      </c>
      <c r="H966" s="87"/>
      <c r="I966" s="87"/>
      <c r="J966" s="177"/>
      <c r="K966" s="200"/>
      <c r="L966" s="200"/>
      <c r="M966" s="200"/>
      <c r="N966" s="200"/>
      <c r="O966" s="200"/>
      <c r="P966" s="200"/>
      <c r="Q966" s="200"/>
      <c r="R966" s="200"/>
    </row>
    <row r="967" spans="1:18" s="3" customFormat="1" ht="51">
      <c r="A967" s="82" t="s">
        <v>425</v>
      </c>
      <c r="B967" s="149">
        <v>774</v>
      </c>
      <c r="C967" s="84" t="s">
        <v>26</v>
      </c>
      <c r="D967" s="84" t="s">
        <v>26</v>
      </c>
      <c r="E967" s="84" t="s">
        <v>424</v>
      </c>
      <c r="F967" s="84"/>
      <c r="G967" s="87">
        <f t="shared" ref="G967:I968" si="232">G968</f>
        <v>341000</v>
      </c>
      <c r="H967" s="87">
        <f t="shared" si="232"/>
        <v>0</v>
      </c>
      <c r="I967" s="87">
        <f t="shared" si="232"/>
        <v>0</v>
      </c>
      <c r="J967" s="177"/>
      <c r="K967" s="199"/>
      <c r="L967" s="199"/>
      <c r="M967" s="199"/>
      <c r="N967" s="199"/>
      <c r="O967" s="199"/>
      <c r="P967" s="199"/>
      <c r="Q967" s="199"/>
      <c r="R967" s="199"/>
    </row>
    <row r="968" spans="1:18" s="3" customFormat="1" ht="25.5">
      <c r="A968" s="82" t="s">
        <v>30</v>
      </c>
      <c r="B968" s="149">
        <v>774</v>
      </c>
      <c r="C968" s="84" t="s">
        <v>26</v>
      </c>
      <c r="D968" s="84" t="s">
        <v>26</v>
      </c>
      <c r="E968" s="84" t="s">
        <v>424</v>
      </c>
      <c r="F968" s="84" t="s">
        <v>31</v>
      </c>
      <c r="G968" s="87">
        <f t="shared" si="232"/>
        <v>341000</v>
      </c>
      <c r="H968" s="87">
        <f t="shared" si="232"/>
        <v>0</v>
      </c>
      <c r="I968" s="87">
        <f t="shared" si="232"/>
        <v>0</v>
      </c>
      <c r="J968" s="177"/>
      <c r="K968" s="199"/>
      <c r="L968" s="199"/>
      <c r="M968" s="199"/>
      <c r="N968" s="199"/>
      <c r="O968" s="199"/>
      <c r="P968" s="199"/>
      <c r="Q968" s="199"/>
      <c r="R968" s="199"/>
    </row>
    <row r="969" spans="1:18" s="3" customFormat="1">
      <c r="A969" s="82" t="s">
        <v>32</v>
      </c>
      <c r="B969" s="149">
        <v>774</v>
      </c>
      <c r="C969" s="84" t="s">
        <v>26</v>
      </c>
      <c r="D969" s="84" t="s">
        <v>26</v>
      </c>
      <c r="E969" s="84" t="s">
        <v>424</v>
      </c>
      <c r="F969" s="84" t="s">
        <v>33</v>
      </c>
      <c r="G969" s="87">
        <v>341000</v>
      </c>
      <c r="H969" s="87">
        <v>0</v>
      </c>
      <c r="I969" s="87">
        <v>0</v>
      </c>
      <c r="J969" s="177"/>
      <c r="K969" s="199"/>
      <c r="L969" s="199"/>
      <c r="M969" s="199"/>
      <c r="N969" s="199"/>
      <c r="O969" s="199"/>
      <c r="P969" s="199"/>
      <c r="Q969" s="199"/>
      <c r="R969" s="199"/>
    </row>
    <row r="970" spans="1:18" s="18" customFormat="1" ht="61.5" customHeight="1">
      <c r="A970" s="135" t="s">
        <v>920</v>
      </c>
      <c r="B970" s="84" t="s">
        <v>94</v>
      </c>
      <c r="C970" s="84" t="s">
        <v>26</v>
      </c>
      <c r="D970" s="84" t="s">
        <v>26</v>
      </c>
      <c r="E970" s="84" t="s">
        <v>919</v>
      </c>
      <c r="F970" s="84"/>
      <c r="G970" s="87">
        <f>G971</f>
        <v>0</v>
      </c>
      <c r="H970" s="87">
        <f t="shared" ref="H970:I970" si="233">H971</f>
        <v>0</v>
      </c>
      <c r="I970" s="87">
        <f t="shared" si="233"/>
        <v>0</v>
      </c>
      <c r="J970" s="177"/>
      <c r="K970" s="200"/>
      <c r="L970" s="200"/>
      <c r="M970" s="200"/>
      <c r="N970" s="200"/>
      <c r="O970" s="200"/>
      <c r="P970" s="200"/>
      <c r="Q970" s="200"/>
      <c r="R970" s="200"/>
    </row>
    <row r="971" spans="1:18" s="18" customFormat="1">
      <c r="A971" s="82" t="s">
        <v>63</v>
      </c>
      <c r="B971" s="84" t="s">
        <v>94</v>
      </c>
      <c r="C971" s="84" t="s">
        <v>26</v>
      </c>
      <c r="D971" s="84" t="s">
        <v>26</v>
      </c>
      <c r="E971" s="84" t="s">
        <v>919</v>
      </c>
      <c r="F971" s="84" t="s">
        <v>64</v>
      </c>
      <c r="G971" s="87">
        <f>G972</f>
        <v>0</v>
      </c>
      <c r="H971" s="87">
        <f>H972</f>
        <v>0</v>
      </c>
      <c r="I971" s="87">
        <f>I972</f>
        <v>0</v>
      </c>
      <c r="J971" s="177"/>
      <c r="K971" s="200"/>
      <c r="L971" s="200"/>
      <c r="M971" s="200"/>
      <c r="N971" s="200"/>
      <c r="O971" s="200"/>
      <c r="P971" s="200"/>
      <c r="Q971" s="200"/>
      <c r="R971" s="200"/>
    </row>
    <row r="972" spans="1:18" s="18" customFormat="1">
      <c r="A972" s="82" t="s">
        <v>180</v>
      </c>
      <c r="B972" s="84" t="s">
        <v>94</v>
      </c>
      <c r="C972" s="84" t="s">
        <v>26</v>
      </c>
      <c r="D972" s="84" t="s">
        <v>26</v>
      </c>
      <c r="E972" s="84" t="s">
        <v>919</v>
      </c>
      <c r="F972" s="84" t="s">
        <v>181</v>
      </c>
      <c r="G972" s="87">
        <f>3000000-3000000</f>
        <v>0</v>
      </c>
      <c r="H972" s="87">
        <v>0</v>
      </c>
      <c r="I972" s="87">
        <v>0</v>
      </c>
      <c r="J972" s="177"/>
      <c r="K972" s="200"/>
      <c r="L972" s="200"/>
      <c r="M972" s="200"/>
      <c r="N972" s="200"/>
      <c r="O972" s="200"/>
      <c r="P972" s="200"/>
      <c r="Q972" s="200"/>
      <c r="R972" s="200"/>
    </row>
    <row r="973" spans="1:18" s="18" customFormat="1" ht="25.5">
      <c r="A973" s="82" t="s">
        <v>481</v>
      </c>
      <c r="B973" s="84" t="s">
        <v>94</v>
      </c>
      <c r="C973" s="84" t="s">
        <v>26</v>
      </c>
      <c r="D973" s="84" t="s">
        <v>26</v>
      </c>
      <c r="E973" s="84" t="s">
        <v>197</v>
      </c>
      <c r="F973" s="84"/>
      <c r="G973" s="87">
        <f>G974</f>
        <v>27944.32</v>
      </c>
      <c r="H973" s="87">
        <f>H974</f>
        <v>0</v>
      </c>
      <c r="I973" s="87">
        <f>I974</f>
        <v>0</v>
      </c>
      <c r="J973" s="177"/>
      <c r="K973" s="200"/>
      <c r="L973" s="200"/>
      <c r="M973" s="200"/>
      <c r="N973" s="200"/>
      <c r="O973" s="200"/>
      <c r="P973" s="200"/>
      <c r="Q973" s="200"/>
      <c r="R973" s="200"/>
    </row>
    <row r="974" spans="1:18" s="18" customFormat="1" ht="38.25">
      <c r="A974" s="82" t="s">
        <v>1127</v>
      </c>
      <c r="B974" s="84" t="s">
        <v>94</v>
      </c>
      <c r="C974" s="84" t="s">
        <v>26</v>
      </c>
      <c r="D974" s="84" t="s">
        <v>26</v>
      </c>
      <c r="E974" s="84" t="s">
        <v>1128</v>
      </c>
      <c r="F974" s="84"/>
      <c r="G974" s="87">
        <f>G975</f>
        <v>27944.32</v>
      </c>
      <c r="H974" s="87">
        <f t="shared" ref="H974:I975" si="234">H975</f>
        <v>0</v>
      </c>
      <c r="I974" s="87">
        <f t="shared" si="234"/>
        <v>0</v>
      </c>
      <c r="J974" s="177"/>
      <c r="K974" s="200"/>
      <c r="L974" s="200"/>
      <c r="M974" s="200"/>
      <c r="N974" s="200"/>
      <c r="O974" s="200"/>
      <c r="P974" s="200"/>
      <c r="Q974" s="200"/>
      <c r="R974" s="200"/>
    </row>
    <row r="975" spans="1:18" s="18" customFormat="1" ht="25.5">
      <c r="A975" s="82" t="s">
        <v>30</v>
      </c>
      <c r="B975" s="84" t="s">
        <v>94</v>
      </c>
      <c r="C975" s="84" t="s">
        <v>26</v>
      </c>
      <c r="D975" s="84" t="s">
        <v>26</v>
      </c>
      <c r="E975" s="84" t="s">
        <v>1128</v>
      </c>
      <c r="F975" s="84" t="s">
        <v>31</v>
      </c>
      <c r="G975" s="87">
        <f>G976</f>
        <v>27944.32</v>
      </c>
      <c r="H975" s="87">
        <f t="shared" si="234"/>
        <v>0</v>
      </c>
      <c r="I975" s="87">
        <f t="shared" si="234"/>
        <v>0</v>
      </c>
      <c r="J975" s="177"/>
      <c r="K975" s="200"/>
      <c r="L975" s="200"/>
      <c r="M975" s="200"/>
      <c r="N975" s="200"/>
      <c r="O975" s="200"/>
      <c r="P975" s="200"/>
      <c r="Q975" s="200"/>
      <c r="R975" s="200"/>
    </row>
    <row r="976" spans="1:18" s="18" customFormat="1">
      <c r="A976" s="82" t="s">
        <v>32</v>
      </c>
      <c r="B976" s="84" t="s">
        <v>94</v>
      </c>
      <c r="C976" s="84" t="s">
        <v>26</v>
      </c>
      <c r="D976" s="84" t="s">
        <v>26</v>
      </c>
      <c r="E976" s="84" t="s">
        <v>1128</v>
      </c>
      <c r="F976" s="84" t="s">
        <v>33</v>
      </c>
      <c r="G976" s="87">
        <v>27944.32</v>
      </c>
      <c r="H976" s="87"/>
      <c r="I976" s="87"/>
      <c r="J976" s="177"/>
      <c r="K976" s="200"/>
      <c r="L976" s="200"/>
      <c r="M976" s="200"/>
      <c r="N976" s="200"/>
      <c r="O976" s="200"/>
      <c r="P976" s="200"/>
      <c r="Q976" s="200"/>
      <c r="R976" s="200"/>
    </row>
    <row r="977" spans="1:18">
      <c r="A977" s="82" t="s">
        <v>122</v>
      </c>
      <c r="B977" s="84" t="s">
        <v>94</v>
      </c>
      <c r="C977" s="84" t="s">
        <v>26</v>
      </c>
      <c r="D977" s="84" t="s">
        <v>123</v>
      </c>
      <c r="E977" s="84"/>
      <c r="F977" s="84"/>
      <c r="G977" s="87">
        <f>G979</f>
        <v>15003714.68</v>
      </c>
      <c r="H977" s="87">
        <f t="shared" ref="H977:I977" si="235">H979</f>
        <v>14394426</v>
      </c>
      <c r="I977" s="87">
        <f t="shared" si="235"/>
        <v>14530380</v>
      </c>
      <c r="J977" s="177"/>
    </row>
    <row r="978" spans="1:18" ht="51" hidden="1">
      <c r="A978" s="135" t="s">
        <v>124</v>
      </c>
      <c r="B978" s="84" t="s">
        <v>94</v>
      </c>
      <c r="C978" s="84" t="s">
        <v>26</v>
      </c>
      <c r="D978" s="84" t="s">
        <v>123</v>
      </c>
      <c r="E978" s="84"/>
      <c r="F978" s="84"/>
      <c r="G978" s="87"/>
      <c r="H978" s="87"/>
      <c r="I978" s="87"/>
      <c r="J978" s="177"/>
    </row>
    <row r="979" spans="1:18" ht="25.5">
      <c r="A979" s="82" t="s">
        <v>477</v>
      </c>
      <c r="B979" s="84" t="s">
        <v>94</v>
      </c>
      <c r="C979" s="84" t="s">
        <v>26</v>
      </c>
      <c r="D979" s="84" t="s">
        <v>123</v>
      </c>
      <c r="E979" s="84" t="s">
        <v>189</v>
      </c>
      <c r="F979" s="84"/>
      <c r="G979" s="87">
        <f>G994+G1009+G1013+G984</f>
        <v>15003714.68</v>
      </c>
      <c r="H979" s="87">
        <f>H994+H1009+H1013+H984</f>
        <v>14394426</v>
      </c>
      <c r="I979" s="87">
        <f>I994+I1009+I1013+I984</f>
        <v>14530380</v>
      </c>
      <c r="J979" s="177"/>
    </row>
    <row r="980" spans="1:18" ht="30.75" hidden="1" customHeight="1">
      <c r="A980" s="82"/>
      <c r="B980" s="84"/>
      <c r="C980" s="84"/>
      <c r="D980" s="84"/>
      <c r="E980" s="84"/>
      <c r="F980" s="84"/>
      <c r="G980" s="87"/>
      <c r="H980" s="87"/>
      <c r="I980" s="87"/>
      <c r="J980" s="177"/>
    </row>
    <row r="981" spans="1:18" s="18" customFormat="1" hidden="1">
      <c r="A981" s="142"/>
      <c r="B981" s="84"/>
      <c r="C981" s="84"/>
      <c r="D981" s="84"/>
      <c r="E981" s="84"/>
      <c r="F981" s="84"/>
      <c r="G981" s="87"/>
      <c r="H981" s="87"/>
      <c r="I981" s="87"/>
      <c r="J981" s="177"/>
      <c r="K981" s="200"/>
      <c r="L981" s="200"/>
      <c r="M981" s="200"/>
      <c r="N981" s="200"/>
      <c r="O981" s="200"/>
      <c r="P981" s="200"/>
      <c r="Q981" s="200"/>
      <c r="R981" s="200"/>
    </row>
    <row r="982" spans="1:18" s="18" customFormat="1" hidden="1">
      <c r="A982" s="82"/>
      <c r="B982" s="84"/>
      <c r="C982" s="84"/>
      <c r="D982" s="84"/>
      <c r="E982" s="84"/>
      <c r="F982" s="84"/>
      <c r="G982" s="87"/>
      <c r="H982" s="87"/>
      <c r="I982" s="87"/>
      <c r="J982" s="177"/>
      <c r="K982" s="200"/>
      <c r="L982" s="200"/>
      <c r="M982" s="200"/>
      <c r="N982" s="200"/>
      <c r="O982" s="200"/>
      <c r="P982" s="200"/>
      <c r="Q982" s="200"/>
      <c r="R982" s="200"/>
    </row>
    <row r="983" spans="1:18" s="18" customFormat="1" hidden="1">
      <c r="A983" s="82"/>
      <c r="B983" s="84"/>
      <c r="C983" s="84"/>
      <c r="D983" s="84"/>
      <c r="E983" s="84"/>
      <c r="F983" s="84"/>
      <c r="G983" s="87"/>
      <c r="H983" s="87"/>
      <c r="I983" s="87"/>
      <c r="J983" s="177"/>
      <c r="K983" s="200"/>
      <c r="L983" s="200"/>
      <c r="M983" s="200"/>
      <c r="N983" s="200"/>
      <c r="O983" s="200"/>
      <c r="P983" s="200"/>
      <c r="Q983" s="200"/>
      <c r="R983" s="200"/>
    </row>
    <row r="984" spans="1:18" s="18" customFormat="1" ht="30" customHeight="1">
      <c r="A984" s="82" t="s">
        <v>90</v>
      </c>
      <c r="B984" s="84" t="s">
        <v>94</v>
      </c>
      <c r="C984" s="84" t="s">
        <v>26</v>
      </c>
      <c r="D984" s="84" t="s">
        <v>123</v>
      </c>
      <c r="E984" s="84" t="s">
        <v>215</v>
      </c>
      <c r="F984" s="84"/>
      <c r="G984" s="87">
        <f>G985+G991+G988</f>
        <v>265443.68</v>
      </c>
      <c r="H984" s="87">
        <f>H985+H991</f>
        <v>106202</v>
      </c>
      <c r="I984" s="87">
        <f>I985+I991</f>
        <v>106202</v>
      </c>
      <c r="J984" s="177"/>
      <c r="K984" s="200"/>
      <c r="L984" s="200"/>
      <c r="M984" s="200"/>
      <c r="N984" s="200"/>
      <c r="O984" s="200"/>
      <c r="P984" s="200"/>
      <c r="Q984" s="200"/>
      <c r="R984" s="200"/>
    </row>
    <row r="985" spans="1:18" ht="33" customHeight="1">
      <c r="A985" s="82" t="s">
        <v>983</v>
      </c>
      <c r="B985" s="84" t="s">
        <v>94</v>
      </c>
      <c r="C985" s="84" t="s">
        <v>26</v>
      </c>
      <c r="D985" s="84" t="s">
        <v>123</v>
      </c>
      <c r="E985" s="84" t="s">
        <v>956</v>
      </c>
      <c r="F985" s="84"/>
      <c r="G985" s="87">
        <f>G986</f>
        <v>100000</v>
      </c>
      <c r="H985" s="87">
        <f t="shared" ref="H985:I986" si="236">H986</f>
        <v>0</v>
      </c>
      <c r="I985" s="87">
        <f t="shared" si="236"/>
        <v>0</v>
      </c>
      <c r="J985" s="177"/>
    </row>
    <row r="986" spans="1:18" ht="24.75" customHeight="1">
      <c r="A986" s="82" t="s">
        <v>36</v>
      </c>
      <c r="B986" s="84" t="s">
        <v>94</v>
      </c>
      <c r="C986" s="84" t="s">
        <v>26</v>
      </c>
      <c r="D986" s="84" t="s">
        <v>123</v>
      </c>
      <c r="E986" s="84" t="s">
        <v>956</v>
      </c>
      <c r="F986" s="84" t="s">
        <v>37</v>
      </c>
      <c r="G986" s="87">
        <f>G987</f>
        <v>100000</v>
      </c>
      <c r="H986" s="87">
        <f t="shared" si="236"/>
        <v>0</v>
      </c>
      <c r="I986" s="87">
        <f t="shared" si="236"/>
        <v>0</v>
      </c>
      <c r="J986" s="177"/>
    </row>
    <row r="987" spans="1:18" ht="36.75" customHeight="1">
      <c r="A987" s="82" t="s">
        <v>38</v>
      </c>
      <c r="B987" s="84" t="s">
        <v>94</v>
      </c>
      <c r="C987" s="84" t="s">
        <v>26</v>
      </c>
      <c r="D987" s="84" t="s">
        <v>123</v>
      </c>
      <c r="E987" s="84" t="s">
        <v>956</v>
      </c>
      <c r="F987" s="84" t="s">
        <v>39</v>
      </c>
      <c r="G987" s="87">
        <v>100000</v>
      </c>
      <c r="H987" s="87">
        <v>0</v>
      </c>
      <c r="I987" s="87">
        <v>0</v>
      </c>
      <c r="J987" s="177"/>
    </row>
    <row r="988" spans="1:18" s="18" customFormat="1" ht="57.75" customHeight="1">
      <c r="A988" s="281" t="s">
        <v>1042</v>
      </c>
      <c r="B988" s="84" t="s">
        <v>94</v>
      </c>
      <c r="C988" s="84" t="s">
        <v>26</v>
      </c>
      <c r="D988" s="84" t="s">
        <v>123</v>
      </c>
      <c r="E988" s="84" t="s">
        <v>1041</v>
      </c>
      <c r="F988" s="84"/>
      <c r="G988" s="87">
        <f t="shared" ref="G988:I989" si="237">G989</f>
        <v>4524.1400000000003</v>
      </c>
      <c r="H988" s="87">
        <f t="shared" si="237"/>
        <v>0</v>
      </c>
      <c r="I988" s="87">
        <f t="shared" si="237"/>
        <v>0</v>
      </c>
      <c r="J988" s="177"/>
      <c r="K988" s="200"/>
      <c r="L988" s="200"/>
      <c r="M988" s="200"/>
      <c r="N988" s="200"/>
      <c r="O988" s="200"/>
      <c r="P988" s="200"/>
      <c r="Q988" s="200"/>
      <c r="R988" s="200"/>
    </row>
    <row r="989" spans="1:18" s="18" customFormat="1">
      <c r="A989" s="82" t="s">
        <v>148</v>
      </c>
      <c r="B989" s="84" t="s">
        <v>94</v>
      </c>
      <c r="C989" s="84" t="s">
        <v>26</v>
      </c>
      <c r="D989" s="84" t="s">
        <v>123</v>
      </c>
      <c r="E989" s="84" t="s">
        <v>1041</v>
      </c>
      <c r="F989" s="84" t="s">
        <v>149</v>
      </c>
      <c r="G989" s="87">
        <f t="shared" si="237"/>
        <v>4524.1400000000003</v>
      </c>
      <c r="H989" s="87">
        <f t="shared" si="237"/>
        <v>0</v>
      </c>
      <c r="I989" s="87">
        <f t="shared" si="237"/>
        <v>0</v>
      </c>
      <c r="J989" s="177"/>
      <c r="K989" s="200"/>
      <c r="L989" s="200"/>
      <c r="M989" s="200"/>
      <c r="N989" s="200"/>
      <c r="O989" s="200"/>
      <c r="P989" s="200"/>
      <c r="Q989" s="200"/>
      <c r="R989" s="200"/>
    </row>
    <row r="990" spans="1:18" s="18" customFormat="1">
      <c r="A990" s="82" t="s">
        <v>921</v>
      </c>
      <c r="B990" s="84" t="s">
        <v>94</v>
      </c>
      <c r="C990" s="84" t="s">
        <v>26</v>
      </c>
      <c r="D990" s="84" t="s">
        <v>123</v>
      </c>
      <c r="E990" s="84" t="s">
        <v>1041</v>
      </c>
      <c r="F990" s="84" t="s">
        <v>918</v>
      </c>
      <c r="G990" s="87">
        <v>4524.1400000000003</v>
      </c>
      <c r="H990" s="87"/>
      <c r="I990" s="87"/>
      <c r="J990" s="177"/>
      <c r="K990" s="200"/>
      <c r="L990" s="200"/>
      <c r="M990" s="200"/>
      <c r="N990" s="200"/>
      <c r="O990" s="200"/>
      <c r="P990" s="200"/>
      <c r="Q990" s="200"/>
      <c r="R990" s="200"/>
    </row>
    <row r="991" spans="1:18" s="18" customFormat="1" ht="38.25">
      <c r="A991" s="281" t="s">
        <v>881</v>
      </c>
      <c r="B991" s="84" t="s">
        <v>94</v>
      </c>
      <c r="C991" s="84" t="s">
        <v>26</v>
      </c>
      <c r="D991" s="84" t="s">
        <v>123</v>
      </c>
      <c r="E991" s="84" t="s">
        <v>880</v>
      </c>
      <c r="F991" s="84"/>
      <c r="G991" s="87">
        <f t="shared" ref="G991:I992" si="238">G992</f>
        <v>160919.54</v>
      </c>
      <c r="H991" s="87">
        <f t="shared" si="238"/>
        <v>106202</v>
      </c>
      <c r="I991" s="87">
        <f t="shared" si="238"/>
        <v>106202</v>
      </c>
      <c r="J991" s="177"/>
      <c r="K991" s="200"/>
      <c r="L991" s="200"/>
      <c r="M991" s="200"/>
      <c r="N991" s="200"/>
      <c r="O991" s="200"/>
      <c r="P991" s="200"/>
      <c r="Q991" s="200"/>
      <c r="R991" s="200"/>
    </row>
    <row r="992" spans="1:18" s="18" customFormat="1">
      <c r="A992" s="82" t="s">
        <v>148</v>
      </c>
      <c r="B992" s="84" t="s">
        <v>94</v>
      </c>
      <c r="C992" s="84" t="s">
        <v>26</v>
      </c>
      <c r="D992" s="84" t="s">
        <v>123</v>
      </c>
      <c r="E992" s="84" t="s">
        <v>880</v>
      </c>
      <c r="F992" s="84" t="s">
        <v>149</v>
      </c>
      <c r="G992" s="87">
        <f t="shared" si="238"/>
        <v>160919.54</v>
      </c>
      <c r="H992" s="87">
        <f t="shared" si="238"/>
        <v>106202</v>
      </c>
      <c r="I992" s="87">
        <f t="shared" si="238"/>
        <v>106202</v>
      </c>
      <c r="J992" s="177"/>
      <c r="K992" s="200"/>
      <c r="L992" s="200"/>
      <c r="M992" s="200"/>
      <c r="N992" s="200"/>
      <c r="O992" s="200"/>
      <c r="P992" s="200"/>
      <c r="Q992" s="200"/>
      <c r="R992" s="200"/>
    </row>
    <row r="993" spans="1:18" s="18" customFormat="1">
      <c r="A993" s="82" t="s">
        <v>921</v>
      </c>
      <c r="B993" s="84" t="s">
        <v>94</v>
      </c>
      <c r="C993" s="84" t="s">
        <v>26</v>
      </c>
      <c r="D993" s="84" t="s">
        <v>123</v>
      </c>
      <c r="E993" s="84" t="s">
        <v>880</v>
      </c>
      <c r="F993" s="84" t="s">
        <v>918</v>
      </c>
      <c r="G993" s="87">
        <v>160919.54</v>
      </c>
      <c r="H993" s="87">
        <f>52800+53402</f>
        <v>106202</v>
      </c>
      <c r="I993" s="87">
        <f>53402+52800</f>
        <v>106202</v>
      </c>
      <c r="J993" s="177"/>
      <c r="K993" s="200"/>
      <c r="L993" s="200"/>
      <c r="M993" s="200"/>
      <c r="N993" s="200"/>
      <c r="O993" s="200"/>
      <c r="P993" s="200"/>
      <c r="Q993" s="200"/>
      <c r="R993" s="200"/>
    </row>
    <row r="994" spans="1:18" s="18" customFormat="1" ht="32.25" customHeight="1">
      <c r="A994" s="82" t="s">
        <v>143</v>
      </c>
      <c r="B994" s="84" t="s">
        <v>94</v>
      </c>
      <c r="C994" s="84" t="s">
        <v>26</v>
      </c>
      <c r="D994" s="84" t="s">
        <v>123</v>
      </c>
      <c r="E994" s="84" t="s">
        <v>227</v>
      </c>
      <c r="F994" s="84"/>
      <c r="G994" s="87">
        <f>G995</f>
        <v>14738271</v>
      </c>
      <c r="H994" s="87">
        <f t="shared" ref="H994:I994" si="239">H995</f>
        <v>14288224</v>
      </c>
      <c r="I994" s="87">
        <f t="shared" si="239"/>
        <v>14424178</v>
      </c>
      <c r="J994" s="177"/>
      <c r="K994" s="200"/>
      <c r="L994" s="200"/>
      <c r="M994" s="200"/>
      <c r="N994" s="200"/>
      <c r="O994" s="200"/>
      <c r="P994" s="200"/>
      <c r="Q994" s="200"/>
      <c r="R994" s="200"/>
    </row>
    <row r="995" spans="1:18" s="18" customFormat="1" ht="25.5">
      <c r="A995" s="82" t="s">
        <v>76</v>
      </c>
      <c r="B995" s="84" t="s">
        <v>94</v>
      </c>
      <c r="C995" s="84" t="s">
        <v>26</v>
      </c>
      <c r="D995" s="84" t="s">
        <v>123</v>
      </c>
      <c r="E995" s="84" t="s">
        <v>228</v>
      </c>
      <c r="F995" s="84"/>
      <c r="G995" s="87">
        <f>G996+G998+G1000</f>
        <v>14738271</v>
      </c>
      <c r="H995" s="87">
        <f t="shared" ref="H995:I995" si="240">H996+H998+H1000</f>
        <v>14288224</v>
      </c>
      <c r="I995" s="87">
        <f t="shared" si="240"/>
        <v>14424178</v>
      </c>
      <c r="J995" s="177"/>
      <c r="K995" s="200"/>
      <c r="L995" s="200"/>
      <c r="M995" s="200"/>
      <c r="N995" s="200"/>
      <c r="O995" s="200"/>
      <c r="P995" s="200"/>
      <c r="Q995" s="200"/>
      <c r="R995" s="200"/>
    </row>
    <row r="996" spans="1:18" ht="63.75">
      <c r="A996" s="82" t="s">
        <v>55</v>
      </c>
      <c r="B996" s="84" t="s">
        <v>94</v>
      </c>
      <c r="C996" s="84" t="s">
        <v>26</v>
      </c>
      <c r="D996" s="84" t="s">
        <v>123</v>
      </c>
      <c r="E996" s="84" t="s">
        <v>228</v>
      </c>
      <c r="F996" s="84" t="s">
        <v>58</v>
      </c>
      <c r="G996" s="87">
        <f>G997</f>
        <v>14267619</v>
      </c>
      <c r="H996" s="87">
        <f>H997</f>
        <v>13817572</v>
      </c>
      <c r="I996" s="87">
        <f>I997</f>
        <v>13953526</v>
      </c>
      <c r="J996" s="177"/>
    </row>
    <row r="997" spans="1:18" ht="25.5">
      <c r="A997" s="82" t="s">
        <v>56</v>
      </c>
      <c r="B997" s="84" t="s">
        <v>94</v>
      </c>
      <c r="C997" s="84" t="s">
        <v>26</v>
      </c>
      <c r="D997" s="84" t="s">
        <v>123</v>
      </c>
      <c r="E997" s="84" t="s">
        <v>228</v>
      </c>
      <c r="F997" s="84" t="s">
        <v>59</v>
      </c>
      <c r="G997" s="87">
        <f>13682964+584655</f>
        <v>14267619</v>
      </c>
      <c r="H997" s="87">
        <v>13817572</v>
      </c>
      <c r="I997" s="87">
        <v>13953526</v>
      </c>
      <c r="J997" s="177"/>
    </row>
    <row r="998" spans="1:18" ht="25.5">
      <c r="A998" s="82" t="s">
        <v>36</v>
      </c>
      <c r="B998" s="84" t="s">
        <v>94</v>
      </c>
      <c r="C998" s="84" t="s">
        <v>26</v>
      </c>
      <c r="D998" s="84" t="s">
        <v>123</v>
      </c>
      <c r="E998" s="84" t="s">
        <v>228</v>
      </c>
      <c r="F998" s="84" t="s">
        <v>37</v>
      </c>
      <c r="G998" s="87">
        <f>G999</f>
        <v>470652</v>
      </c>
      <c r="H998" s="87">
        <f>H999</f>
        <v>470652</v>
      </c>
      <c r="I998" s="87">
        <f>I999</f>
        <v>470652</v>
      </c>
      <c r="J998" s="177"/>
    </row>
    <row r="999" spans="1:18" ht="25.5">
      <c r="A999" s="82" t="s">
        <v>38</v>
      </c>
      <c r="B999" s="84" t="s">
        <v>94</v>
      </c>
      <c r="C999" s="84" t="s">
        <v>26</v>
      </c>
      <c r="D999" s="84" t="s">
        <v>123</v>
      </c>
      <c r="E999" s="84" t="s">
        <v>228</v>
      </c>
      <c r="F999" s="84" t="s">
        <v>39</v>
      </c>
      <c r="G999" s="87">
        <v>470652</v>
      </c>
      <c r="H999" s="87">
        <v>470652</v>
      </c>
      <c r="I999" s="87">
        <v>470652</v>
      </c>
      <c r="J999" s="177"/>
    </row>
    <row r="1000" spans="1:18" hidden="1">
      <c r="A1000" s="82" t="s">
        <v>63</v>
      </c>
      <c r="B1000" s="84" t="s">
        <v>94</v>
      </c>
      <c r="C1000" s="84" t="s">
        <v>26</v>
      </c>
      <c r="D1000" s="84" t="s">
        <v>123</v>
      </c>
      <c r="E1000" s="84" t="s">
        <v>228</v>
      </c>
      <c r="F1000" s="84" t="s">
        <v>64</v>
      </c>
      <c r="G1000" s="94">
        <f>G1002+G1001</f>
        <v>0</v>
      </c>
      <c r="H1000" s="94">
        <f>H1002</f>
        <v>0</v>
      </c>
      <c r="I1000" s="94">
        <f>I1002</f>
        <v>0</v>
      </c>
      <c r="J1000" s="194"/>
    </row>
    <row r="1001" spans="1:18" hidden="1">
      <c r="A1001" s="82" t="s">
        <v>328</v>
      </c>
      <c r="B1001" s="84" t="s">
        <v>94</v>
      </c>
      <c r="C1001" s="84" t="s">
        <v>26</v>
      </c>
      <c r="D1001" s="84" t="s">
        <v>123</v>
      </c>
      <c r="E1001" s="84" t="s">
        <v>228</v>
      </c>
      <c r="F1001" s="84" t="s">
        <v>327</v>
      </c>
      <c r="G1001" s="94"/>
      <c r="H1001" s="94">
        <v>0</v>
      </c>
      <c r="I1001" s="94">
        <v>0</v>
      </c>
      <c r="J1001" s="194"/>
    </row>
    <row r="1002" spans="1:18" hidden="1">
      <c r="A1002" s="82" t="s">
        <v>66</v>
      </c>
      <c r="B1002" s="84" t="s">
        <v>94</v>
      </c>
      <c r="C1002" s="84" t="s">
        <v>26</v>
      </c>
      <c r="D1002" s="84" t="s">
        <v>123</v>
      </c>
      <c r="E1002" s="84" t="s">
        <v>228</v>
      </c>
      <c r="F1002" s="84" t="s">
        <v>67</v>
      </c>
      <c r="G1002" s="94"/>
      <c r="H1002" s="94">
        <v>0</v>
      </c>
      <c r="I1002" s="94">
        <v>0</v>
      </c>
      <c r="J1002" s="194"/>
    </row>
    <row r="1003" spans="1:18" ht="19.5" hidden="1" customHeight="1">
      <c r="A1003" s="82" t="s">
        <v>172</v>
      </c>
      <c r="B1003" s="84" t="s">
        <v>94</v>
      </c>
      <c r="C1003" s="84" t="s">
        <v>26</v>
      </c>
      <c r="D1003" s="84" t="s">
        <v>123</v>
      </c>
      <c r="E1003" s="84"/>
      <c r="F1003" s="84"/>
      <c r="G1003" s="87">
        <f>G1004</f>
        <v>0</v>
      </c>
      <c r="H1003" s="87">
        <f t="shared" ref="H1003:I1003" si="241">H1004</f>
        <v>0</v>
      </c>
      <c r="I1003" s="87">
        <f t="shared" si="241"/>
        <v>0</v>
      </c>
      <c r="J1003" s="177"/>
    </row>
    <row r="1004" spans="1:18" ht="47.25" hidden="1" customHeight="1">
      <c r="A1004" s="82" t="s">
        <v>459</v>
      </c>
      <c r="B1004" s="84" t="s">
        <v>94</v>
      </c>
      <c r="C1004" s="84" t="s">
        <v>26</v>
      </c>
      <c r="D1004" s="84" t="s">
        <v>123</v>
      </c>
      <c r="E1004" s="84" t="s">
        <v>458</v>
      </c>
      <c r="F1004" s="84"/>
      <c r="G1004" s="87">
        <f>G1005</f>
        <v>0</v>
      </c>
      <c r="H1004" s="87">
        <f t="shared" ref="H1004:I1006" si="242">H1005</f>
        <v>0</v>
      </c>
      <c r="I1004" s="87">
        <f t="shared" si="242"/>
        <v>0</v>
      </c>
      <c r="J1004" s="177"/>
    </row>
    <row r="1005" spans="1:18" ht="33.75" hidden="1" customHeight="1">
      <c r="A1005" s="82" t="s">
        <v>457</v>
      </c>
      <c r="B1005" s="84" t="s">
        <v>94</v>
      </c>
      <c r="C1005" s="84" t="s">
        <v>26</v>
      </c>
      <c r="D1005" s="84" t="s">
        <v>123</v>
      </c>
      <c r="E1005" s="84" t="s">
        <v>455</v>
      </c>
      <c r="F1005" s="84"/>
      <c r="G1005" s="87">
        <f>G1006</f>
        <v>0</v>
      </c>
      <c r="H1005" s="87">
        <f t="shared" si="242"/>
        <v>0</v>
      </c>
      <c r="I1005" s="87">
        <f t="shared" si="242"/>
        <v>0</v>
      </c>
      <c r="J1005" s="177"/>
    </row>
    <row r="1006" spans="1:18" ht="17.25" hidden="1" customHeight="1">
      <c r="A1006" s="82" t="s">
        <v>456</v>
      </c>
      <c r="B1006" s="84" t="s">
        <v>94</v>
      </c>
      <c r="C1006" s="84" t="s">
        <v>26</v>
      </c>
      <c r="D1006" s="84" t="s">
        <v>123</v>
      </c>
      <c r="E1006" s="84" t="s">
        <v>455</v>
      </c>
      <c r="F1006" s="84" t="s">
        <v>37</v>
      </c>
      <c r="G1006" s="87">
        <f>G1007</f>
        <v>0</v>
      </c>
      <c r="H1006" s="87">
        <f t="shared" si="242"/>
        <v>0</v>
      </c>
      <c r="I1006" s="87">
        <f t="shared" si="242"/>
        <v>0</v>
      </c>
      <c r="J1006" s="177"/>
    </row>
    <row r="1007" spans="1:18" ht="26.25" hidden="1" customHeight="1">
      <c r="A1007" s="82" t="s">
        <v>38</v>
      </c>
      <c r="B1007" s="84" t="s">
        <v>94</v>
      </c>
      <c r="C1007" s="84" t="s">
        <v>26</v>
      </c>
      <c r="D1007" s="84" t="s">
        <v>123</v>
      </c>
      <c r="E1007" s="84" t="s">
        <v>455</v>
      </c>
      <c r="F1007" s="84" t="s">
        <v>39</v>
      </c>
      <c r="G1007" s="87">
        <f>16000-16000</f>
        <v>0</v>
      </c>
      <c r="H1007" s="127"/>
      <c r="I1007" s="127"/>
      <c r="J1007" s="198"/>
    </row>
    <row r="1008" spans="1:18" ht="30.75" hidden="1" customHeight="1">
      <c r="A1008" s="82"/>
      <c r="B1008" s="84"/>
      <c r="C1008" s="84"/>
      <c r="D1008" s="84"/>
      <c r="E1008" s="84"/>
      <c r="F1008" s="84"/>
      <c r="G1008" s="87"/>
      <c r="H1008" s="87"/>
      <c r="I1008" s="87"/>
      <c r="J1008" s="177"/>
    </row>
    <row r="1009" spans="1:18" s="18" customFormat="1" ht="38.25" hidden="1">
      <c r="A1009" s="281" t="s">
        <v>881</v>
      </c>
      <c r="B1009" s="84" t="s">
        <v>94</v>
      </c>
      <c r="C1009" s="84" t="s">
        <v>26</v>
      </c>
      <c r="D1009" s="84" t="s">
        <v>123</v>
      </c>
      <c r="E1009" s="84" t="s">
        <v>917</v>
      </c>
      <c r="F1009" s="84"/>
      <c r="G1009" s="87">
        <f t="shared" ref="G1009:I1011" si="243">G1010</f>
        <v>0</v>
      </c>
      <c r="H1009" s="87">
        <f t="shared" si="243"/>
        <v>0</v>
      </c>
      <c r="I1009" s="87">
        <f t="shared" si="243"/>
        <v>0</v>
      </c>
      <c r="J1009" s="177"/>
      <c r="K1009" s="200"/>
      <c r="L1009" s="200"/>
      <c r="M1009" s="200"/>
      <c r="N1009" s="200"/>
      <c r="O1009" s="200"/>
      <c r="P1009" s="200"/>
      <c r="Q1009" s="200"/>
      <c r="R1009" s="200"/>
    </row>
    <row r="1010" spans="1:18" s="18" customFormat="1" ht="38.25" hidden="1">
      <c r="A1010" s="281" t="s">
        <v>881</v>
      </c>
      <c r="B1010" s="84" t="s">
        <v>94</v>
      </c>
      <c r="C1010" s="84" t="s">
        <v>26</v>
      </c>
      <c r="D1010" s="84" t="s">
        <v>123</v>
      </c>
      <c r="E1010" s="84" t="s">
        <v>916</v>
      </c>
      <c r="F1010" s="84"/>
      <c r="G1010" s="87">
        <f t="shared" si="243"/>
        <v>0</v>
      </c>
      <c r="H1010" s="87">
        <f t="shared" si="243"/>
        <v>0</v>
      </c>
      <c r="I1010" s="87">
        <f t="shared" si="243"/>
        <v>0</v>
      </c>
      <c r="J1010" s="177"/>
      <c r="K1010" s="200"/>
      <c r="L1010" s="200"/>
      <c r="M1010" s="200"/>
      <c r="N1010" s="200"/>
      <c r="O1010" s="200"/>
      <c r="P1010" s="200"/>
      <c r="Q1010" s="200"/>
      <c r="R1010" s="200"/>
    </row>
    <row r="1011" spans="1:18" s="18" customFormat="1" hidden="1">
      <c r="A1011" s="82" t="s">
        <v>148</v>
      </c>
      <c r="B1011" s="84" t="s">
        <v>94</v>
      </c>
      <c r="C1011" s="84" t="s">
        <v>26</v>
      </c>
      <c r="D1011" s="84" t="s">
        <v>123</v>
      </c>
      <c r="E1011" s="84" t="s">
        <v>916</v>
      </c>
      <c r="F1011" s="84" t="s">
        <v>149</v>
      </c>
      <c r="G1011" s="87">
        <f t="shared" si="243"/>
        <v>0</v>
      </c>
      <c r="H1011" s="87">
        <f t="shared" si="243"/>
        <v>0</v>
      </c>
      <c r="I1011" s="87">
        <f t="shared" si="243"/>
        <v>0</v>
      </c>
      <c r="J1011" s="177"/>
      <c r="K1011" s="200"/>
      <c r="L1011" s="200"/>
      <c r="M1011" s="200"/>
      <c r="N1011" s="200"/>
      <c r="O1011" s="200"/>
      <c r="P1011" s="200"/>
      <c r="Q1011" s="200"/>
      <c r="R1011" s="200"/>
    </row>
    <row r="1012" spans="1:18" s="18" customFormat="1" hidden="1">
      <c r="A1012" s="82" t="s">
        <v>921</v>
      </c>
      <c r="B1012" s="84" t="s">
        <v>94</v>
      </c>
      <c r="C1012" s="84" t="s">
        <v>26</v>
      </c>
      <c r="D1012" s="84" t="s">
        <v>123</v>
      </c>
      <c r="E1012" s="84" t="s">
        <v>916</v>
      </c>
      <c r="F1012" s="84" t="s">
        <v>918</v>
      </c>
      <c r="G1012" s="87">
        <f>52800+123200-176000</f>
        <v>0</v>
      </c>
      <c r="H1012" s="87">
        <f>52800+53402-106202</f>
        <v>0</v>
      </c>
      <c r="I1012" s="87">
        <f>53402+52800-106202</f>
        <v>0</v>
      </c>
      <c r="J1012" s="177"/>
      <c r="K1012" s="200"/>
      <c r="L1012" s="200"/>
      <c r="M1012" s="200"/>
      <c r="N1012" s="200"/>
      <c r="O1012" s="200"/>
      <c r="P1012" s="200"/>
      <c r="Q1012" s="200"/>
      <c r="R1012" s="200"/>
    </row>
    <row r="1013" spans="1:18" ht="33" hidden="1" customHeight="1">
      <c r="A1013" s="82" t="s">
        <v>983</v>
      </c>
      <c r="B1013" s="84" t="s">
        <v>94</v>
      </c>
      <c r="C1013" s="84" t="s">
        <v>26</v>
      </c>
      <c r="D1013" s="84" t="s">
        <v>123</v>
      </c>
      <c r="E1013" s="84" t="s">
        <v>963</v>
      </c>
      <c r="F1013" s="84"/>
      <c r="G1013" s="87">
        <f>G1014</f>
        <v>0</v>
      </c>
      <c r="H1013" s="87">
        <f t="shared" ref="H1013:I1013" si="244">H1014</f>
        <v>0</v>
      </c>
      <c r="I1013" s="87">
        <f t="shared" si="244"/>
        <v>0</v>
      </c>
      <c r="J1013" s="177"/>
    </row>
    <row r="1014" spans="1:18" ht="24.75" hidden="1" customHeight="1">
      <c r="A1014" s="82" t="s">
        <v>36</v>
      </c>
      <c r="B1014" s="84" t="s">
        <v>94</v>
      </c>
      <c r="C1014" s="84" t="s">
        <v>26</v>
      </c>
      <c r="D1014" s="84" t="s">
        <v>123</v>
      </c>
      <c r="E1014" s="84" t="s">
        <v>963</v>
      </c>
      <c r="F1014" s="84" t="s">
        <v>37</v>
      </c>
      <c r="G1014" s="87">
        <f>G1015</f>
        <v>0</v>
      </c>
      <c r="H1014" s="87">
        <f t="shared" ref="H1014:I1014" si="245">H1015</f>
        <v>0</v>
      </c>
      <c r="I1014" s="87">
        <f t="shared" si="245"/>
        <v>0</v>
      </c>
      <c r="J1014" s="177"/>
    </row>
    <row r="1015" spans="1:18" ht="25.9" hidden="1" customHeight="1">
      <c r="A1015" s="82" t="s">
        <v>38</v>
      </c>
      <c r="B1015" s="84" t="s">
        <v>94</v>
      </c>
      <c r="C1015" s="84" t="s">
        <v>26</v>
      </c>
      <c r="D1015" s="84" t="s">
        <v>123</v>
      </c>
      <c r="E1015" s="84" t="s">
        <v>963</v>
      </c>
      <c r="F1015" s="84" t="s">
        <v>39</v>
      </c>
      <c r="G1015" s="87">
        <f>100000-100000</f>
        <v>0</v>
      </c>
      <c r="H1015" s="87">
        <v>0</v>
      </c>
      <c r="I1015" s="87">
        <v>0</v>
      </c>
      <c r="J1015" s="177"/>
    </row>
    <row r="1016" spans="1:18">
      <c r="A1016" s="268" t="s">
        <v>145</v>
      </c>
      <c r="B1016" s="162" t="s">
        <v>94</v>
      </c>
      <c r="C1016" s="270" t="s">
        <v>69</v>
      </c>
      <c r="D1016" s="270"/>
      <c r="E1016" s="270"/>
      <c r="F1016" s="270"/>
      <c r="G1016" s="267">
        <f>G1017+G1022</f>
        <v>30941322.57</v>
      </c>
      <c r="H1016" s="267">
        <f>H1017+H1022</f>
        <v>26454062.789999999</v>
      </c>
      <c r="I1016" s="267">
        <f>I1017+I1022</f>
        <v>27225821.939999998</v>
      </c>
      <c r="J1016" s="191"/>
    </row>
    <row r="1017" spans="1:18">
      <c r="A1017" s="82" t="s">
        <v>146</v>
      </c>
      <c r="B1017" s="84" t="s">
        <v>94</v>
      </c>
      <c r="C1017" s="84" t="s">
        <v>69</v>
      </c>
      <c r="D1017" s="84" t="s">
        <v>19</v>
      </c>
      <c r="E1017" s="84"/>
      <c r="F1017" s="84"/>
      <c r="G1017" s="87">
        <f>G1018</f>
        <v>26801.85</v>
      </c>
      <c r="H1017" s="87">
        <f>H1018</f>
        <v>61500</v>
      </c>
      <c r="I1017" s="87">
        <f>I1018</f>
        <v>61500</v>
      </c>
      <c r="J1017" s="177"/>
    </row>
    <row r="1018" spans="1:18" s="43" customFormat="1" ht="30.75" customHeight="1">
      <c r="A1018" s="82" t="s">
        <v>486</v>
      </c>
      <c r="B1018" s="84" t="s">
        <v>94</v>
      </c>
      <c r="C1018" s="84" t="s">
        <v>69</v>
      </c>
      <c r="D1018" s="84" t="s">
        <v>19</v>
      </c>
      <c r="E1018" s="84" t="s">
        <v>286</v>
      </c>
      <c r="F1018" s="168"/>
      <c r="G1018" s="87">
        <f t="shared" ref="G1018:I1020" si="246">G1019</f>
        <v>26801.85</v>
      </c>
      <c r="H1018" s="87">
        <f t="shared" si="246"/>
        <v>61500</v>
      </c>
      <c r="I1018" s="87">
        <f t="shared" si="246"/>
        <v>61500</v>
      </c>
      <c r="J1018" s="177"/>
      <c r="K1018" s="218"/>
      <c r="L1018" s="218"/>
      <c r="M1018" s="218"/>
      <c r="N1018" s="218"/>
      <c r="O1018" s="218"/>
      <c r="P1018" s="218"/>
      <c r="Q1018" s="218"/>
      <c r="R1018" s="218"/>
    </row>
    <row r="1019" spans="1:18" s="43" customFormat="1">
      <c r="A1019" s="82" t="s">
        <v>147</v>
      </c>
      <c r="B1019" s="84" t="s">
        <v>94</v>
      </c>
      <c r="C1019" s="84" t="s">
        <v>69</v>
      </c>
      <c r="D1019" s="84" t="s">
        <v>19</v>
      </c>
      <c r="E1019" s="84" t="s">
        <v>290</v>
      </c>
      <c r="F1019" s="168"/>
      <c r="G1019" s="87">
        <f t="shared" si="246"/>
        <v>26801.85</v>
      </c>
      <c r="H1019" s="87">
        <f t="shared" si="246"/>
        <v>61500</v>
      </c>
      <c r="I1019" s="87">
        <f t="shared" si="246"/>
        <v>61500</v>
      </c>
      <c r="J1019" s="177"/>
      <c r="K1019" s="218"/>
      <c r="L1019" s="218"/>
      <c r="M1019" s="218"/>
      <c r="N1019" s="218"/>
      <c r="O1019" s="218"/>
      <c r="P1019" s="218"/>
      <c r="Q1019" s="218"/>
      <c r="R1019" s="218"/>
    </row>
    <row r="1020" spans="1:18" s="43" customFormat="1">
      <c r="A1020" s="82" t="s">
        <v>148</v>
      </c>
      <c r="B1020" s="84" t="s">
        <v>94</v>
      </c>
      <c r="C1020" s="84" t="s">
        <v>69</v>
      </c>
      <c r="D1020" s="84" t="s">
        <v>19</v>
      </c>
      <c r="E1020" s="84" t="s">
        <v>290</v>
      </c>
      <c r="F1020" s="84" t="s">
        <v>149</v>
      </c>
      <c r="G1020" s="87">
        <f t="shared" si="246"/>
        <v>26801.85</v>
      </c>
      <c r="H1020" s="87">
        <f t="shared" si="246"/>
        <v>61500</v>
      </c>
      <c r="I1020" s="87">
        <f t="shared" si="246"/>
        <v>61500</v>
      </c>
      <c r="J1020" s="177"/>
      <c r="K1020" s="218"/>
      <c r="L1020" s="218"/>
      <c r="M1020" s="218"/>
      <c r="N1020" s="218"/>
      <c r="O1020" s="218"/>
      <c r="P1020" s="218"/>
      <c r="Q1020" s="218"/>
      <c r="R1020" s="218"/>
    </row>
    <row r="1021" spans="1:18" s="44" customFormat="1" ht="25.5">
      <c r="A1021" s="82" t="s">
        <v>354</v>
      </c>
      <c r="B1021" s="84" t="s">
        <v>94</v>
      </c>
      <c r="C1021" s="84" t="s">
        <v>69</v>
      </c>
      <c r="D1021" s="84" t="s">
        <v>19</v>
      </c>
      <c r="E1021" s="84" t="s">
        <v>290</v>
      </c>
      <c r="F1021" s="84" t="s">
        <v>355</v>
      </c>
      <c r="G1021" s="87">
        <f>61500-34698.15</f>
        <v>26801.85</v>
      </c>
      <c r="H1021" s="87">
        <v>61500</v>
      </c>
      <c r="I1021" s="87">
        <v>61500</v>
      </c>
      <c r="J1021" s="177"/>
      <c r="K1021" s="219"/>
      <c r="L1021" s="219"/>
      <c r="M1021" s="219"/>
      <c r="N1021" s="219"/>
      <c r="O1021" s="219"/>
      <c r="P1021" s="219"/>
      <c r="Q1021" s="219"/>
      <c r="R1021" s="219"/>
    </row>
    <row r="1022" spans="1:18">
      <c r="A1022" s="135" t="s">
        <v>153</v>
      </c>
      <c r="B1022" s="84" t="s">
        <v>94</v>
      </c>
      <c r="C1022" s="84" t="s">
        <v>69</v>
      </c>
      <c r="D1022" s="84" t="s">
        <v>54</v>
      </c>
      <c r="E1022" s="84"/>
      <c r="F1022" s="84"/>
      <c r="G1022" s="87">
        <f>G1023</f>
        <v>30914520.719999999</v>
      </c>
      <c r="H1022" s="87">
        <f t="shared" ref="H1022:I1022" si="247">H1023</f>
        <v>26392562.789999999</v>
      </c>
      <c r="I1022" s="87">
        <f t="shared" si="247"/>
        <v>27164321.939999998</v>
      </c>
      <c r="J1022" s="177"/>
    </row>
    <row r="1023" spans="1:18" s="28" customFormat="1" ht="25.5">
      <c r="A1023" s="82" t="s">
        <v>477</v>
      </c>
      <c r="B1023" s="84" t="s">
        <v>94</v>
      </c>
      <c r="C1023" s="84" t="s">
        <v>69</v>
      </c>
      <c r="D1023" s="84" t="s">
        <v>54</v>
      </c>
      <c r="E1023" s="84" t="s">
        <v>189</v>
      </c>
      <c r="F1023" s="168"/>
      <c r="G1023" s="87">
        <f>G1024</f>
        <v>30914520.719999999</v>
      </c>
      <c r="H1023" s="87">
        <f t="shared" ref="H1023:I1023" si="248">H1024</f>
        <v>26392562.789999999</v>
      </c>
      <c r="I1023" s="87">
        <f t="shared" si="248"/>
        <v>27164321.939999998</v>
      </c>
      <c r="J1023" s="177"/>
      <c r="K1023" s="204"/>
      <c r="L1023" s="204"/>
      <c r="M1023" s="204"/>
      <c r="N1023" s="204"/>
      <c r="O1023" s="204"/>
      <c r="P1023" s="204"/>
      <c r="Q1023" s="204"/>
      <c r="R1023" s="204"/>
    </row>
    <row r="1024" spans="1:18" ht="30.75" customHeight="1">
      <c r="A1024" s="82" t="s">
        <v>90</v>
      </c>
      <c r="B1024" s="84" t="s">
        <v>94</v>
      </c>
      <c r="C1024" s="84" t="s">
        <v>69</v>
      </c>
      <c r="D1024" s="84" t="s">
        <v>54</v>
      </c>
      <c r="E1024" s="84" t="s">
        <v>215</v>
      </c>
      <c r="F1024" s="84"/>
      <c r="G1024" s="87">
        <f>G1025+G1028+G1031+G1034</f>
        <v>30914520.719999999</v>
      </c>
      <c r="H1024" s="87">
        <f>H1025+H1028+H1031+H1034</f>
        <v>26392562.789999999</v>
      </c>
      <c r="I1024" s="87">
        <f>I1025+I1028+I1031+I1034</f>
        <v>27164321.939999998</v>
      </c>
      <c r="J1024" s="177"/>
    </row>
    <row r="1025" spans="1:18" s="18" customFormat="1" ht="56.25" customHeight="1">
      <c r="A1025" s="142" t="s">
        <v>65</v>
      </c>
      <c r="B1025" s="84" t="s">
        <v>94</v>
      </c>
      <c r="C1025" s="84" t="s">
        <v>69</v>
      </c>
      <c r="D1025" s="84" t="s">
        <v>54</v>
      </c>
      <c r="E1025" s="84" t="s">
        <v>436</v>
      </c>
      <c r="F1025" s="84"/>
      <c r="G1025" s="87">
        <f t="shared" ref="G1025:I1026" si="249">G1026</f>
        <v>721420</v>
      </c>
      <c r="H1025" s="87">
        <f t="shared" si="249"/>
        <v>814538</v>
      </c>
      <c r="I1025" s="87">
        <f t="shared" si="249"/>
        <v>847150</v>
      </c>
      <c r="J1025" s="177"/>
      <c r="K1025" s="200"/>
      <c r="L1025" s="200"/>
      <c r="M1025" s="200"/>
      <c r="N1025" s="200"/>
      <c r="O1025" s="200"/>
      <c r="P1025" s="200"/>
      <c r="Q1025" s="200"/>
      <c r="R1025" s="200"/>
    </row>
    <row r="1026" spans="1:18" s="18" customFormat="1" ht="25.5">
      <c r="A1026" s="82" t="s">
        <v>30</v>
      </c>
      <c r="B1026" s="84" t="s">
        <v>94</v>
      </c>
      <c r="C1026" s="84" t="s">
        <v>69</v>
      </c>
      <c r="D1026" s="84" t="s">
        <v>54</v>
      </c>
      <c r="E1026" s="84" t="s">
        <v>436</v>
      </c>
      <c r="F1026" s="84" t="s">
        <v>31</v>
      </c>
      <c r="G1026" s="87">
        <f t="shared" si="249"/>
        <v>721420</v>
      </c>
      <c r="H1026" s="87">
        <f t="shared" si="249"/>
        <v>814538</v>
      </c>
      <c r="I1026" s="87">
        <f t="shared" si="249"/>
        <v>847150</v>
      </c>
      <c r="J1026" s="177"/>
      <c r="K1026" s="200"/>
      <c r="L1026" s="200"/>
      <c r="M1026" s="200"/>
      <c r="N1026" s="200"/>
      <c r="O1026" s="200"/>
      <c r="P1026" s="200"/>
      <c r="Q1026" s="200"/>
      <c r="R1026" s="200"/>
    </row>
    <row r="1027" spans="1:18" s="18" customFormat="1">
      <c r="A1027" s="82" t="s">
        <v>32</v>
      </c>
      <c r="B1027" s="84" t="s">
        <v>94</v>
      </c>
      <c r="C1027" s="84" t="s">
        <v>69</v>
      </c>
      <c r="D1027" s="84" t="s">
        <v>54</v>
      </c>
      <c r="E1027" s="84" t="s">
        <v>436</v>
      </c>
      <c r="F1027" s="84" t="s">
        <v>33</v>
      </c>
      <c r="G1027" s="87">
        <v>721420</v>
      </c>
      <c r="H1027" s="87">
        <f>267250+547288</f>
        <v>814538</v>
      </c>
      <c r="I1027" s="87">
        <f>277950+569200</f>
        <v>847150</v>
      </c>
      <c r="J1027" s="177"/>
      <c r="K1027" s="200"/>
      <c r="L1027" s="200"/>
      <c r="M1027" s="200"/>
      <c r="N1027" s="200"/>
      <c r="O1027" s="200"/>
      <c r="P1027" s="200"/>
      <c r="Q1027" s="200"/>
      <c r="R1027" s="200"/>
    </row>
    <row r="1028" spans="1:18" s="28" customFormat="1" ht="42.75" customHeight="1">
      <c r="A1028" s="135" t="s">
        <v>154</v>
      </c>
      <c r="B1028" s="84" t="s">
        <v>94</v>
      </c>
      <c r="C1028" s="84" t="s">
        <v>69</v>
      </c>
      <c r="D1028" s="84" t="s">
        <v>54</v>
      </c>
      <c r="E1028" s="84" t="s">
        <v>437</v>
      </c>
      <c r="F1028" s="168"/>
      <c r="G1028" s="87">
        <f t="shared" ref="G1028:I1029" si="250">G1029</f>
        <v>12066889.92</v>
      </c>
      <c r="H1028" s="87">
        <f t="shared" si="250"/>
        <v>8040737.3899999997</v>
      </c>
      <c r="I1028" s="87">
        <f t="shared" si="250"/>
        <v>8417019.6300000008</v>
      </c>
      <c r="J1028" s="177"/>
      <c r="K1028" s="204"/>
      <c r="L1028" s="204"/>
      <c r="M1028" s="204"/>
      <c r="N1028" s="204"/>
      <c r="O1028" s="204"/>
      <c r="P1028" s="204"/>
      <c r="Q1028" s="204"/>
      <c r="R1028" s="204"/>
    </row>
    <row r="1029" spans="1:18" s="28" customFormat="1" ht="40.5" customHeight="1">
      <c r="A1029" s="82" t="s">
        <v>30</v>
      </c>
      <c r="B1029" s="84" t="s">
        <v>94</v>
      </c>
      <c r="C1029" s="84" t="s">
        <v>69</v>
      </c>
      <c r="D1029" s="84" t="s">
        <v>54</v>
      </c>
      <c r="E1029" s="84" t="s">
        <v>437</v>
      </c>
      <c r="F1029" s="84" t="s">
        <v>31</v>
      </c>
      <c r="G1029" s="87">
        <f t="shared" si="250"/>
        <v>12066889.92</v>
      </c>
      <c r="H1029" s="87">
        <f t="shared" si="250"/>
        <v>8040737.3899999997</v>
      </c>
      <c r="I1029" s="87">
        <f t="shared" si="250"/>
        <v>8417019.6300000008</v>
      </c>
      <c r="J1029" s="177"/>
      <c r="K1029" s="204"/>
      <c r="L1029" s="204"/>
      <c r="M1029" s="204"/>
      <c r="N1029" s="204"/>
      <c r="O1029" s="204"/>
      <c r="P1029" s="204"/>
      <c r="Q1029" s="204"/>
      <c r="R1029" s="204"/>
    </row>
    <row r="1030" spans="1:18">
      <c r="A1030" s="82" t="s">
        <v>32</v>
      </c>
      <c r="B1030" s="84" t="s">
        <v>94</v>
      </c>
      <c r="C1030" s="84" t="s">
        <v>69</v>
      </c>
      <c r="D1030" s="84" t="s">
        <v>54</v>
      </c>
      <c r="E1030" s="84" t="s">
        <v>437</v>
      </c>
      <c r="F1030" s="84" t="s">
        <v>33</v>
      </c>
      <c r="G1030" s="87">
        <v>12066889.92</v>
      </c>
      <c r="H1030" s="87">
        <v>8040737.3899999997</v>
      </c>
      <c r="I1030" s="87">
        <v>8417019.6300000008</v>
      </c>
      <c r="J1030" s="177"/>
    </row>
    <row r="1031" spans="1:18" s="28" customFormat="1" ht="62.25" customHeight="1">
      <c r="A1031" s="135" t="s">
        <v>1112</v>
      </c>
      <c r="B1031" s="84" t="s">
        <v>94</v>
      </c>
      <c r="C1031" s="84" t="s">
        <v>69</v>
      </c>
      <c r="D1031" s="84" t="s">
        <v>54</v>
      </c>
      <c r="E1031" s="84" t="s">
        <v>1110</v>
      </c>
      <c r="F1031" s="168"/>
      <c r="G1031" s="87">
        <f t="shared" ref="G1031:I1035" si="251">G1032</f>
        <v>44005</v>
      </c>
      <c r="H1031" s="87">
        <f t="shared" si="251"/>
        <v>0</v>
      </c>
      <c r="I1031" s="87">
        <f t="shared" si="251"/>
        <v>0</v>
      </c>
      <c r="J1031" s="177"/>
      <c r="K1031" s="204"/>
      <c r="L1031" s="204"/>
      <c r="M1031" s="204"/>
      <c r="N1031" s="204"/>
      <c r="O1031" s="204"/>
      <c r="P1031" s="204"/>
      <c r="Q1031" s="204"/>
      <c r="R1031" s="204"/>
    </row>
    <row r="1032" spans="1:18" s="28" customFormat="1" ht="25.5">
      <c r="A1032" s="82" t="s">
        <v>30</v>
      </c>
      <c r="B1032" s="84" t="s">
        <v>94</v>
      </c>
      <c r="C1032" s="84" t="s">
        <v>69</v>
      </c>
      <c r="D1032" s="84" t="s">
        <v>54</v>
      </c>
      <c r="E1032" s="84" t="s">
        <v>1110</v>
      </c>
      <c r="F1032" s="84" t="s">
        <v>31</v>
      </c>
      <c r="G1032" s="87">
        <f t="shared" si="251"/>
        <v>44005</v>
      </c>
      <c r="H1032" s="87">
        <f t="shared" si="251"/>
        <v>0</v>
      </c>
      <c r="I1032" s="87">
        <f t="shared" si="251"/>
        <v>0</v>
      </c>
      <c r="J1032" s="177"/>
      <c r="K1032" s="204"/>
      <c r="L1032" s="204"/>
      <c r="M1032" s="204"/>
      <c r="N1032" s="204"/>
      <c r="O1032" s="204"/>
      <c r="P1032" s="204"/>
      <c r="Q1032" s="204"/>
      <c r="R1032" s="204"/>
    </row>
    <row r="1033" spans="1:18">
      <c r="A1033" s="82" t="s">
        <v>32</v>
      </c>
      <c r="B1033" s="84" t="s">
        <v>94</v>
      </c>
      <c r="C1033" s="84" t="s">
        <v>69</v>
      </c>
      <c r="D1033" s="84" t="s">
        <v>54</v>
      </c>
      <c r="E1033" s="84" t="s">
        <v>1110</v>
      </c>
      <c r="F1033" s="84" t="s">
        <v>33</v>
      </c>
      <c r="G1033" s="87">
        <v>44005</v>
      </c>
      <c r="H1033" s="87">
        <v>0</v>
      </c>
      <c r="I1033" s="87">
        <v>0</v>
      </c>
      <c r="J1033" s="177"/>
    </row>
    <row r="1034" spans="1:18" s="28" customFormat="1" ht="69.599999999999994" customHeight="1">
      <c r="A1034" s="135" t="s">
        <v>696</v>
      </c>
      <c r="B1034" s="84" t="s">
        <v>94</v>
      </c>
      <c r="C1034" s="84" t="s">
        <v>69</v>
      </c>
      <c r="D1034" s="84" t="s">
        <v>54</v>
      </c>
      <c r="E1034" s="84" t="s">
        <v>695</v>
      </c>
      <c r="F1034" s="168"/>
      <c r="G1034" s="87">
        <f t="shared" si="251"/>
        <v>18082205.800000001</v>
      </c>
      <c r="H1034" s="87">
        <f t="shared" si="251"/>
        <v>17537287.399999999</v>
      </c>
      <c r="I1034" s="87">
        <f t="shared" si="251"/>
        <v>17900152.309999999</v>
      </c>
      <c r="J1034" s="177"/>
      <c r="K1034" s="204"/>
      <c r="L1034" s="204"/>
      <c r="M1034" s="204"/>
      <c r="N1034" s="204"/>
      <c r="O1034" s="204"/>
      <c r="P1034" s="204"/>
      <c r="Q1034" s="204"/>
      <c r="R1034" s="204"/>
    </row>
    <row r="1035" spans="1:18" s="28" customFormat="1" ht="25.5">
      <c r="A1035" s="82" t="s">
        <v>30</v>
      </c>
      <c r="B1035" s="84" t="s">
        <v>94</v>
      </c>
      <c r="C1035" s="84" t="s">
        <v>69</v>
      </c>
      <c r="D1035" s="84" t="s">
        <v>54</v>
      </c>
      <c r="E1035" s="84" t="s">
        <v>695</v>
      </c>
      <c r="F1035" s="84" t="s">
        <v>31</v>
      </c>
      <c r="G1035" s="87">
        <f t="shared" si="251"/>
        <v>18082205.800000001</v>
      </c>
      <c r="H1035" s="87">
        <f t="shared" si="251"/>
        <v>17537287.399999999</v>
      </c>
      <c r="I1035" s="87">
        <f t="shared" si="251"/>
        <v>17900152.309999999</v>
      </c>
      <c r="J1035" s="177"/>
      <c r="K1035" s="204"/>
      <c r="L1035" s="204"/>
      <c r="M1035" s="204"/>
      <c r="N1035" s="204"/>
      <c r="O1035" s="204"/>
      <c r="P1035" s="204"/>
      <c r="Q1035" s="204"/>
      <c r="R1035" s="204"/>
    </row>
    <row r="1036" spans="1:18">
      <c r="A1036" s="82" t="s">
        <v>32</v>
      </c>
      <c r="B1036" s="84" t="s">
        <v>94</v>
      </c>
      <c r="C1036" s="84" t="s">
        <v>69</v>
      </c>
      <c r="D1036" s="84" t="s">
        <v>54</v>
      </c>
      <c r="E1036" s="84" t="s">
        <v>695</v>
      </c>
      <c r="F1036" s="84" t="s">
        <v>33</v>
      </c>
      <c r="G1036" s="87">
        <v>18082205.800000001</v>
      </c>
      <c r="H1036" s="87">
        <f>17537287.4</f>
        <v>17537287.399999999</v>
      </c>
      <c r="I1036" s="87">
        <v>17900152.309999999</v>
      </c>
      <c r="J1036" s="177"/>
    </row>
    <row r="1037" spans="1:18" s="32" customFormat="1" ht="17.25" hidden="1" customHeight="1">
      <c r="A1037" s="275" t="s">
        <v>360</v>
      </c>
      <c r="B1037" s="84" t="s">
        <v>94</v>
      </c>
      <c r="C1037" s="156" t="s">
        <v>72</v>
      </c>
      <c r="D1037" s="156"/>
      <c r="E1037" s="156"/>
      <c r="F1037" s="156"/>
      <c r="G1037" s="157">
        <f>G1053+G1038</f>
        <v>0</v>
      </c>
      <c r="H1037" s="157">
        <f>H1053+H1038</f>
        <v>0</v>
      </c>
      <c r="I1037" s="157">
        <f>I1053+I1038</f>
        <v>0</v>
      </c>
      <c r="J1037" s="196"/>
      <c r="K1037" s="203"/>
      <c r="L1037" s="203"/>
      <c r="M1037" s="203"/>
      <c r="N1037" s="203"/>
      <c r="O1037" s="203"/>
      <c r="P1037" s="203"/>
      <c r="Q1037" s="203"/>
      <c r="R1037" s="203"/>
    </row>
    <row r="1038" spans="1:18" s="32" customFormat="1" ht="17.25" hidden="1" customHeight="1">
      <c r="A1038" s="276" t="s">
        <v>495</v>
      </c>
      <c r="B1038" s="84" t="s">
        <v>94</v>
      </c>
      <c r="C1038" s="84" t="s">
        <v>72</v>
      </c>
      <c r="D1038" s="84" t="s">
        <v>19</v>
      </c>
      <c r="E1038" s="156"/>
      <c r="F1038" s="156"/>
      <c r="G1038" s="157">
        <f>G1039+G1049</f>
        <v>0</v>
      </c>
      <c r="H1038" s="157">
        <f>H1039+H1049</f>
        <v>0</v>
      </c>
      <c r="I1038" s="157">
        <f>I1039+I1049</f>
        <v>0</v>
      </c>
      <c r="J1038" s="196"/>
      <c r="K1038" s="203"/>
      <c r="L1038" s="203"/>
      <c r="M1038" s="203"/>
      <c r="N1038" s="203"/>
      <c r="O1038" s="203"/>
      <c r="P1038" s="203"/>
      <c r="Q1038" s="203"/>
      <c r="R1038" s="203"/>
    </row>
    <row r="1039" spans="1:18" ht="27.75" hidden="1" customHeight="1">
      <c r="A1039" s="139" t="s">
        <v>484</v>
      </c>
      <c r="B1039" s="84" t="s">
        <v>94</v>
      </c>
      <c r="C1039" s="84" t="s">
        <v>72</v>
      </c>
      <c r="D1039" s="84" t="s">
        <v>19</v>
      </c>
      <c r="E1039" s="84" t="s">
        <v>195</v>
      </c>
      <c r="F1039" s="84"/>
      <c r="G1039" s="87">
        <f>G1041+G1044+G1046</f>
        <v>0</v>
      </c>
      <c r="H1039" s="87">
        <f>H1041+H1044+H1046</f>
        <v>0</v>
      </c>
      <c r="I1039" s="87">
        <f>I1041+I1044+I1046</f>
        <v>0</v>
      </c>
      <c r="J1039" s="177"/>
    </row>
    <row r="1040" spans="1:18" ht="19.5" hidden="1" customHeight="1">
      <c r="A1040" s="82" t="s">
        <v>32</v>
      </c>
      <c r="B1040" s="84" t="s">
        <v>94</v>
      </c>
      <c r="C1040" s="84" t="s">
        <v>72</v>
      </c>
      <c r="D1040" s="84" t="s">
        <v>19</v>
      </c>
      <c r="E1040" s="84" t="s">
        <v>40</v>
      </c>
      <c r="F1040" s="84" t="s">
        <v>33</v>
      </c>
      <c r="G1040" s="87"/>
      <c r="H1040" s="87"/>
      <c r="I1040" s="87"/>
      <c r="J1040" s="177"/>
    </row>
    <row r="1041" spans="1:18" ht="39" hidden="1" customHeight="1">
      <c r="A1041" s="82" t="s">
        <v>112</v>
      </c>
      <c r="B1041" s="84" t="s">
        <v>94</v>
      </c>
      <c r="C1041" s="84" t="s">
        <v>72</v>
      </c>
      <c r="D1041" s="84" t="s">
        <v>19</v>
      </c>
      <c r="E1041" s="84" t="s">
        <v>196</v>
      </c>
      <c r="F1041" s="84"/>
      <c r="G1041" s="87">
        <f>G1042</f>
        <v>0</v>
      </c>
      <c r="H1041" s="87">
        <f t="shared" ref="H1041:I1041" si="252">H1042</f>
        <v>0</v>
      </c>
      <c r="I1041" s="87">
        <f t="shared" si="252"/>
        <v>0</v>
      </c>
      <c r="J1041" s="177"/>
    </row>
    <row r="1042" spans="1:18" ht="25.5" hidden="1">
      <c r="A1042" s="82" t="s">
        <v>30</v>
      </c>
      <c r="B1042" s="84" t="s">
        <v>94</v>
      </c>
      <c r="C1042" s="84" t="s">
        <v>72</v>
      </c>
      <c r="D1042" s="84" t="s">
        <v>19</v>
      </c>
      <c r="E1042" s="84" t="s">
        <v>196</v>
      </c>
      <c r="F1042" s="84" t="s">
        <v>31</v>
      </c>
      <c r="G1042" s="87">
        <f>G1043</f>
        <v>0</v>
      </c>
      <c r="H1042" s="87">
        <f>H1043</f>
        <v>0</v>
      </c>
      <c r="I1042" s="87">
        <f>I1043</f>
        <v>0</v>
      </c>
      <c r="J1042" s="177"/>
    </row>
    <row r="1043" spans="1:18" ht="19.5" hidden="1" customHeight="1">
      <c r="A1043" s="82" t="s">
        <v>32</v>
      </c>
      <c r="B1043" s="84" t="s">
        <v>94</v>
      </c>
      <c r="C1043" s="84" t="s">
        <v>72</v>
      </c>
      <c r="D1043" s="84" t="s">
        <v>19</v>
      </c>
      <c r="E1043" s="84" t="s">
        <v>196</v>
      </c>
      <c r="F1043" s="84" t="s">
        <v>33</v>
      </c>
      <c r="G1043" s="87"/>
      <c r="H1043" s="87"/>
      <c r="I1043" s="87"/>
      <c r="J1043" s="177"/>
    </row>
    <row r="1044" spans="1:18" s="32" customFormat="1" ht="25.5" hidden="1" customHeight="1">
      <c r="A1044" s="82" t="s">
        <v>30</v>
      </c>
      <c r="B1044" s="84" t="s">
        <v>94</v>
      </c>
      <c r="C1044" s="84" t="s">
        <v>72</v>
      </c>
      <c r="D1044" s="84" t="s">
        <v>19</v>
      </c>
      <c r="E1044" s="84" t="s">
        <v>546</v>
      </c>
      <c r="F1044" s="84" t="s">
        <v>31</v>
      </c>
      <c r="G1044" s="87">
        <f>G1045</f>
        <v>0</v>
      </c>
      <c r="H1044" s="87">
        <v>0</v>
      </c>
      <c r="I1044" s="87">
        <v>0</v>
      </c>
      <c r="J1044" s="177"/>
      <c r="K1044" s="203"/>
      <c r="L1044" s="203"/>
      <c r="M1044" s="203"/>
      <c r="N1044" s="203"/>
      <c r="O1044" s="203"/>
      <c r="P1044" s="203"/>
      <c r="Q1044" s="203"/>
      <c r="R1044" s="203"/>
    </row>
    <row r="1045" spans="1:18" s="32" customFormat="1" ht="17.25" hidden="1" customHeight="1">
      <c r="A1045" s="82" t="s">
        <v>32</v>
      </c>
      <c r="B1045" s="84" t="s">
        <v>94</v>
      </c>
      <c r="C1045" s="84" t="s">
        <v>72</v>
      </c>
      <c r="D1045" s="84" t="s">
        <v>19</v>
      </c>
      <c r="E1045" s="84" t="s">
        <v>546</v>
      </c>
      <c r="F1045" s="84" t="s">
        <v>33</v>
      </c>
      <c r="G1045" s="87"/>
      <c r="H1045" s="87">
        <v>0</v>
      </c>
      <c r="I1045" s="87">
        <v>0</v>
      </c>
      <c r="J1045" s="177"/>
      <c r="K1045" s="203"/>
      <c r="L1045" s="203"/>
      <c r="M1045" s="203"/>
      <c r="N1045" s="203"/>
      <c r="O1045" s="203"/>
      <c r="P1045" s="203"/>
      <c r="Q1045" s="203"/>
      <c r="R1045" s="203"/>
    </row>
    <row r="1046" spans="1:18" s="32" customFormat="1" ht="65.25" hidden="1" customHeight="1">
      <c r="A1046" s="82" t="s">
        <v>615</v>
      </c>
      <c r="B1046" s="84" t="s">
        <v>94</v>
      </c>
      <c r="C1046" s="84" t="s">
        <v>72</v>
      </c>
      <c r="D1046" s="84" t="s">
        <v>19</v>
      </c>
      <c r="E1046" s="84" t="s">
        <v>614</v>
      </c>
      <c r="F1046" s="84"/>
      <c r="G1046" s="87">
        <f>G1047</f>
        <v>0</v>
      </c>
      <c r="H1046" s="87">
        <f t="shared" ref="H1046:I1046" si="253">H1047</f>
        <v>0</v>
      </c>
      <c r="I1046" s="87">
        <f t="shared" si="253"/>
        <v>0</v>
      </c>
      <c r="J1046" s="177"/>
      <c r="K1046" s="203"/>
      <c r="L1046" s="203"/>
      <c r="M1046" s="203"/>
      <c r="N1046" s="203"/>
      <c r="O1046" s="203"/>
      <c r="P1046" s="203"/>
      <c r="Q1046" s="203"/>
      <c r="R1046" s="203"/>
    </row>
    <row r="1047" spans="1:18" s="32" customFormat="1" ht="25.5" hidden="1" customHeight="1">
      <c r="A1047" s="82" t="s">
        <v>30</v>
      </c>
      <c r="B1047" s="84" t="s">
        <v>94</v>
      </c>
      <c r="C1047" s="84" t="s">
        <v>72</v>
      </c>
      <c r="D1047" s="84" t="s">
        <v>19</v>
      </c>
      <c r="E1047" s="84" t="s">
        <v>614</v>
      </c>
      <c r="F1047" s="84" t="s">
        <v>31</v>
      </c>
      <c r="G1047" s="87">
        <f>G1048</f>
        <v>0</v>
      </c>
      <c r="H1047" s="87">
        <v>0</v>
      </c>
      <c r="I1047" s="87">
        <v>0</v>
      </c>
      <c r="J1047" s="177"/>
      <c r="K1047" s="203"/>
      <c r="L1047" s="203"/>
      <c r="M1047" s="203"/>
      <c r="N1047" s="203"/>
      <c r="O1047" s="203"/>
      <c r="P1047" s="203"/>
      <c r="Q1047" s="203"/>
      <c r="R1047" s="203"/>
    </row>
    <row r="1048" spans="1:18" s="32" customFormat="1" ht="17.25" hidden="1" customHeight="1">
      <c r="A1048" s="82" t="s">
        <v>32</v>
      </c>
      <c r="B1048" s="84" t="s">
        <v>94</v>
      </c>
      <c r="C1048" s="84" t="s">
        <v>72</v>
      </c>
      <c r="D1048" s="84" t="s">
        <v>19</v>
      </c>
      <c r="E1048" s="84" t="s">
        <v>614</v>
      </c>
      <c r="F1048" s="84" t="s">
        <v>33</v>
      </c>
      <c r="G1048" s="87"/>
      <c r="H1048" s="87">
        <v>0</v>
      </c>
      <c r="I1048" s="87">
        <v>0</v>
      </c>
      <c r="J1048" s="177"/>
      <c r="K1048" s="203"/>
      <c r="L1048" s="203"/>
      <c r="M1048" s="203"/>
      <c r="N1048" s="203"/>
      <c r="O1048" s="203"/>
      <c r="P1048" s="203"/>
      <c r="Q1048" s="203"/>
      <c r="R1048" s="203"/>
    </row>
    <row r="1049" spans="1:18" s="18" customFormat="1" ht="25.5" hidden="1">
      <c r="A1049" s="82" t="s">
        <v>474</v>
      </c>
      <c r="B1049" s="84" t="s">
        <v>94</v>
      </c>
      <c r="C1049" s="84" t="s">
        <v>72</v>
      </c>
      <c r="D1049" s="84" t="s">
        <v>19</v>
      </c>
      <c r="E1049" s="84" t="s">
        <v>262</v>
      </c>
      <c r="F1049" s="84"/>
      <c r="G1049" s="87">
        <f>G1050</f>
        <v>0</v>
      </c>
      <c r="H1049" s="87">
        <f t="shared" ref="H1049:I1051" si="254">H1050</f>
        <v>0</v>
      </c>
      <c r="I1049" s="87">
        <f t="shared" si="254"/>
        <v>0</v>
      </c>
      <c r="J1049" s="177"/>
      <c r="K1049" s="200"/>
      <c r="L1049" s="200"/>
      <c r="M1049" s="200"/>
      <c r="N1049" s="200"/>
      <c r="O1049" s="200"/>
      <c r="P1049" s="200"/>
      <c r="Q1049" s="200"/>
      <c r="R1049" s="200"/>
    </row>
    <row r="1050" spans="1:18" s="18" customFormat="1" ht="25.5" hidden="1">
      <c r="A1050" s="82" t="s">
        <v>473</v>
      </c>
      <c r="B1050" s="84" t="s">
        <v>94</v>
      </c>
      <c r="C1050" s="84" t="s">
        <v>72</v>
      </c>
      <c r="D1050" s="84" t="s">
        <v>19</v>
      </c>
      <c r="E1050" s="84" t="s">
        <v>445</v>
      </c>
      <c r="F1050" s="84"/>
      <c r="G1050" s="87">
        <f>G1051</f>
        <v>0</v>
      </c>
      <c r="H1050" s="87">
        <f t="shared" si="254"/>
        <v>0</v>
      </c>
      <c r="I1050" s="87">
        <f t="shared" si="254"/>
        <v>0</v>
      </c>
      <c r="J1050" s="177"/>
      <c r="K1050" s="200"/>
      <c r="L1050" s="200"/>
      <c r="M1050" s="200"/>
      <c r="N1050" s="200"/>
      <c r="O1050" s="200"/>
      <c r="P1050" s="200"/>
      <c r="Q1050" s="200"/>
      <c r="R1050" s="200"/>
    </row>
    <row r="1051" spans="1:18" s="18" customFormat="1" ht="25.5" hidden="1">
      <c r="A1051" s="82" t="s">
        <v>96</v>
      </c>
      <c r="B1051" s="84" t="s">
        <v>94</v>
      </c>
      <c r="C1051" s="84" t="s">
        <v>72</v>
      </c>
      <c r="D1051" s="84" t="s">
        <v>19</v>
      </c>
      <c r="E1051" s="84" t="s">
        <v>445</v>
      </c>
      <c r="F1051" s="84" t="s">
        <v>348</v>
      </c>
      <c r="G1051" s="87">
        <f>G1052</f>
        <v>0</v>
      </c>
      <c r="H1051" s="87">
        <f t="shared" si="254"/>
        <v>0</v>
      </c>
      <c r="I1051" s="87">
        <f t="shared" si="254"/>
        <v>0</v>
      </c>
      <c r="J1051" s="177"/>
      <c r="K1051" s="200"/>
      <c r="L1051" s="200"/>
      <c r="M1051" s="200"/>
      <c r="N1051" s="200"/>
      <c r="O1051" s="200"/>
      <c r="P1051" s="200"/>
      <c r="Q1051" s="200"/>
      <c r="R1051" s="200"/>
    </row>
    <row r="1052" spans="1:18" s="18" customFormat="1" ht="89.25" hidden="1">
      <c r="A1052" s="133" t="s">
        <v>420</v>
      </c>
      <c r="B1052" s="84" t="s">
        <v>94</v>
      </c>
      <c r="C1052" s="84" t="s">
        <v>72</v>
      </c>
      <c r="D1052" s="84" t="s">
        <v>19</v>
      </c>
      <c r="E1052" s="84" t="s">
        <v>445</v>
      </c>
      <c r="F1052" s="84" t="s">
        <v>419</v>
      </c>
      <c r="G1052" s="87">
        <f>50000-50000</f>
        <v>0</v>
      </c>
      <c r="H1052" s="87"/>
      <c r="I1052" s="87"/>
      <c r="J1052" s="177"/>
      <c r="K1052" s="200"/>
      <c r="L1052" s="200"/>
      <c r="M1052" s="200"/>
      <c r="N1052" s="200"/>
      <c r="O1052" s="200"/>
      <c r="P1052" s="200"/>
      <c r="Q1052" s="200"/>
      <c r="R1052" s="200"/>
    </row>
    <row r="1053" spans="1:18" s="33" customFormat="1" ht="15" hidden="1" customHeight="1">
      <c r="A1053" s="82" t="s">
        <v>71</v>
      </c>
      <c r="B1053" s="84" t="s">
        <v>94</v>
      </c>
      <c r="C1053" s="84" t="s">
        <v>72</v>
      </c>
      <c r="D1053" s="84" t="s">
        <v>28</v>
      </c>
      <c r="E1053" s="168"/>
      <c r="F1053" s="168"/>
      <c r="G1053" s="93">
        <f>G1054</f>
        <v>0</v>
      </c>
      <c r="H1053" s="93">
        <f>H1054+H602</f>
        <v>0</v>
      </c>
      <c r="I1053" s="93">
        <f>I1054+I602</f>
        <v>0</v>
      </c>
      <c r="J1053" s="195"/>
      <c r="K1053" s="211"/>
      <c r="L1053" s="211"/>
      <c r="M1053" s="211"/>
      <c r="N1053" s="211"/>
      <c r="O1053" s="211"/>
      <c r="P1053" s="211"/>
      <c r="Q1053" s="211"/>
      <c r="R1053" s="211"/>
    </row>
    <row r="1054" spans="1:18" s="28" customFormat="1" ht="28.5" hidden="1" customHeight="1">
      <c r="A1054" s="139" t="s">
        <v>484</v>
      </c>
      <c r="B1054" s="84" t="s">
        <v>94</v>
      </c>
      <c r="C1054" s="84" t="s">
        <v>72</v>
      </c>
      <c r="D1054" s="84" t="s">
        <v>28</v>
      </c>
      <c r="E1054" s="84" t="s">
        <v>195</v>
      </c>
      <c r="F1054" s="84"/>
      <c r="G1054" s="87">
        <f>G1055+G1058+G1061</f>
        <v>0</v>
      </c>
      <c r="H1054" s="87">
        <f t="shared" ref="H1054:I1054" si="255">H1055+H1058+H1061</f>
        <v>0</v>
      </c>
      <c r="I1054" s="87">
        <f t="shared" si="255"/>
        <v>0</v>
      </c>
      <c r="J1054" s="177"/>
      <c r="K1054" s="204"/>
      <c r="L1054" s="204"/>
      <c r="M1054" s="204"/>
      <c r="N1054" s="204"/>
      <c r="O1054" s="204"/>
      <c r="P1054" s="204"/>
      <c r="Q1054" s="204"/>
      <c r="R1054" s="204"/>
    </row>
    <row r="1055" spans="1:18" s="28" customFormat="1" ht="27.75" hidden="1" customHeight="1">
      <c r="A1055" s="139" t="s">
        <v>73</v>
      </c>
      <c r="B1055" s="84" t="s">
        <v>94</v>
      </c>
      <c r="C1055" s="84" t="s">
        <v>72</v>
      </c>
      <c r="D1055" s="84" t="s">
        <v>28</v>
      </c>
      <c r="E1055" s="84" t="s">
        <v>206</v>
      </c>
      <c r="F1055" s="84"/>
      <c r="G1055" s="87">
        <f>G1056</f>
        <v>0</v>
      </c>
      <c r="H1055" s="87">
        <f t="shared" ref="H1055:I1055" si="256">H1056</f>
        <v>0</v>
      </c>
      <c r="I1055" s="87">
        <f t="shared" si="256"/>
        <v>0</v>
      </c>
      <c r="J1055" s="177"/>
      <c r="K1055" s="204"/>
      <c r="L1055" s="204"/>
      <c r="M1055" s="204"/>
      <c r="N1055" s="204"/>
      <c r="O1055" s="204"/>
      <c r="P1055" s="204"/>
      <c r="Q1055" s="204"/>
      <c r="R1055" s="204"/>
    </row>
    <row r="1056" spans="1:18" s="32" customFormat="1" ht="28.5" hidden="1" customHeight="1">
      <c r="A1056" s="82" t="s">
        <v>36</v>
      </c>
      <c r="B1056" s="84" t="s">
        <v>94</v>
      </c>
      <c r="C1056" s="84" t="s">
        <v>72</v>
      </c>
      <c r="D1056" s="84" t="s">
        <v>28</v>
      </c>
      <c r="E1056" s="84" t="s">
        <v>206</v>
      </c>
      <c r="F1056" s="84" t="s">
        <v>37</v>
      </c>
      <c r="G1056" s="87">
        <f>G1057</f>
        <v>0</v>
      </c>
      <c r="H1056" s="87">
        <f>H1057</f>
        <v>0</v>
      </c>
      <c r="I1056" s="87">
        <f>I1057</f>
        <v>0</v>
      </c>
      <c r="J1056" s="177"/>
      <c r="K1056" s="203"/>
      <c r="L1056" s="203"/>
      <c r="M1056" s="203"/>
      <c r="N1056" s="203"/>
      <c r="O1056" s="203"/>
      <c r="P1056" s="203"/>
      <c r="Q1056" s="203"/>
      <c r="R1056" s="203"/>
    </row>
    <row r="1057" spans="1:18" s="32" customFormat="1" hidden="1">
      <c r="A1057" s="82"/>
      <c r="B1057" s="84" t="s">
        <v>94</v>
      </c>
      <c r="C1057" s="84"/>
      <c r="D1057" s="84"/>
      <c r="E1057" s="84"/>
      <c r="F1057" s="84"/>
      <c r="G1057" s="87"/>
      <c r="H1057" s="87"/>
      <c r="I1057" s="87"/>
      <c r="J1057" s="177"/>
      <c r="K1057" s="205"/>
      <c r="L1057" s="203"/>
      <c r="M1057" s="203"/>
      <c r="N1057" s="203"/>
      <c r="O1057" s="203"/>
      <c r="P1057" s="203"/>
      <c r="Q1057" s="203"/>
      <c r="R1057" s="203"/>
    </row>
    <row r="1058" spans="1:18" s="28" customFormat="1" ht="51" hidden="1" customHeight="1">
      <c r="A1058" s="139" t="s">
        <v>849</v>
      </c>
      <c r="B1058" s="84" t="s">
        <v>94</v>
      </c>
      <c r="C1058" s="84" t="s">
        <v>72</v>
      </c>
      <c r="D1058" s="84" t="s">
        <v>28</v>
      </c>
      <c r="E1058" s="84" t="s">
        <v>848</v>
      </c>
      <c r="F1058" s="84"/>
      <c r="G1058" s="87">
        <f>G1059</f>
        <v>0</v>
      </c>
      <c r="H1058" s="87">
        <f t="shared" ref="H1058:I1058" si="257">H1059</f>
        <v>0</v>
      </c>
      <c r="I1058" s="87">
        <f t="shared" si="257"/>
        <v>0</v>
      </c>
      <c r="J1058" s="177"/>
      <c r="K1058" s="204"/>
      <c r="L1058" s="204"/>
      <c r="M1058" s="204"/>
      <c r="N1058" s="204"/>
      <c r="O1058" s="204"/>
      <c r="P1058" s="204"/>
      <c r="Q1058" s="204"/>
      <c r="R1058" s="204"/>
    </row>
    <row r="1059" spans="1:18" s="32" customFormat="1" ht="28.5" hidden="1" customHeight="1">
      <c r="A1059" s="82" t="s">
        <v>36</v>
      </c>
      <c r="B1059" s="84" t="s">
        <v>94</v>
      </c>
      <c r="C1059" s="84" t="s">
        <v>72</v>
      </c>
      <c r="D1059" s="84" t="s">
        <v>28</v>
      </c>
      <c r="E1059" s="84" t="s">
        <v>848</v>
      </c>
      <c r="F1059" s="84" t="s">
        <v>37</v>
      </c>
      <c r="G1059" s="87">
        <f>G1060</f>
        <v>0</v>
      </c>
      <c r="H1059" s="87">
        <f>H1060</f>
        <v>0</v>
      </c>
      <c r="I1059" s="87">
        <f>I1060</f>
        <v>0</v>
      </c>
      <c r="J1059" s="177"/>
      <c r="K1059" s="203"/>
      <c r="L1059" s="203"/>
      <c r="M1059" s="203"/>
      <c r="N1059" s="203"/>
      <c r="O1059" s="203"/>
      <c r="P1059" s="203"/>
      <c r="Q1059" s="203"/>
      <c r="R1059" s="203"/>
    </row>
    <row r="1060" spans="1:18" s="32" customFormat="1" ht="25.5" hidden="1">
      <c r="A1060" s="82" t="s">
        <v>38</v>
      </c>
      <c r="B1060" s="84" t="s">
        <v>94</v>
      </c>
      <c r="C1060" s="84" t="s">
        <v>72</v>
      </c>
      <c r="D1060" s="84" t="s">
        <v>28</v>
      </c>
      <c r="E1060" s="84" t="s">
        <v>848</v>
      </c>
      <c r="F1060" s="84" t="s">
        <v>39</v>
      </c>
      <c r="G1060" s="87"/>
      <c r="H1060" s="87">
        <v>0</v>
      </c>
      <c r="I1060" s="87">
        <v>0</v>
      </c>
      <c r="J1060" s="177"/>
      <c r="K1060" s="205"/>
      <c r="L1060" s="203"/>
      <c r="M1060" s="203"/>
      <c r="N1060" s="203"/>
      <c r="O1060" s="203"/>
      <c r="P1060" s="203"/>
      <c r="Q1060" s="203"/>
      <c r="R1060" s="203"/>
    </row>
    <row r="1061" spans="1:18" s="28" customFormat="1" ht="51" hidden="1" customHeight="1">
      <c r="A1061" s="139" t="s">
        <v>851</v>
      </c>
      <c r="B1061" s="84" t="s">
        <v>94</v>
      </c>
      <c r="C1061" s="84" t="s">
        <v>72</v>
      </c>
      <c r="D1061" s="84" t="s">
        <v>28</v>
      </c>
      <c r="E1061" s="84" t="s">
        <v>850</v>
      </c>
      <c r="F1061" s="84"/>
      <c r="G1061" s="87">
        <f>G1062</f>
        <v>0</v>
      </c>
      <c r="H1061" s="87">
        <f t="shared" ref="H1061:I1061" si="258">H1062</f>
        <v>0</v>
      </c>
      <c r="I1061" s="87">
        <f t="shared" si="258"/>
        <v>0</v>
      </c>
      <c r="J1061" s="177"/>
      <c r="K1061" s="204"/>
      <c r="L1061" s="204"/>
      <c r="M1061" s="204"/>
      <c r="N1061" s="204"/>
      <c r="O1061" s="204"/>
      <c r="P1061" s="204"/>
      <c r="Q1061" s="204"/>
      <c r="R1061" s="204"/>
    </row>
    <row r="1062" spans="1:18" s="32" customFormat="1" ht="28.5" hidden="1" customHeight="1">
      <c r="A1062" s="82" t="s">
        <v>36</v>
      </c>
      <c r="B1062" s="84" t="s">
        <v>94</v>
      </c>
      <c r="C1062" s="84" t="s">
        <v>72</v>
      </c>
      <c r="D1062" s="84" t="s">
        <v>28</v>
      </c>
      <c r="E1062" s="84" t="s">
        <v>850</v>
      </c>
      <c r="F1062" s="84" t="s">
        <v>37</v>
      </c>
      <c r="G1062" s="87">
        <f>G1063</f>
        <v>0</v>
      </c>
      <c r="H1062" s="87">
        <f>H1063</f>
        <v>0</v>
      </c>
      <c r="I1062" s="87">
        <f>I1063</f>
        <v>0</v>
      </c>
      <c r="J1062" s="177"/>
      <c r="K1062" s="203"/>
      <c r="L1062" s="203"/>
      <c r="M1062" s="203"/>
      <c r="N1062" s="203"/>
      <c r="O1062" s="203"/>
      <c r="P1062" s="203"/>
      <c r="Q1062" s="203"/>
      <c r="R1062" s="203"/>
    </row>
    <row r="1063" spans="1:18" s="32" customFormat="1" ht="25.5" hidden="1">
      <c r="A1063" s="82" t="s">
        <v>38</v>
      </c>
      <c r="B1063" s="84" t="s">
        <v>94</v>
      </c>
      <c r="C1063" s="84" t="s">
        <v>72</v>
      </c>
      <c r="D1063" s="84" t="s">
        <v>28</v>
      </c>
      <c r="E1063" s="84" t="s">
        <v>850</v>
      </c>
      <c r="F1063" s="84" t="s">
        <v>39</v>
      </c>
      <c r="G1063" s="87"/>
      <c r="H1063" s="87">
        <v>0</v>
      </c>
      <c r="I1063" s="87">
        <v>0</v>
      </c>
      <c r="J1063" s="177"/>
      <c r="K1063" s="205"/>
      <c r="L1063" s="203"/>
      <c r="M1063" s="203"/>
      <c r="N1063" s="203"/>
      <c r="O1063" s="203"/>
      <c r="P1063" s="203"/>
      <c r="Q1063" s="203"/>
      <c r="R1063" s="203"/>
    </row>
    <row r="1064" spans="1:18" s="124" customFormat="1">
      <c r="A1064" s="138" t="s">
        <v>74</v>
      </c>
      <c r="B1064" s="273"/>
      <c r="C1064" s="162"/>
      <c r="D1064" s="162"/>
      <c r="E1064" s="162"/>
      <c r="F1064" s="162"/>
      <c r="G1064" s="96">
        <f>G485+G1016+G472+G465+G480+G1037</f>
        <v>1252428759.3600001</v>
      </c>
      <c r="H1064" s="96">
        <f>H485+H1016+H472+H465+H480+H1037</f>
        <v>1063973719.9299999</v>
      </c>
      <c r="I1064" s="96">
        <f>I485+I1016+I472+I465+I480+I1037</f>
        <v>1054591720.03</v>
      </c>
      <c r="J1064" s="192"/>
      <c r="K1064" s="208"/>
      <c r="L1064" s="208"/>
      <c r="M1064" s="207"/>
      <c r="N1064" s="207"/>
      <c r="O1064" s="207"/>
      <c r="P1064" s="207"/>
      <c r="Q1064" s="207"/>
      <c r="R1064" s="207"/>
    </row>
    <row r="1065" spans="1:18" s="90" customFormat="1" ht="36" customHeight="1">
      <c r="A1065" s="321" t="s">
        <v>988</v>
      </c>
      <c r="B1065" s="322">
        <v>792</v>
      </c>
      <c r="C1065" s="322"/>
      <c r="D1065" s="322"/>
      <c r="E1065" s="322"/>
      <c r="F1065" s="322"/>
      <c r="G1065" s="324"/>
      <c r="H1065" s="324"/>
      <c r="I1065" s="324"/>
      <c r="J1065" s="197"/>
      <c r="K1065" s="209"/>
      <c r="L1065" s="209"/>
      <c r="M1065" s="186"/>
      <c r="N1065" s="186"/>
      <c r="O1065" s="186"/>
      <c r="P1065" s="186"/>
      <c r="Q1065" s="186"/>
      <c r="R1065" s="186"/>
    </row>
    <row r="1066" spans="1:18">
      <c r="A1066" s="275" t="s">
        <v>18</v>
      </c>
      <c r="B1066" s="273">
        <v>792</v>
      </c>
      <c r="C1066" s="270" t="s">
        <v>19</v>
      </c>
      <c r="D1066" s="270"/>
      <c r="E1066" s="270"/>
      <c r="F1066" s="270"/>
      <c r="G1066" s="267">
        <f>G1067+G1074+G1084</f>
        <v>14701827.01</v>
      </c>
      <c r="H1066" s="267">
        <f>H1067+H1074+H1084</f>
        <v>15807252.76</v>
      </c>
      <c r="I1066" s="267">
        <f>I1067+I1074+I1084</f>
        <v>16600065</v>
      </c>
      <c r="J1066" s="191"/>
    </row>
    <row r="1067" spans="1:18" ht="51">
      <c r="A1067" s="82" t="s">
        <v>75</v>
      </c>
      <c r="B1067" s="149">
        <v>792</v>
      </c>
      <c r="C1067" s="84" t="s">
        <v>19</v>
      </c>
      <c r="D1067" s="84" t="s">
        <v>54</v>
      </c>
      <c r="E1067" s="84"/>
      <c r="F1067" s="84"/>
      <c r="G1067" s="87">
        <f>G1068</f>
        <v>1330000</v>
      </c>
      <c r="H1067" s="87">
        <f t="shared" ref="H1067:I1068" si="259">H1068</f>
        <v>1330000</v>
      </c>
      <c r="I1067" s="87">
        <f t="shared" si="259"/>
        <v>1330000</v>
      </c>
      <c r="J1067" s="177"/>
      <c r="K1067" s="209"/>
    </row>
    <row r="1068" spans="1:18" s="28" customFormat="1" ht="39.75" customHeight="1">
      <c r="A1068" s="82" t="s">
        <v>442</v>
      </c>
      <c r="B1068" s="149">
        <v>792</v>
      </c>
      <c r="C1068" s="84" t="s">
        <v>19</v>
      </c>
      <c r="D1068" s="84" t="s">
        <v>54</v>
      </c>
      <c r="E1068" s="84" t="s">
        <v>229</v>
      </c>
      <c r="F1068" s="168"/>
      <c r="G1068" s="87">
        <f>G1069</f>
        <v>1330000</v>
      </c>
      <c r="H1068" s="87">
        <f t="shared" si="259"/>
        <v>1330000</v>
      </c>
      <c r="I1068" s="87">
        <f t="shared" si="259"/>
        <v>1330000</v>
      </c>
      <c r="J1068" s="177"/>
      <c r="K1068" s="210"/>
      <c r="L1068" s="204"/>
      <c r="M1068" s="204"/>
      <c r="N1068" s="204"/>
      <c r="O1068" s="204"/>
      <c r="P1068" s="204"/>
      <c r="Q1068" s="204"/>
      <c r="R1068" s="204"/>
    </row>
    <row r="1069" spans="1:18" s="28" customFormat="1" ht="38.25">
      <c r="A1069" s="82" t="s">
        <v>155</v>
      </c>
      <c r="B1069" s="149">
        <v>792</v>
      </c>
      <c r="C1069" s="84" t="s">
        <v>19</v>
      </c>
      <c r="D1069" s="84" t="s">
        <v>54</v>
      </c>
      <c r="E1069" s="84" t="s">
        <v>680</v>
      </c>
      <c r="F1069" s="168"/>
      <c r="G1069" s="87">
        <f>G1071</f>
        <v>1330000</v>
      </c>
      <c r="H1069" s="87">
        <f t="shared" ref="H1069:I1069" si="260">H1071</f>
        <v>1330000</v>
      </c>
      <c r="I1069" s="87">
        <f t="shared" si="260"/>
        <v>1330000</v>
      </c>
      <c r="J1069" s="177"/>
      <c r="K1069" s="210"/>
      <c r="L1069" s="210"/>
      <c r="M1069" s="204"/>
      <c r="N1069" s="204"/>
      <c r="O1069" s="204"/>
      <c r="P1069" s="204"/>
      <c r="Q1069" s="204"/>
      <c r="R1069" s="204"/>
    </row>
    <row r="1070" spans="1:18" hidden="1">
      <c r="A1070" s="82"/>
      <c r="B1070" s="149"/>
      <c r="C1070" s="84"/>
      <c r="D1070" s="84"/>
      <c r="E1070" s="84"/>
      <c r="F1070" s="84"/>
      <c r="G1070" s="87"/>
      <c r="H1070" s="87"/>
      <c r="I1070" s="87"/>
      <c r="J1070" s="177"/>
    </row>
    <row r="1071" spans="1:18" s="3" customFormat="1" ht="73.5" customHeight="1">
      <c r="A1071" s="82" t="s">
        <v>682</v>
      </c>
      <c r="B1071" s="149">
        <v>792</v>
      </c>
      <c r="C1071" s="84" t="s">
        <v>19</v>
      </c>
      <c r="D1071" s="84" t="s">
        <v>54</v>
      </c>
      <c r="E1071" s="84" t="s">
        <v>680</v>
      </c>
      <c r="F1071" s="84"/>
      <c r="G1071" s="87">
        <f>G1073</f>
        <v>1330000</v>
      </c>
      <c r="H1071" s="87">
        <f t="shared" ref="H1071:I1071" si="261">H1073</f>
        <v>1330000</v>
      </c>
      <c r="I1071" s="87">
        <f t="shared" si="261"/>
        <v>1330000</v>
      </c>
      <c r="J1071" s="177"/>
      <c r="K1071" s="199"/>
      <c r="L1071" s="199"/>
      <c r="M1071" s="199"/>
      <c r="N1071" s="199"/>
      <c r="O1071" s="199"/>
      <c r="P1071" s="199"/>
      <c r="Q1071" s="199"/>
      <c r="R1071" s="199"/>
    </row>
    <row r="1072" spans="1:18" s="3" customFormat="1">
      <c r="A1072" s="82" t="s">
        <v>156</v>
      </c>
      <c r="B1072" s="149">
        <v>792</v>
      </c>
      <c r="C1072" s="84" t="s">
        <v>19</v>
      </c>
      <c r="D1072" s="84" t="s">
        <v>54</v>
      </c>
      <c r="E1072" s="84" t="s">
        <v>680</v>
      </c>
      <c r="F1072" s="84" t="s">
        <v>157</v>
      </c>
      <c r="G1072" s="87">
        <f t="shared" ref="G1072:I1072" si="262">G1073</f>
        <v>1330000</v>
      </c>
      <c r="H1072" s="87">
        <f t="shared" si="262"/>
        <v>1330000</v>
      </c>
      <c r="I1072" s="87">
        <f t="shared" si="262"/>
        <v>1330000</v>
      </c>
      <c r="J1072" s="177"/>
      <c r="K1072" s="220"/>
      <c r="L1072" s="199"/>
      <c r="M1072" s="199"/>
      <c r="N1072" s="199"/>
      <c r="O1072" s="199"/>
      <c r="P1072" s="199"/>
      <c r="Q1072" s="199"/>
      <c r="R1072" s="199"/>
    </row>
    <row r="1073" spans="1:18">
      <c r="A1073" s="82" t="s">
        <v>158</v>
      </c>
      <c r="B1073" s="149">
        <v>792</v>
      </c>
      <c r="C1073" s="84" t="s">
        <v>19</v>
      </c>
      <c r="D1073" s="84" t="s">
        <v>54</v>
      </c>
      <c r="E1073" s="84" t="s">
        <v>680</v>
      </c>
      <c r="F1073" s="84" t="s">
        <v>159</v>
      </c>
      <c r="G1073" s="87">
        <v>1330000</v>
      </c>
      <c r="H1073" s="87">
        <v>1330000</v>
      </c>
      <c r="I1073" s="87">
        <v>1330000</v>
      </c>
      <c r="J1073" s="177"/>
    </row>
    <row r="1074" spans="1:18" ht="38.25">
      <c r="A1074" s="82" t="s">
        <v>160</v>
      </c>
      <c r="B1074" s="149">
        <v>792</v>
      </c>
      <c r="C1074" s="84" t="s">
        <v>19</v>
      </c>
      <c r="D1074" s="84" t="s">
        <v>161</v>
      </c>
      <c r="E1074" s="84"/>
      <c r="F1074" s="84"/>
      <c r="G1074" s="87">
        <f t="shared" ref="G1074:I1076" si="263">G1075</f>
        <v>11937631</v>
      </c>
      <c r="H1074" s="87">
        <f t="shared" si="263"/>
        <v>12101328</v>
      </c>
      <c r="I1074" s="87">
        <f t="shared" si="263"/>
        <v>12270065</v>
      </c>
      <c r="J1074" s="177"/>
      <c r="K1074" s="209"/>
    </row>
    <row r="1075" spans="1:18" s="33" customFormat="1" ht="31.5" customHeight="1">
      <c r="A1075" s="82" t="s">
        <v>442</v>
      </c>
      <c r="B1075" s="149">
        <v>792</v>
      </c>
      <c r="C1075" s="84" t="s">
        <v>19</v>
      </c>
      <c r="D1075" s="84" t="s">
        <v>161</v>
      </c>
      <c r="E1075" s="84" t="s">
        <v>229</v>
      </c>
      <c r="F1075" s="168"/>
      <c r="G1075" s="87">
        <f t="shared" si="263"/>
        <v>11937631</v>
      </c>
      <c r="H1075" s="87">
        <f t="shared" si="263"/>
        <v>12101328</v>
      </c>
      <c r="I1075" s="87">
        <f t="shared" si="263"/>
        <v>12270065</v>
      </c>
      <c r="J1075" s="177"/>
      <c r="K1075" s="221"/>
      <c r="L1075" s="211"/>
      <c r="M1075" s="211"/>
      <c r="N1075" s="211"/>
      <c r="O1075" s="211"/>
      <c r="P1075" s="211"/>
      <c r="Q1075" s="211"/>
      <c r="R1075" s="211"/>
    </row>
    <row r="1076" spans="1:18" s="46" customFormat="1" ht="41.25" customHeight="1">
      <c r="A1076" s="82" t="s">
        <v>162</v>
      </c>
      <c r="B1076" s="149">
        <v>792</v>
      </c>
      <c r="C1076" s="84" t="s">
        <v>19</v>
      </c>
      <c r="D1076" s="84" t="s">
        <v>161</v>
      </c>
      <c r="E1076" s="84" t="s">
        <v>231</v>
      </c>
      <c r="F1076" s="84"/>
      <c r="G1076" s="87">
        <f t="shared" si="263"/>
        <v>11937631</v>
      </c>
      <c r="H1076" s="87">
        <f t="shared" si="263"/>
        <v>12101328</v>
      </c>
      <c r="I1076" s="87">
        <f t="shared" si="263"/>
        <v>12270065</v>
      </c>
      <c r="J1076" s="177"/>
      <c r="K1076" s="222"/>
      <c r="L1076" s="222"/>
      <c r="M1076" s="222"/>
      <c r="N1076" s="222"/>
      <c r="O1076" s="222"/>
      <c r="P1076" s="222"/>
      <c r="Q1076" s="222"/>
      <c r="R1076" s="222"/>
    </row>
    <row r="1077" spans="1:18" s="46" customFormat="1" ht="27.75" customHeight="1">
      <c r="A1077" s="82" t="s">
        <v>76</v>
      </c>
      <c r="B1077" s="149">
        <v>792</v>
      </c>
      <c r="C1077" s="84" t="s">
        <v>19</v>
      </c>
      <c r="D1077" s="84" t="s">
        <v>161</v>
      </c>
      <c r="E1077" s="84" t="s">
        <v>232</v>
      </c>
      <c r="F1077" s="84"/>
      <c r="G1077" s="87">
        <f>G1078+G1080+G1082</f>
        <v>11937631</v>
      </c>
      <c r="H1077" s="87">
        <f t="shared" ref="H1077:I1077" si="264">H1078+H1080+H1082</f>
        <v>12101328</v>
      </c>
      <c r="I1077" s="87">
        <f t="shared" si="264"/>
        <v>12270065</v>
      </c>
      <c r="J1077" s="177"/>
      <c r="K1077" s="222"/>
      <c r="L1077" s="222"/>
      <c r="M1077" s="222"/>
      <c r="N1077" s="222"/>
      <c r="O1077" s="222"/>
      <c r="P1077" s="222"/>
      <c r="Q1077" s="222"/>
      <c r="R1077" s="222"/>
    </row>
    <row r="1078" spans="1:18" s="46" customFormat="1" ht="51" customHeight="1">
      <c r="A1078" s="82" t="s">
        <v>55</v>
      </c>
      <c r="B1078" s="149">
        <v>792</v>
      </c>
      <c r="C1078" s="84" t="s">
        <v>19</v>
      </c>
      <c r="D1078" s="84" t="s">
        <v>161</v>
      </c>
      <c r="E1078" s="84" t="s">
        <v>232</v>
      </c>
      <c r="F1078" s="84" t="s">
        <v>58</v>
      </c>
      <c r="G1078" s="87">
        <f>G1079</f>
        <v>10609115</v>
      </c>
      <c r="H1078" s="87">
        <f>H1079</f>
        <v>10864936</v>
      </c>
      <c r="I1078" s="87">
        <f>I1079</f>
        <v>10971816</v>
      </c>
      <c r="J1078" s="177"/>
      <c r="K1078" s="222"/>
      <c r="L1078" s="222"/>
      <c r="M1078" s="222"/>
      <c r="N1078" s="222"/>
      <c r="O1078" s="222"/>
      <c r="P1078" s="222"/>
      <c r="Q1078" s="222"/>
      <c r="R1078" s="222"/>
    </row>
    <row r="1079" spans="1:18" s="46" customFormat="1" ht="25.5">
      <c r="A1079" s="82" t="s">
        <v>56</v>
      </c>
      <c r="B1079" s="149">
        <v>792</v>
      </c>
      <c r="C1079" s="84" t="s">
        <v>19</v>
      </c>
      <c r="D1079" s="84" t="s">
        <v>161</v>
      </c>
      <c r="E1079" s="84" t="s">
        <v>232</v>
      </c>
      <c r="F1079" s="84" t="s">
        <v>59</v>
      </c>
      <c r="G1079" s="87">
        <f>10759115-150000</f>
        <v>10609115</v>
      </c>
      <c r="H1079" s="87">
        <v>10864936</v>
      </c>
      <c r="I1079" s="87">
        <v>10971816</v>
      </c>
      <c r="J1079" s="177"/>
      <c r="K1079" s="222"/>
      <c r="L1079" s="222"/>
      <c r="M1079" s="222"/>
      <c r="N1079" s="222"/>
      <c r="O1079" s="222"/>
      <c r="P1079" s="222"/>
      <c r="Q1079" s="222"/>
      <c r="R1079" s="222"/>
    </row>
    <row r="1080" spans="1:18" s="46" customFormat="1" ht="25.5">
      <c r="A1080" s="82" t="s">
        <v>36</v>
      </c>
      <c r="B1080" s="149">
        <v>792</v>
      </c>
      <c r="C1080" s="84" t="s">
        <v>19</v>
      </c>
      <c r="D1080" s="84" t="s">
        <v>161</v>
      </c>
      <c r="E1080" s="84" t="s">
        <v>232</v>
      </c>
      <c r="F1080" s="84" t="s">
        <v>37</v>
      </c>
      <c r="G1080" s="87">
        <f>G1081</f>
        <v>1302516</v>
      </c>
      <c r="H1080" s="87">
        <f>H1081</f>
        <v>1209392</v>
      </c>
      <c r="I1080" s="87">
        <f>I1081</f>
        <v>1270249</v>
      </c>
      <c r="J1080" s="177"/>
      <c r="K1080" s="222"/>
      <c r="L1080" s="222"/>
      <c r="M1080" s="222"/>
      <c r="N1080" s="222"/>
      <c r="O1080" s="222"/>
      <c r="P1080" s="222"/>
      <c r="Q1080" s="222"/>
      <c r="R1080" s="222"/>
    </row>
    <row r="1081" spans="1:18" s="46" customFormat="1" ht="25.5">
      <c r="A1081" s="82" t="s">
        <v>38</v>
      </c>
      <c r="B1081" s="149">
        <v>792</v>
      </c>
      <c r="C1081" s="84" t="s">
        <v>19</v>
      </c>
      <c r="D1081" s="84" t="s">
        <v>161</v>
      </c>
      <c r="E1081" s="84" t="s">
        <v>232</v>
      </c>
      <c r="F1081" s="84" t="s">
        <v>39</v>
      </c>
      <c r="G1081" s="87">
        <f>1152516+150000</f>
        <v>1302516</v>
      </c>
      <c r="H1081" s="87">
        <v>1209392</v>
      </c>
      <c r="I1081" s="87">
        <v>1270249</v>
      </c>
      <c r="J1081" s="177"/>
      <c r="K1081" s="222"/>
      <c r="L1081" s="222"/>
      <c r="M1081" s="222"/>
      <c r="N1081" s="222"/>
      <c r="O1081" s="222"/>
      <c r="P1081" s="222"/>
      <c r="Q1081" s="222"/>
      <c r="R1081" s="222"/>
    </row>
    <row r="1082" spans="1:18" s="46" customFormat="1">
      <c r="A1082" s="136" t="s">
        <v>63</v>
      </c>
      <c r="B1082" s="149">
        <v>792</v>
      </c>
      <c r="C1082" s="84" t="s">
        <v>19</v>
      </c>
      <c r="D1082" s="84" t="s">
        <v>161</v>
      </c>
      <c r="E1082" s="84" t="s">
        <v>232</v>
      </c>
      <c r="F1082" s="84" t="s">
        <v>64</v>
      </c>
      <c r="G1082" s="87">
        <f>G1083</f>
        <v>26000</v>
      </c>
      <c r="H1082" s="87">
        <f>H1083</f>
        <v>27000</v>
      </c>
      <c r="I1082" s="87">
        <f>I1083</f>
        <v>28000</v>
      </c>
      <c r="J1082" s="177"/>
      <c r="K1082" s="222"/>
      <c r="L1082" s="222"/>
      <c r="M1082" s="222"/>
      <c r="N1082" s="222"/>
      <c r="O1082" s="222"/>
      <c r="P1082" s="222"/>
      <c r="Q1082" s="222"/>
      <c r="R1082" s="222"/>
    </row>
    <row r="1083" spans="1:18" s="46" customFormat="1">
      <c r="A1083" s="136" t="s">
        <v>144</v>
      </c>
      <c r="B1083" s="149">
        <v>792</v>
      </c>
      <c r="C1083" s="84" t="s">
        <v>19</v>
      </c>
      <c r="D1083" s="84" t="s">
        <v>161</v>
      </c>
      <c r="E1083" s="84" t="s">
        <v>232</v>
      </c>
      <c r="F1083" s="84" t="s">
        <v>67</v>
      </c>
      <c r="G1083" s="87">
        <v>26000</v>
      </c>
      <c r="H1083" s="87">
        <v>27000</v>
      </c>
      <c r="I1083" s="87">
        <v>28000</v>
      </c>
      <c r="J1083" s="177"/>
      <c r="K1083" s="222"/>
      <c r="L1083" s="222"/>
      <c r="M1083" s="222"/>
      <c r="N1083" s="222"/>
      <c r="O1083" s="222"/>
      <c r="P1083" s="222"/>
      <c r="Q1083" s="222"/>
      <c r="R1083" s="222"/>
    </row>
    <row r="1084" spans="1:18">
      <c r="A1084" s="137" t="s">
        <v>22</v>
      </c>
      <c r="B1084" s="149">
        <v>792</v>
      </c>
      <c r="C1084" s="84" t="s">
        <v>19</v>
      </c>
      <c r="D1084" s="84" t="s">
        <v>23</v>
      </c>
      <c r="E1084" s="84"/>
      <c r="F1084" s="84"/>
      <c r="G1084" s="87">
        <f>G1085</f>
        <v>1434196.01</v>
      </c>
      <c r="H1084" s="87">
        <f t="shared" ref="H1084:I1084" si="265">H1085</f>
        <v>2375924.7599999998</v>
      </c>
      <c r="I1084" s="87">
        <f t="shared" si="265"/>
        <v>3000000</v>
      </c>
      <c r="J1084" s="177"/>
    </row>
    <row r="1085" spans="1:18" s="33" customFormat="1" ht="31.5" customHeight="1">
      <c r="A1085" s="82" t="s">
        <v>98</v>
      </c>
      <c r="B1085" s="149">
        <v>792</v>
      </c>
      <c r="C1085" s="84" t="s">
        <v>19</v>
      </c>
      <c r="D1085" s="84" t="s">
        <v>23</v>
      </c>
      <c r="E1085" s="149" t="s">
        <v>210</v>
      </c>
      <c r="F1085" s="84"/>
      <c r="G1085" s="87">
        <f>G1086</f>
        <v>1434196.01</v>
      </c>
      <c r="H1085" s="87">
        <f t="shared" ref="H1085:I1085" si="266">H1086</f>
        <v>2375924.7599999998</v>
      </c>
      <c r="I1085" s="87">
        <f t="shared" si="266"/>
        <v>3000000</v>
      </c>
      <c r="J1085" s="177"/>
      <c r="K1085" s="211"/>
      <c r="L1085" s="211"/>
      <c r="M1085" s="211"/>
      <c r="N1085" s="211"/>
      <c r="O1085" s="211"/>
      <c r="P1085" s="211"/>
      <c r="Q1085" s="211"/>
      <c r="R1085" s="211"/>
    </row>
    <row r="1086" spans="1:18" ht="18.75" customHeight="1">
      <c r="A1086" s="82" t="s">
        <v>333</v>
      </c>
      <c r="B1086" s="149">
        <v>792</v>
      </c>
      <c r="C1086" s="84" t="s">
        <v>19</v>
      </c>
      <c r="D1086" s="84" t="s">
        <v>23</v>
      </c>
      <c r="E1086" s="84" t="s">
        <v>211</v>
      </c>
      <c r="F1086" s="84"/>
      <c r="G1086" s="87">
        <f>G1087</f>
        <v>1434196.01</v>
      </c>
      <c r="H1086" s="87">
        <f t="shared" ref="H1086:I1086" si="267">H1087</f>
        <v>2375924.7599999998</v>
      </c>
      <c r="I1086" s="87">
        <f t="shared" si="267"/>
        <v>3000000</v>
      </c>
      <c r="J1086" s="177"/>
    </row>
    <row r="1087" spans="1:18" ht="18.75" customHeight="1">
      <c r="A1087" s="82" t="s">
        <v>63</v>
      </c>
      <c r="B1087" s="149">
        <v>792</v>
      </c>
      <c r="C1087" s="84" t="s">
        <v>19</v>
      </c>
      <c r="D1087" s="84" t="s">
        <v>23</v>
      </c>
      <c r="E1087" s="84" t="s">
        <v>211</v>
      </c>
      <c r="F1087" s="84" t="s">
        <v>64</v>
      </c>
      <c r="G1087" s="87">
        <f>G1088</f>
        <v>1434196.01</v>
      </c>
      <c r="H1087" s="87">
        <f>H1088</f>
        <v>2375924.7599999998</v>
      </c>
      <c r="I1087" s="87">
        <f>I1088</f>
        <v>3000000</v>
      </c>
      <c r="J1087" s="177"/>
    </row>
    <row r="1088" spans="1:18" ht="18.75" customHeight="1">
      <c r="A1088" s="82" t="s">
        <v>328</v>
      </c>
      <c r="B1088" s="149">
        <v>792</v>
      </c>
      <c r="C1088" s="84" t="s">
        <v>19</v>
      </c>
      <c r="D1088" s="84" t="s">
        <v>23</v>
      </c>
      <c r="E1088" s="84" t="s">
        <v>211</v>
      </c>
      <c r="F1088" s="84" t="s">
        <v>327</v>
      </c>
      <c r="G1088" s="87">
        <f>3425019.13-151308.02-2379063.07-75960-5000+740400-119892.03</f>
        <v>1434196.01</v>
      </c>
      <c r="H1088" s="87">
        <f>3000000-624075.24</f>
        <v>2375924.7599999998</v>
      </c>
      <c r="I1088" s="87">
        <f>3000000</f>
        <v>3000000</v>
      </c>
      <c r="J1088" s="177"/>
    </row>
    <row r="1089" spans="1:18">
      <c r="A1089" s="138" t="s">
        <v>165</v>
      </c>
      <c r="B1089" s="273">
        <v>792</v>
      </c>
      <c r="C1089" s="162" t="s">
        <v>28</v>
      </c>
      <c r="D1089" s="162"/>
      <c r="E1089" s="162"/>
      <c r="F1089" s="162"/>
      <c r="G1089" s="96">
        <f t="shared" ref="G1089:I1090" si="268">G1090</f>
        <v>3750613.11</v>
      </c>
      <c r="H1089" s="96">
        <f t="shared" si="268"/>
        <v>3663447.84</v>
      </c>
      <c r="I1089" s="96">
        <f t="shared" si="268"/>
        <v>3793072.21</v>
      </c>
      <c r="J1089" s="192"/>
    </row>
    <row r="1090" spans="1:18">
      <c r="A1090" s="137" t="s">
        <v>166</v>
      </c>
      <c r="B1090" s="149">
        <v>792</v>
      </c>
      <c r="C1090" s="84" t="s">
        <v>28</v>
      </c>
      <c r="D1090" s="84" t="s">
        <v>70</v>
      </c>
      <c r="E1090" s="84"/>
      <c r="F1090" s="84"/>
      <c r="G1090" s="87">
        <f t="shared" si="268"/>
        <v>3750613.11</v>
      </c>
      <c r="H1090" s="87">
        <f t="shared" si="268"/>
        <v>3663447.84</v>
      </c>
      <c r="I1090" s="87">
        <f t="shared" si="268"/>
        <v>3793072.21</v>
      </c>
      <c r="J1090" s="177"/>
    </row>
    <row r="1091" spans="1:18" s="28" customFormat="1" ht="38.25">
      <c r="A1091" s="82" t="s">
        <v>442</v>
      </c>
      <c r="B1091" s="149">
        <v>792</v>
      </c>
      <c r="C1091" s="84" t="s">
        <v>28</v>
      </c>
      <c r="D1091" s="84" t="s">
        <v>70</v>
      </c>
      <c r="E1091" s="84" t="s">
        <v>229</v>
      </c>
      <c r="F1091" s="168"/>
      <c r="G1091" s="87">
        <f>G1093</f>
        <v>3750613.11</v>
      </c>
      <c r="H1091" s="87">
        <f>H1093</f>
        <v>3663447.84</v>
      </c>
      <c r="I1091" s="87">
        <f>I1093</f>
        <v>3793072.21</v>
      </c>
      <c r="J1091" s="177"/>
      <c r="K1091" s="204"/>
      <c r="L1091" s="204"/>
      <c r="M1091" s="204"/>
      <c r="N1091" s="204"/>
      <c r="O1091" s="204"/>
      <c r="P1091" s="204"/>
      <c r="Q1091" s="204"/>
      <c r="R1091" s="204"/>
    </row>
    <row r="1092" spans="1:18" s="46" customFormat="1" ht="41.25" customHeight="1">
      <c r="A1092" s="82" t="s">
        <v>155</v>
      </c>
      <c r="B1092" s="149">
        <v>792</v>
      </c>
      <c r="C1092" s="84" t="s">
        <v>28</v>
      </c>
      <c r="D1092" s="84" t="s">
        <v>70</v>
      </c>
      <c r="E1092" s="84" t="s">
        <v>230</v>
      </c>
      <c r="F1092" s="84"/>
      <c r="G1092" s="87">
        <f t="shared" ref="G1092" si="269">G1093</f>
        <v>3750613.11</v>
      </c>
      <c r="H1092" s="87">
        <f t="shared" ref="H1092" si="270">H1093</f>
        <v>3663447.84</v>
      </c>
      <c r="I1092" s="87">
        <f t="shared" ref="I1092" si="271">I1093</f>
        <v>3793072.21</v>
      </c>
      <c r="J1092" s="177"/>
      <c r="K1092" s="222"/>
      <c r="L1092" s="222"/>
      <c r="M1092" s="222"/>
      <c r="N1092" s="222"/>
      <c r="O1092" s="222"/>
      <c r="P1092" s="222"/>
      <c r="Q1092" s="222"/>
      <c r="R1092" s="222"/>
    </row>
    <row r="1093" spans="1:18" s="28" customFormat="1" ht="25.5">
      <c r="A1093" s="82" t="s">
        <v>167</v>
      </c>
      <c r="B1093" s="149">
        <v>792</v>
      </c>
      <c r="C1093" s="84" t="s">
        <v>28</v>
      </c>
      <c r="D1093" s="84" t="s">
        <v>70</v>
      </c>
      <c r="E1093" s="84" t="s">
        <v>385</v>
      </c>
      <c r="F1093" s="168"/>
      <c r="G1093" s="87">
        <f t="shared" ref="G1093:I1094" si="272">G1094</f>
        <v>3750613.11</v>
      </c>
      <c r="H1093" s="87">
        <f t="shared" si="272"/>
        <v>3663447.84</v>
      </c>
      <c r="I1093" s="87">
        <f t="shared" si="272"/>
        <v>3793072.21</v>
      </c>
      <c r="J1093" s="177"/>
      <c r="K1093" s="204"/>
      <c r="L1093" s="204"/>
      <c r="M1093" s="204"/>
      <c r="N1093" s="204"/>
      <c r="O1093" s="204"/>
      <c r="P1093" s="204"/>
      <c r="Q1093" s="204"/>
      <c r="R1093" s="204"/>
    </row>
    <row r="1094" spans="1:18" ht="22.5" customHeight="1">
      <c r="A1094" s="82" t="s">
        <v>156</v>
      </c>
      <c r="B1094" s="149">
        <v>792</v>
      </c>
      <c r="C1094" s="84" t="s">
        <v>28</v>
      </c>
      <c r="D1094" s="84" t="s">
        <v>70</v>
      </c>
      <c r="E1094" s="84" t="s">
        <v>385</v>
      </c>
      <c r="F1094" s="84" t="s">
        <v>157</v>
      </c>
      <c r="G1094" s="87">
        <f t="shared" si="272"/>
        <v>3750613.11</v>
      </c>
      <c r="H1094" s="87">
        <f t="shared" si="272"/>
        <v>3663447.84</v>
      </c>
      <c r="I1094" s="87">
        <f t="shared" si="272"/>
        <v>3793072.21</v>
      </c>
      <c r="J1094" s="177"/>
    </row>
    <row r="1095" spans="1:18">
      <c r="A1095" s="82" t="s">
        <v>158</v>
      </c>
      <c r="B1095" s="149">
        <v>792</v>
      </c>
      <c r="C1095" s="84" t="s">
        <v>28</v>
      </c>
      <c r="D1095" s="84" t="s">
        <v>70</v>
      </c>
      <c r="E1095" s="84" t="s">
        <v>385</v>
      </c>
      <c r="F1095" s="84" t="s">
        <v>159</v>
      </c>
      <c r="G1095" s="87">
        <v>3750613.11</v>
      </c>
      <c r="H1095" s="87">
        <v>3663447.84</v>
      </c>
      <c r="I1095" s="87">
        <v>3793072.21</v>
      </c>
      <c r="J1095" s="177"/>
    </row>
    <row r="1096" spans="1:18" hidden="1">
      <c r="A1096" s="135" t="s">
        <v>175</v>
      </c>
      <c r="B1096" s="149">
        <v>792</v>
      </c>
      <c r="C1096" s="84" t="s">
        <v>173</v>
      </c>
      <c r="D1096" s="84" t="s">
        <v>28</v>
      </c>
      <c r="E1096" s="84"/>
      <c r="F1096" s="84"/>
      <c r="G1096" s="87">
        <f>G1098</f>
        <v>0</v>
      </c>
      <c r="H1096" s="87">
        <f t="shared" ref="H1096:I1096" si="273">H1098</f>
        <v>0</v>
      </c>
      <c r="I1096" s="87">
        <f t="shared" si="273"/>
        <v>0</v>
      </c>
      <c r="J1096" s="177"/>
    </row>
    <row r="1097" spans="1:18" ht="68.25" hidden="1" customHeight="1">
      <c r="A1097" s="135" t="s">
        <v>806</v>
      </c>
      <c r="B1097" s="149">
        <v>792</v>
      </c>
      <c r="C1097" s="84" t="s">
        <v>173</v>
      </c>
      <c r="D1097" s="84" t="s">
        <v>28</v>
      </c>
      <c r="E1097" s="84" t="s">
        <v>699</v>
      </c>
      <c r="F1097" s="84"/>
      <c r="G1097" s="87">
        <f>G1098</f>
        <v>0</v>
      </c>
      <c r="H1097" s="87">
        <f t="shared" ref="H1097:I1097" si="274">H1098</f>
        <v>0</v>
      </c>
      <c r="I1097" s="87">
        <f t="shared" si="274"/>
        <v>0</v>
      </c>
      <c r="J1097" s="177"/>
      <c r="K1097" s="177"/>
      <c r="L1097" s="177"/>
      <c r="M1097" s="177"/>
      <c r="N1097" s="177"/>
      <c r="O1097" s="177"/>
    </row>
    <row r="1098" spans="1:18" hidden="1">
      <c r="A1098" s="82" t="s">
        <v>700</v>
      </c>
      <c r="B1098" s="149">
        <v>792</v>
      </c>
      <c r="C1098" s="84" t="s">
        <v>173</v>
      </c>
      <c r="D1098" s="84" t="s">
        <v>28</v>
      </c>
      <c r="E1098" s="84" t="s">
        <v>699</v>
      </c>
      <c r="F1098" s="84"/>
      <c r="G1098" s="87">
        <f t="shared" ref="G1098:I1099" si="275">G1099</f>
        <v>0</v>
      </c>
      <c r="H1098" s="87">
        <f t="shared" si="275"/>
        <v>0</v>
      </c>
      <c r="I1098" s="87">
        <f t="shared" si="275"/>
        <v>0</v>
      </c>
      <c r="J1098" s="177"/>
    </row>
    <row r="1099" spans="1:18" ht="25.5" hidden="1">
      <c r="A1099" s="82" t="s">
        <v>36</v>
      </c>
      <c r="B1099" s="149">
        <v>792</v>
      </c>
      <c r="C1099" s="84" t="s">
        <v>173</v>
      </c>
      <c r="D1099" s="84" t="s">
        <v>28</v>
      </c>
      <c r="E1099" s="84" t="s">
        <v>699</v>
      </c>
      <c r="F1099" s="84" t="s">
        <v>37</v>
      </c>
      <c r="G1099" s="87">
        <f t="shared" si="275"/>
        <v>0</v>
      </c>
      <c r="H1099" s="87">
        <f t="shared" si="275"/>
        <v>0</v>
      </c>
      <c r="I1099" s="87">
        <f t="shared" si="275"/>
        <v>0</v>
      </c>
      <c r="J1099" s="177"/>
    </row>
    <row r="1100" spans="1:18" ht="25.5" hidden="1">
      <c r="A1100" s="82" t="s">
        <v>38</v>
      </c>
      <c r="B1100" s="149">
        <v>792</v>
      </c>
      <c r="C1100" s="84" t="s">
        <v>173</v>
      </c>
      <c r="D1100" s="84" t="s">
        <v>28</v>
      </c>
      <c r="E1100" s="84" t="s">
        <v>699</v>
      </c>
      <c r="F1100" s="84" t="s">
        <v>39</v>
      </c>
      <c r="G1100" s="87"/>
      <c r="H1100" s="87"/>
      <c r="I1100" s="87"/>
      <c r="J1100" s="177"/>
    </row>
    <row r="1101" spans="1:18">
      <c r="A1101" s="268" t="s">
        <v>145</v>
      </c>
      <c r="B1101" s="162" t="s">
        <v>787</v>
      </c>
      <c r="C1101" s="270" t="s">
        <v>69</v>
      </c>
      <c r="D1101" s="270"/>
      <c r="E1101" s="270"/>
      <c r="F1101" s="270"/>
      <c r="G1101" s="267">
        <f>G1102</f>
        <v>144516</v>
      </c>
      <c r="H1101" s="267">
        <f t="shared" ref="H1101:I1101" si="276">H1102</f>
        <v>145961</v>
      </c>
      <c r="I1101" s="267">
        <f t="shared" si="276"/>
        <v>147421</v>
      </c>
      <c r="J1101" s="191"/>
    </row>
    <row r="1102" spans="1:18">
      <c r="A1102" s="82" t="s">
        <v>146</v>
      </c>
      <c r="B1102" s="149">
        <v>792</v>
      </c>
      <c r="C1102" s="84" t="s">
        <v>69</v>
      </c>
      <c r="D1102" s="84" t="s">
        <v>19</v>
      </c>
      <c r="E1102" s="84"/>
      <c r="F1102" s="84"/>
      <c r="G1102" s="87">
        <f>G1103</f>
        <v>144516</v>
      </c>
      <c r="H1102" s="87">
        <f>H1103</f>
        <v>145961</v>
      </c>
      <c r="I1102" s="87">
        <f>I1103</f>
        <v>147421</v>
      </c>
      <c r="J1102" s="177"/>
    </row>
    <row r="1103" spans="1:18" s="43" customFormat="1" ht="30.75" customHeight="1">
      <c r="A1103" s="82" t="s">
        <v>486</v>
      </c>
      <c r="B1103" s="149">
        <v>792</v>
      </c>
      <c r="C1103" s="84" t="s">
        <v>69</v>
      </c>
      <c r="D1103" s="84" t="s">
        <v>19</v>
      </c>
      <c r="E1103" s="84" t="s">
        <v>286</v>
      </c>
      <c r="F1103" s="168"/>
      <c r="G1103" s="87">
        <f t="shared" ref="G1103:I1105" si="277">G1104</f>
        <v>144516</v>
      </c>
      <c r="H1103" s="87">
        <f t="shared" si="277"/>
        <v>145961</v>
      </c>
      <c r="I1103" s="87">
        <f t="shared" si="277"/>
        <v>147421</v>
      </c>
      <c r="J1103" s="177"/>
      <c r="K1103" s="218"/>
      <c r="L1103" s="218"/>
      <c r="M1103" s="218"/>
      <c r="N1103" s="218"/>
      <c r="O1103" s="218"/>
      <c r="P1103" s="218"/>
      <c r="Q1103" s="218"/>
      <c r="R1103" s="218"/>
    </row>
    <row r="1104" spans="1:18" s="43" customFormat="1">
      <c r="A1104" s="82" t="s">
        <v>147</v>
      </c>
      <c r="B1104" s="149">
        <v>792</v>
      </c>
      <c r="C1104" s="84" t="s">
        <v>69</v>
      </c>
      <c r="D1104" s="84" t="s">
        <v>19</v>
      </c>
      <c r="E1104" s="84" t="s">
        <v>290</v>
      </c>
      <c r="F1104" s="168"/>
      <c r="G1104" s="87">
        <f t="shared" si="277"/>
        <v>144516</v>
      </c>
      <c r="H1104" s="87">
        <f t="shared" si="277"/>
        <v>145961</v>
      </c>
      <c r="I1104" s="87">
        <f t="shared" si="277"/>
        <v>147421</v>
      </c>
      <c r="J1104" s="177"/>
      <c r="K1104" s="218"/>
      <c r="L1104" s="218"/>
      <c r="M1104" s="218"/>
      <c r="N1104" s="218"/>
      <c r="O1104" s="218"/>
      <c r="P1104" s="218"/>
      <c r="Q1104" s="218"/>
      <c r="R1104" s="218"/>
    </row>
    <row r="1105" spans="1:18" s="43" customFormat="1">
      <c r="A1105" s="82" t="s">
        <v>148</v>
      </c>
      <c r="B1105" s="149">
        <v>792</v>
      </c>
      <c r="C1105" s="84" t="s">
        <v>69</v>
      </c>
      <c r="D1105" s="84" t="s">
        <v>19</v>
      </c>
      <c r="E1105" s="84" t="s">
        <v>290</v>
      </c>
      <c r="F1105" s="84" t="s">
        <v>149</v>
      </c>
      <c r="G1105" s="87">
        <f t="shared" si="277"/>
        <v>144516</v>
      </c>
      <c r="H1105" s="87">
        <f t="shared" si="277"/>
        <v>145961</v>
      </c>
      <c r="I1105" s="87">
        <f t="shared" si="277"/>
        <v>147421</v>
      </c>
      <c r="J1105" s="177"/>
      <c r="K1105" s="218"/>
      <c r="L1105" s="218"/>
      <c r="M1105" s="218"/>
      <c r="N1105" s="218"/>
      <c r="O1105" s="218"/>
      <c r="P1105" s="218"/>
      <c r="Q1105" s="218"/>
      <c r="R1105" s="218"/>
    </row>
    <row r="1106" spans="1:18" s="44" customFormat="1" ht="25.5">
      <c r="A1106" s="82" t="s">
        <v>354</v>
      </c>
      <c r="B1106" s="149">
        <v>792</v>
      </c>
      <c r="C1106" s="84" t="s">
        <v>69</v>
      </c>
      <c r="D1106" s="84" t="s">
        <v>19</v>
      </c>
      <c r="E1106" s="84" t="s">
        <v>290</v>
      </c>
      <c r="F1106" s="84" t="s">
        <v>355</v>
      </c>
      <c r="G1106" s="87">
        <v>144516</v>
      </c>
      <c r="H1106" s="87">
        <v>145961</v>
      </c>
      <c r="I1106" s="87">
        <v>147421</v>
      </c>
      <c r="J1106" s="177"/>
      <c r="K1106" s="219"/>
      <c r="L1106" s="219"/>
      <c r="M1106" s="219"/>
      <c r="N1106" s="219"/>
      <c r="O1106" s="219"/>
      <c r="P1106" s="219"/>
      <c r="Q1106" s="219"/>
      <c r="R1106" s="219"/>
    </row>
    <row r="1107" spans="1:18" ht="25.5">
      <c r="A1107" s="134" t="s">
        <v>300</v>
      </c>
      <c r="B1107" s="273">
        <v>792</v>
      </c>
      <c r="C1107" s="270" t="s">
        <v>23</v>
      </c>
      <c r="D1107" s="270"/>
      <c r="E1107" s="270"/>
      <c r="F1107" s="270"/>
      <c r="G1107" s="267">
        <f t="shared" ref="G1107:G1112" si="278">G1108</f>
        <v>90000</v>
      </c>
      <c r="H1107" s="267">
        <f t="shared" ref="H1107:I1112" si="279">H1108</f>
        <v>90000</v>
      </c>
      <c r="I1107" s="267">
        <f t="shared" si="279"/>
        <v>90000</v>
      </c>
      <c r="J1107" s="191"/>
    </row>
    <row r="1108" spans="1:18" ht="28.5" customHeight="1">
      <c r="A1108" s="135" t="s">
        <v>301</v>
      </c>
      <c r="B1108" s="149">
        <v>792</v>
      </c>
      <c r="C1108" s="84" t="s">
        <v>23</v>
      </c>
      <c r="D1108" s="84" t="s">
        <v>19</v>
      </c>
      <c r="E1108" s="156"/>
      <c r="F1108" s="156"/>
      <c r="G1108" s="87">
        <f t="shared" si="278"/>
        <v>90000</v>
      </c>
      <c r="H1108" s="87">
        <f t="shared" si="279"/>
        <v>90000</v>
      </c>
      <c r="I1108" s="87">
        <f t="shared" si="279"/>
        <v>90000</v>
      </c>
      <c r="J1108" s="177"/>
    </row>
    <row r="1109" spans="1:18" s="28" customFormat="1" ht="38.25">
      <c r="A1109" s="82" t="s">
        <v>442</v>
      </c>
      <c r="B1109" s="149">
        <v>792</v>
      </c>
      <c r="C1109" s="84" t="s">
        <v>23</v>
      </c>
      <c r="D1109" s="84" t="s">
        <v>19</v>
      </c>
      <c r="E1109" s="84" t="s">
        <v>229</v>
      </c>
      <c r="F1109" s="168"/>
      <c r="G1109" s="87">
        <f t="shared" si="278"/>
        <v>90000</v>
      </c>
      <c r="H1109" s="87">
        <f t="shared" si="279"/>
        <v>90000</v>
      </c>
      <c r="I1109" s="87">
        <f t="shared" si="279"/>
        <v>90000</v>
      </c>
      <c r="J1109" s="177"/>
      <c r="K1109" s="204"/>
      <c r="L1109" s="204"/>
      <c r="M1109" s="204"/>
      <c r="N1109" s="204"/>
      <c r="O1109" s="204"/>
      <c r="P1109" s="204"/>
      <c r="Q1109" s="204"/>
      <c r="R1109" s="204"/>
    </row>
    <row r="1110" spans="1:18" s="28" customFormat="1" ht="25.5">
      <c r="A1110" s="82" t="s">
        <v>302</v>
      </c>
      <c r="B1110" s="149">
        <v>792</v>
      </c>
      <c r="C1110" s="84" t="s">
        <v>23</v>
      </c>
      <c r="D1110" s="84" t="s">
        <v>19</v>
      </c>
      <c r="E1110" s="84" t="s">
        <v>235</v>
      </c>
      <c r="F1110" s="168"/>
      <c r="G1110" s="87">
        <f t="shared" si="278"/>
        <v>90000</v>
      </c>
      <c r="H1110" s="87">
        <f t="shared" si="279"/>
        <v>90000</v>
      </c>
      <c r="I1110" s="87">
        <f t="shared" si="279"/>
        <v>90000</v>
      </c>
      <c r="J1110" s="177"/>
      <c r="K1110" s="204"/>
      <c r="L1110" s="204"/>
      <c r="M1110" s="204"/>
      <c r="N1110" s="204"/>
      <c r="O1110" s="204"/>
      <c r="P1110" s="204"/>
      <c r="Q1110" s="204"/>
      <c r="R1110" s="204"/>
    </row>
    <row r="1111" spans="1:18">
      <c r="A1111" s="82" t="s">
        <v>303</v>
      </c>
      <c r="B1111" s="149">
        <v>792</v>
      </c>
      <c r="C1111" s="84" t="s">
        <v>23</v>
      </c>
      <c r="D1111" s="84" t="s">
        <v>19</v>
      </c>
      <c r="E1111" s="84" t="s">
        <v>236</v>
      </c>
      <c r="F1111" s="84"/>
      <c r="G1111" s="87">
        <f t="shared" si="278"/>
        <v>90000</v>
      </c>
      <c r="H1111" s="87">
        <f t="shared" si="279"/>
        <v>90000</v>
      </c>
      <c r="I1111" s="87">
        <f t="shared" si="279"/>
        <v>90000</v>
      </c>
      <c r="J1111" s="177"/>
    </row>
    <row r="1112" spans="1:18" ht="25.5">
      <c r="A1112" s="82" t="s">
        <v>304</v>
      </c>
      <c r="B1112" s="149">
        <v>792</v>
      </c>
      <c r="C1112" s="84" t="s">
        <v>23</v>
      </c>
      <c r="D1112" s="84" t="s">
        <v>19</v>
      </c>
      <c r="E1112" s="84" t="s">
        <v>236</v>
      </c>
      <c r="F1112" s="84" t="s">
        <v>305</v>
      </c>
      <c r="G1112" s="87">
        <f t="shared" si="278"/>
        <v>90000</v>
      </c>
      <c r="H1112" s="87">
        <f t="shared" si="279"/>
        <v>90000</v>
      </c>
      <c r="I1112" s="87">
        <f t="shared" si="279"/>
        <v>90000</v>
      </c>
      <c r="J1112" s="177"/>
    </row>
    <row r="1113" spans="1:18">
      <c r="A1113" s="82" t="s">
        <v>306</v>
      </c>
      <c r="B1113" s="149">
        <v>792</v>
      </c>
      <c r="C1113" s="84" t="s">
        <v>23</v>
      </c>
      <c r="D1113" s="84" t="s">
        <v>19</v>
      </c>
      <c r="E1113" s="84" t="s">
        <v>236</v>
      </c>
      <c r="F1113" s="84" t="s">
        <v>307</v>
      </c>
      <c r="G1113" s="87">
        <v>90000</v>
      </c>
      <c r="H1113" s="87">
        <v>90000</v>
      </c>
      <c r="I1113" s="87">
        <v>90000</v>
      </c>
      <c r="J1113" s="177"/>
    </row>
    <row r="1114" spans="1:18" s="46" customFormat="1" ht="38.25">
      <c r="A1114" s="132" t="s">
        <v>308</v>
      </c>
      <c r="B1114" s="83">
        <v>792</v>
      </c>
      <c r="C1114" s="153" t="s">
        <v>309</v>
      </c>
      <c r="D1114" s="153"/>
      <c r="E1114" s="153"/>
      <c r="F1114" s="153"/>
      <c r="G1114" s="94">
        <f>G1116+G1129+G1124</f>
        <v>43817170.5</v>
      </c>
      <c r="H1114" s="94">
        <f t="shared" ref="H1114:I1114" si="280">H1116+H1129+H1124</f>
        <v>18649308</v>
      </c>
      <c r="I1114" s="94">
        <f t="shared" si="280"/>
        <v>19297922.399999999</v>
      </c>
      <c r="J1114" s="194"/>
      <c r="K1114" s="222"/>
      <c r="L1114" s="222"/>
      <c r="M1114" s="222"/>
      <c r="N1114" s="222"/>
      <c r="O1114" s="222"/>
      <c r="P1114" s="222"/>
      <c r="Q1114" s="222"/>
      <c r="R1114" s="222"/>
    </row>
    <row r="1115" spans="1:18" s="28" customFormat="1" ht="35.25" customHeight="1">
      <c r="A1115" s="135" t="s">
        <v>310</v>
      </c>
      <c r="B1115" s="149">
        <v>792</v>
      </c>
      <c r="C1115" s="84" t="s">
        <v>309</v>
      </c>
      <c r="D1115" s="84" t="s">
        <v>19</v>
      </c>
      <c r="E1115" s="168"/>
      <c r="F1115" s="168"/>
      <c r="G1115" s="87">
        <f>G1116</f>
        <v>20147049.5</v>
      </c>
      <c r="H1115" s="87">
        <f>H1116</f>
        <v>18649308</v>
      </c>
      <c r="I1115" s="87">
        <f>I1116</f>
        <v>19297922.399999999</v>
      </c>
      <c r="J1115" s="177"/>
      <c r="K1115" s="204"/>
      <c r="L1115" s="204"/>
      <c r="M1115" s="204"/>
      <c r="N1115" s="204"/>
      <c r="O1115" s="204"/>
      <c r="P1115" s="204"/>
      <c r="Q1115" s="204"/>
      <c r="R1115" s="204"/>
    </row>
    <row r="1116" spans="1:18" s="18" customFormat="1" ht="38.25">
      <c r="A1116" s="82" t="s">
        <v>442</v>
      </c>
      <c r="B1116" s="149">
        <v>792</v>
      </c>
      <c r="C1116" s="84" t="s">
        <v>309</v>
      </c>
      <c r="D1116" s="84" t="s">
        <v>19</v>
      </c>
      <c r="E1116" s="84" t="s">
        <v>229</v>
      </c>
      <c r="F1116" s="84"/>
      <c r="G1116" s="87">
        <f>G1117</f>
        <v>20147049.5</v>
      </c>
      <c r="H1116" s="87">
        <f t="shared" ref="H1116:I1116" si="281">H1117</f>
        <v>18649308</v>
      </c>
      <c r="I1116" s="87">
        <f t="shared" si="281"/>
        <v>19297922.399999999</v>
      </c>
      <c r="J1116" s="177"/>
      <c r="K1116" s="200"/>
      <c r="L1116" s="200"/>
      <c r="M1116" s="200"/>
      <c r="N1116" s="200"/>
      <c r="O1116" s="200"/>
      <c r="P1116" s="200"/>
      <c r="Q1116" s="200"/>
      <c r="R1116" s="200"/>
    </row>
    <row r="1117" spans="1:18" s="18" customFormat="1" ht="38.25">
      <c r="A1117" s="82" t="s">
        <v>155</v>
      </c>
      <c r="B1117" s="149">
        <v>792</v>
      </c>
      <c r="C1117" s="84" t="s">
        <v>309</v>
      </c>
      <c r="D1117" s="84" t="s">
        <v>19</v>
      </c>
      <c r="E1117" s="84" t="s">
        <v>230</v>
      </c>
      <c r="F1117" s="84"/>
      <c r="G1117" s="87">
        <f>G1118+G1121</f>
        <v>20147049.5</v>
      </c>
      <c r="H1117" s="87">
        <f>H1118+H1121</f>
        <v>18649308</v>
      </c>
      <c r="I1117" s="87">
        <f>I1118+I1121</f>
        <v>19297922.399999999</v>
      </c>
      <c r="J1117" s="177"/>
      <c r="K1117" s="200"/>
      <c r="L1117" s="200"/>
      <c r="M1117" s="200"/>
      <c r="N1117" s="200"/>
      <c r="O1117" s="200"/>
      <c r="P1117" s="200"/>
      <c r="Q1117" s="200"/>
      <c r="R1117" s="200"/>
    </row>
    <row r="1118" spans="1:18" s="18" customFormat="1" ht="25.5">
      <c r="A1118" s="82" t="s">
        <v>311</v>
      </c>
      <c r="B1118" s="149">
        <v>792</v>
      </c>
      <c r="C1118" s="84" t="s">
        <v>309</v>
      </c>
      <c r="D1118" s="84" t="s">
        <v>19</v>
      </c>
      <c r="E1118" s="84" t="s">
        <v>283</v>
      </c>
      <c r="F1118" s="84"/>
      <c r="G1118" s="87">
        <f t="shared" ref="G1118:I1119" si="282">G1119</f>
        <v>13832299</v>
      </c>
      <c r="H1118" s="87">
        <f t="shared" si="282"/>
        <v>13587894</v>
      </c>
      <c r="I1118" s="87">
        <f t="shared" si="282"/>
        <v>14246122</v>
      </c>
      <c r="J1118" s="177"/>
      <c r="K1118" s="200"/>
      <c r="L1118" s="200"/>
      <c r="M1118" s="200"/>
      <c r="N1118" s="200"/>
      <c r="O1118" s="200"/>
      <c r="P1118" s="200"/>
      <c r="Q1118" s="200"/>
      <c r="R1118" s="200"/>
    </row>
    <row r="1119" spans="1:18" s="18" customFormat="1">
      <c r="A1119" s="82" t="s">
        <v>156</v>
      </c>
      <c r="B1119" s="149">
        <v>792</v>
      </c>
      <c r="C1119" s="84" t="s">
        <v>309</v>
      </c>
      <c r="D1119" s="84" t="s">
        <v>19</v>
      </c>
      <c r="E1119" s="84" t="s">
        <v>283</v>
      </c>
      <c r="F1119" s="84" t="s">
        <v>157</v>
      </c>
      <c r="G1119" s="87">
        <f t="shared" si="282"/>
        <v>13832299</v>
      </c>
      <c r="H1119" s="87">
        <f t="shared" si="282"/>
        <v>13587894</v>
      </c>
      <c r="I1119" s="87">
        <f t="shared" si="282"/>
        <v>14246122</v>
      </c>
      <c r="J1119" s="177"/>
      <c r="K1119" s="200"/>
      <c r="L1119" s="200"/>
      <c r="M1119" s="200"/>
      <c r="N1119" s="200"/>
      <c r="O1119" s="200"/>
      <c r="P1119" s="200"/>
      <c r="Q1119" s="200"/>
      <c r="R1119" s="200"/>
    </row>
    <row r="1120" spans="1:18" s="18" customFormat="1">
      <c r="A1120" s="82" t="s">
        <v>312</v>
      </c>
      <c r="B1120" s="149">
        <v>792</v>
      </c>
      <c r="C1120" s="84" t="s">
        <v>309</v>
      </c>
      <c r="D1120" s="84" t="s">
        <v>19</v>
      </c>
      <c r="E1120" s="84" t="s">
        <v>283</v>
      </c>
      <c r="F1120" s="84" t="s">
        <v>313</v>
      </c>
      <c r="G1120" s="87">
        <v>13832299</v>
      </c>
      <c r="H1120" s="87">
        <v>13587894</v>
      </c>
      <c r="I1120" s="87">
        <v>14246122</v>
      </c>
      <c r="J1120" s="177"/>
      <c r="K1120" s="200"/>
      <c r="L1120" s="200"/>
      <c r="M1120" s="200"/>
      <c r="N1120" s="200"/>
      <c r="O1120" s="200"/>
      <c r="P1120" s="200"/>
      <c r="Q1120" s="200"/>
      <c r="R1120" s="200"/>
    </row>
    <row r="1121" spans="1:18" s="28" customFormat="1" ht="23.25" customHeight="1">
      <c r="A1121" s="82" t="s">
        <v>314</v>
      </c>
      <c r="B1121" s="149">
        <v>792</v>
      </c>
      <c r="C1121" s="84" t="s">
        <v>309</v>
      </c>
      <c r="D1121" s="84" t="s">
        <v>19</v>
      </c>
      <c r="E1121" s="84" t="s">
        <v>237</v>
      </c>
      <c r="F1121" s="84"/>
      <c r="G1121" s="87">
        <f t="shared" ref="G1121:I1122" si="283">G1122</f>
        <v>6314750.5</v>
      </c>
      <c r="H1121" s="87">
        <f t="shared" si="283"/>
        <v>5061414</v>
      </c>
      <c r="I1121" s="87">
        <f t="shared" si="283"/>
        <v>5051800.4000000004</v>
      </c>
      <c r="J1121" s="177"/>
      <c r="K1121" s="204"/>
      <c r="L1121" s="204"/>
      <c r="M1121" s="204"/>
      <c r="N1121" s="204"/>
      <c r="O1121" s="204"/>
      <c r="P1121" s="204"/>
      <c r="Q1121" s="204"/>
      <c r="R1121" s="204"/>
    </row>
    <row r="1122" spans="1:18" s="28" customFormat="1">
      <c r="A1122" s="82" t="s">
        <v>156</v>
      </c>
      <c r="B1122" s="149">
        <v>792</v>
      </c>
      <c r="C1122" s="84" t="s">
        <v>309</v>
      </c>
      <c r="D1122" s="84" t="s">
        <v>19</v>
      </c>
      <c r="E1122" s="84" t="s">
        <v>237</v>
      </c>
      <c r="F1122" s="84" t="s">
        <v>157</v>
      </c>
      <c r="G1122" s="87">
        <f t="shared" si="283"/>
        <v>6314750.5</v>
      </c>
      <c r="H1122" s="87">
        <f t="shared" si="283"/>
        <v>5061414</v>
      </c>
      <c r="I1122" s="87">
        <f t="shared" si="283"/>
        <v>5051800.4000000004</v>
      </c>
      <c r="J1122" s="177"/>
      <c r="K1122" s="204"/>
      <c r="L1122" s="204"/>
      <c r="M1122" s="204"/>
      <c r="N1122" s="204"/>
      <c r="O1122" s="204"/>
      <c r="P1122" s="204"/>
      <c r="Q1122" s="204"/>
      <c r="R1122" s="204"/>
    </row>
    <row r="1123" spans="1:18" s="3" customFormat="1">
      <c r="A1123" s="82" t="s">
        <v>312</v>
      </c>
      <c r="B1123" s="149">
        <v>792</v>
      </c>
      <c r="C1123" s="84" t="s">
        <v>309</v>
      </c>
      <c r="D1123" s="84" t="s">
        <v>19</v>
      </c>
      <c r="E1123" s="84" t="s">
        <v>237</v>
      </c>
      <c r="F1123" s="84" t="s">
        <v>313</v>
      </c>
      <c r="G1123" s="87">
        <v>6314750.5</v>
      </c>
      <c r="H1123" s="87">
        <v>5061414</v>
      </c>
      <c r="I1123" s="87">
        <v>5051800.4000000004</v>
      </c>
      <c r="J1123" s="177"/>
      <c r="K1123" s="199"/>
      <c r="L1123" s="199"/>
      <c r="M1123" s="199"/>
      <c r="N1123" s="199"/>
      <c r="O1123" s="199"/>
      <c r="P1123" s="199"/>
      <c r="Q1123" s="199"/>
      <c r="R1123" s="199"/>
    </row>
    <row r="1124" spans="1:18" s="28" customFormat="1" ht="16.5" customHeight="1">
      <c r="A1124" s="135" t="s">
        <v>1113</v>
      </c>
      <c r="B1124" s="149">
        <v>792</v>
      </c>
      <c r="C1124" s="84" t="s">
        <v>309</v>
      </c>
      <c r="D1124" s="84" t="s">
        <v>28</v>
      </c>
      <c r="E1124" s="168"/>
      <c r="F1124" s="168"/>
      <c r="G1124" s="87">
        <f>G1125</f>
        <v>449460</v>
      </c>
      <c r="H1124" s="87">
        <f>H1125</f>
        <v>0</v>
      </c>
      <c r="I1124" s="87">
        <f>I1125</f>
        <v>0</v>
      </c>
      <c r="J1124" s="177"/>
      <c r="K1124" s="204"/>
      <c r="L1124" s="204"/>
      <c r="M1124" s="204"/>
      <c r="N1124" s="204"/>
      <c r="O1124" s="204"/>
      <c r="P1124" s="204"/>
      <c r="Q1124" s="204"/>
      <c r="R1124" s="204"/>
    </row>
    <row r="1125" spans="1:18" s="18" customFormat="1" ht="25.5">
      <c r="A1125" s="82" t="s">
        <v>98</v>
      </c>
      <c r="B1125" s="149">
        <v>792</v>
      </c>
      <c r="C1125" s="84" t="s">
        <v>309</v>
      </c>
      <c r="D1125" s="84" t="s">
        <v>28</v>
      </c>
      <c r="E1125" s="84" t="s">
        <v>210</v>
      </c>
      <c r="F1125" s="84"/>
      <c r="G1125" s="87">
        <f>G1126</f>
        <v>449460</v>
      </c>
      <c r="H1125" s="87">
        <f t="shared" ref="H1125:I1125" si="284">H1126</f>
        <v>0</v>
      </c>
      <c r="I1125" s="87">
        <f t="shared" si="284"/>
        <v>0</v>
      </c>
      <c r="J1125" s="177"/>
      <c r="K1125" s="200"/>
      <c r="L1125" s="200"/>
      <c r="M1125" s="200"/>
      <c r="N1125" s="200"/>
      <c r="O1125" s="200"/>
      <c r="P1125" s="200"/>
      <c r="Q1125" s="200"/>
      <c r="R1125" s="200"/>
    </row>
    <row r="1126" spans="1:18" s="18" customFormat="1" ht="25.5">
      <c r="A1126" s="82" t="s">
        <v>1115</v>
      </c>
      <c r="B1126" s="149">
        <v>792</v>
      </c>
      <c r="C1126" s="84" t="s">
        <v>309</v>
      </c>
      <c r="D1126" s="84" t="s">
        <v>28</v>
      </c>
      <c r="E1126" s="84" t="s">
        <v>1114</v>
      </c>
      <c r="F1126" s="84"/>
      <c r="G1126" s="87">
        <f t="shared" ref="G1126:I1127" si="285">G1127</f>
        <v>449460</v>
      </c>
      <c r="H1126" s="87">
        <f t="shared" si="285"/>
        <v>0</v>
      </c>
      <c r="I1126" s="87">
        <f t="shared" si="285"/>
        <v>0</v>
      </c>
      <c r="J1126" s="177"/>
      <c r="K1126" s="200"/>
      <c r="L1126" s="200"/>
      <c r="M1126" s="200"/>
      <c r="N1126" s="200"/>
      <c r="O1126" s="200"/>
      <c r="P1126" s="200"/>
      <c r="Q1126" s="200"/>
      <c r="R1126" s="200"/>
    </row>
    <row r="1127" spans="1:18" s="18" customFormat="1">
      <c r="A1127" s="82" t="s">
        <v>156</v>
      </c>
      <c r="B1127" s="149">
        <v>792</v>
      </c>
      <c r="C1127" s="84" t="s">
        <v>309</v>
      </c>
      <c r="D1127" s="84" t="s">
        <v>28</v>
      </c>
      <c r="E1127" s="84" t="s">
        <v>1114</v>
      </c>
      <c r="F1127" s="84" t="s">
        <v>157</v>
      </c>
      <c r="G1127" s="87">
        <f t="shared" si="285"/>
        <v>449460</v>
      </c>
      <c r="H1127" s="87">
        <f t="shared" si="285"/>
        <v>0</v>
      </c>
      <c r="I1127" s="87">
        <f t="shared" si="285"/>
        <v>0</v>
      </c>
      <c r="J1127" s="177"/>
      <c r="K1127" s="200"/>
      <c r="L1127" s="200"/>
      <c r="M1127" s="200"/>
      <c r="N1127" s="200"/>
      <c r="O1127" s="200"/>
      <c r="P1127" s="200"/>
      <c r="Q1127" s="200"/>
      <c r="R1127" s="200"/>
    </row>
    <row r="1128" spans="1:18" s="18" customFormat="1">
      <c r="A1128" s="82" t="s">
        <v>312</v>
      </c>
      <c r="B1128" s="149">
        <v>792</v>
      </c>
      <c r="C1128" s="84" t="s">
        <v>309</v>
      </c>
      <c r="D1128" s="84" t="s">
        <v>28</v>
      </c>
      <c r="E1128" s="84" t="s">
        <v>1114</v>
      </c>
      <c r="F1128" s="84" t="s">
        <v>313</v>
      </c>
      <c r="G1128" s="87">
        <v>449460</v>
      </c>
      <c r="H1128" s="87">
        <v>0</v>
      </c>
      <c r="I1128" s="87">
        <v>0</v>
      </c>
      <c r="J1128" s="177"/>
      <c r="K1128" s="200"/>
      <c r="L1128" s="200"/>
      <c r="M1128" s="200"/>
      <c r="N1128" s="200"/>
      <c r="O1128" s="200"/>
      <c r="P1128" s="200"/>
      <c r="Q1128" s="200"/>
      <c r="R1128" s="200"/>
    </row>
    <row r="1129" spans="1:18" ht="18.75" customHeight="1">
      <c r="A1129" s="135" t="s">
        <v>315</v>
      </c>
      <c r="B1129" s="149">
        <v>792</v>
      </c>
      <c r="C1129" s="84" t="s">
        <v>309</v>
      </c>
      <c r="D1129" s="84" t="s">
        <v>70</v>
      </c>
      <c r="E1129" s="84"/>
      <c r="F1129" s="84"/>
      <c r="G1129" s="87">
        <f>G1130</f>
        <v>23220661</v>
      </c>
      <c r="H1129" s="87">
        <f>H1130</f>
        <v>0</v>
      </c>
      <c r="I1129" s="87">
        <f>I1130</f>
        <v>0</v>
      </c>
      <c r="J1129" s="177"/>
    </row>
    <row r="1130" spans="1:18" s="28" customFormat="1" ht="27.75" customHeight="1">
      <c r="A1130" s="82" t="s">
        <v>442</v>
      </c>
      <c r="B1130" s="149">
        <v>792</v>
      </c>
      <c r="C1130" s="84" t="s">
        <v>309</v>
      </c>
      <c r="D1130" s="84" t="s">
        <v>70</v>
      </c>
      <c r="E1130" s="84" t="s">
        <v>229</v>
      </c>
      <c r="F1130" s="84"/>
      <c r="G1130" s="87">
        <f>G1131</f>
        <v>23220661</v>
      </c>
      <c r="H1130" s="87">
        <f t="shared" ref="H1130:I1131" si="286">H1131</f>
        <v>0</v>
      </c>
      <c r="I1130" s="87">
        <f t="shared" si="286"/>
        <v>0</v>
      </c>
      <c r="J1130" s="177"/>
      <c r="K1130" s="204"/>
      <c r="L1130" s="204"/>
      <c r="M1130" s="204"/>
      <c r="N1130" s="204"/>
      <c r="O1130" s="204"/>
      <c r="P1130" s="204"/>
      <c r="Q1130" s="204"/>
      <c r="R1130" s="204"/>
    </row>
    <row r="1131" spans="1:18" s="3" customFormat="1" ht="38.25">
      <c r="A1131" s="82" t="s">
        <v>155</v>
      </c>
      <c r="B1131" s="149">
        <v>792</v>
      </c>
      <c r="C1131" s="84" t="s">
        <v>309</v>
      </c>
      <c r="D1131" s="84" t="s">
        <v>70</v>
      </c>
      <c r="E1131" s="84" t="s">
        <v>230</v>
      </c>
      <c r="F1131" s="84"/>
      <c r="G1131" s="87">
        <f>G1132</f>
        <v>23220661</v>
      </c>
      <c r="H1131" s="87">
        <f t="shared" si="286"/>
        <v>0</v>
      </c>
      <c r="I1131" s="87">
        <f t="shared" si="286"/>
        <v>0</v>
      </c>
      <c r="J1131" s="177"/>
      <c r="K1131" s="199"/>
      <c r="L1131" s="199"/>
      <c r="M1131" s="199"/>
      <c r="N1131" s="199"/>
      <c r="O1131" s="199"/>
      <c r="P1131" s="199"/>
      <c r="Q1131" s="199"/>
      <c r="R1131" s="199"/>
    </row>
    <row r="1132" spans="1:18" s="3" customFormat="1" ht="25.5">
      <c r="A1132" s="82" t="s">
        <v>475</v>
      </c>
      <c r="B1132" s="149">
        <v>792</v>
      </c>
      <c r="C1132" s="84" t="s">
        <v>309</v>
      </c>
      <c r="D1132" s="84" t="s">
        <v>70</v>
      </c>
      <c r="E1132" s="84" t="s">
        <v>238</v>
      </c>
      <c r="F1132" s="84"/>
      <c r="G1132" s="87">
        <f t="shared" ref="G1132:I1133" si="287">G1133</f>
        <v>23220661</v>
      </c>
      <c r="H1132" s="87">
        <f t="shared" si="287"/>
        <v>0</v>
      </c>
      <c r="I1132" s="87">
        <f t="shared" si="287"/>
        <v>0</v>
      </c>
      <c r="J1132" s="177"/>
      <c r="K1132" s="199"/>
      <c r="L1132" s="199"/>
      <c r="M1132" s="199"/>
      <c r="N1132" s="199"/>
      <c r="O1132" s="199"/>
      <c r="P1132" s="199"/>
      <c r="Q1132" s="199"/>
      <c r="R1132" s="199"/>
    </row>
    <row r="1133" spans="1:18" s="3" customFormat="1">
      <c r="A1133" s="82" t="s">
        <v>156</v>
      </c>
      <c r="B1133" s="149">
        <v>792</v>
      </c>
      <c r="C1133" s="84" t="s">
        <v>309</v>
      </c>
      <c r="D1133" s="84" t="s">
        <v>70</v>
      </c>
      <c r="E1133" s="84" t="s">
        <v>238</v>
      </c>
      <c r="F1133" s="84" t="s">
        <v>157</v>
      </c>
      <c r="G1133" s="87">
        <f t="shared" si="287"/>
        <v>23220661</v>
      </c>
      <c r="H1133" s="87">
        <f t="shared" si="287"/>
        <v>0</v>
      </c>
      <c r="I1133" s="87">
        <f t="shared" si="287"/>
        <v>0</v>
      </c>
      <c r="J1133" s="177"/>
      <c r="K1133" s="199"/>
      <c r="L1133" s="199"/>
      <c r="M1133" s="199"/>
      <c r="N1133" s="199"/>
      <c r="O1133" s="199"/>
      <c r="P1133" s="199"/>
      <c r="Q1133" s="199"/>
      <c r="R1133" s="199"/>
    </row>
    <row r="1134" spans="1:18" s="3" customFormat="1">
      <c r="A1134" s="82" t="s">
        <v>178</v>
      </c>
      <c r="B1134" s="149">
        <v>792</v>
      </c>
      <c r="C1134" s="84" t="s">
        <v>309</v>
      </c>
      <c r="D1134" s="84" t="s">
        <v>70</v>
      </c>
      <c r="E1134" s="84" t="s">
        <v>238</v>
      </c>
      <c r="F1134" s="84" t="s">
        <v>179</v>
      </c>
      <c r="G1134" s="87">
        <v>23220661</v>
      </c>
      <c r="H1134" s="87">
        <v>0</v>
      </c>
      <c r="I1134" s="87">
        <v>0</v>
      </c>
      <c r="J1134" s="177"/>
      <c r="K1134" s="177"/>
      <c r="L1134" s="177"/>
      <c r="M1134" s="199"/>
      <c r="N1134" s="199"/>
      <c r="O1134" s="199"/>
      <c r="P1134" s="199"/>
      <c r="Q1134" s="199"/>
      <c r="R1134" s="199"/>
    </row>
    <row r="1135" spans="1:18" s="3" customFormat="1" ht="47.25" hidden="1" customHeight="1">
      <c r="A1135" s="82" t="s">
        <v>176</v>
      </c>
      <c r="B1135" s="149">
        <v>792</v>
      </c>
      <c r="C1135" s="84" t="s">
        <v>309</v>
      </c>
      <c r="D1135" s="84" t="s">
        <v>70</v>
      </c>
      <c r="E1135" s="84" t="s">
        <v>238</v>
      </c>
      <c r="F1135" s="84" t="s">
        <v>177</v>
      </c>
      <c r="G1135" s="87"/>
      <c r="H1135" s="87"/>
      <c r="I1135" s="87"/>
      <c r="J1135" s="177"/>
      <c r="K1135" s="199"/>
      <c r="L1135" s="199"/>
      <c r="M1135" s="199"/>
      <c r="N1135" s="199"/>
      <c r="O1135" s="199"/>
      <c r="P1135" s="199"/>
      <c r="Q1135" s="199"/>
      <c r="R1135" s="199"/>
    </row>
    <row r="1136" spans="1:18" s="18" customFormat="1" hidden="1">
      <c r="A1136" s="82"/>
      <c r="B1136" s="149"/>
      <c r="C1136" s="84"/>
      <c r="D1136" s="84"/>
      <c r="E1136" s="84"/>
      <c r="F1136" s="84"/>
      <c r="G1136" s="87"/>
      <c r="H1136" s="87"/>
      <c r="I1136" s="87"/>
      <c r="J1136" s="177"/>
      <c r="K1136" s="200"/>
      <c r="L1136" s="200"/>
      <c r="M1136" s="200"/>
      <c r="N1136" s="200"/>
      <c r="O1136" s="200"/>
      <c r="P1136" s="200"/>
      <c r="Q1136" s="200"/>
      <c r="R1136" s="200"/>
    </row>
    <row r="1137" spans="1:18" s="124" customFormat="1">
      <c r="A1137" s="282" t="s">
        <v>74</v>
      </c>
      <c r="B1137" s="273"/>
      <c r="C1137" s="162"/>
      <c r="D1137" s="162"/>
      <c r="E1137" s="162"/>
      <c r="F1137" s="162"/>
      <c r="G1137" s="96">
        <f>G1066+G1089+G1107+G1114+G1101+G1096</f>
        <v>62504126.620000005</v>
      </c>
      <c r="H1137" s="96">
        <f>H1066+H1089+H1107+H1114+H1101+H1096</f>
        <v>38355969.600000001</v>
      </c>
      <c r="I1137" s="96">
        <f>I1066+I1089+I1107+I1114+I1101+I1096</f>
        <v>39928480.609999999</v>
      </c>
      <c r="J1137" s="192"/>
      <c r="K1137" s="207"/>
      <c r="L1137" s="207"/>
      <c r="M1137" s="207"/>
      <c r="N1137" s="207"/>
      <c r="O1137" s="207"/>
      <c r="P1137" s="207"/>
      <c r="Q1137" s="207"/>
      <c r="R1137" s="207"/>
    </row>
    <row r="1138" spans="1:18" s="90" customFormat="1" ht="39" customHeight="1">
      <c r="A1138" s="321" t="s">
        <v>989</v>
      </c>
      <c r="B1138" s="322">
        <v>793</v>
      </c>
      <c r="C1138" s="322"/>
      <c r="D1138" s="322"/>
      <c r="E1138" s="322"/>
      <c r="F1138" s="322"/>
      <c r="G1138" s="324"/>
      <c r="H1138" s="324"/>
      <c r="I1138" s="324"/>
      <c r="J1138" s="197"/>
      <c r="K1138" s="186"/>
      <c r="L1138" s="186"/>
      <c r="M1138" s="186"/>
      <c r="N1138" s="186"/>
      <c r="O1138" s="186"/>
      <c r="P1138" s="186"/>
      <c r="Q1138" s="186"/>
      <c r="R1138" s="186"/>
    </row>
    <row r="1139" spans="1:18">
      <c r="A1139" s="275" t="s">
        <v>18</v>
      </c>
      <c r="B1139" s="273">
        <v>793</v>
      </c>
      <c r="C1139" s="270" t="s">
        <v>19</v>
      </c>
      <c r="D1139" s="270"/>
      <c r="E1139" s="270"/>
      <c r="F1139" s="270"/>
      <c r="G1139" s="267">
        <f>G1140+G1149+G1199+G1203+G1188+G1193</f>
        <v>79020935.570000008</v>
      </c>
      <c r="H1139" s="267">
        <f>H1140+H1149+H1199+H1203+H1188+H1193</f>
        <v>71315812.480000004</v>
      </c>
      <c r="I1139" s="267">
        <f>I1140+I1149+I1199+I1203+I1188+I1193</f>
        <v>73063543.670000002</v>
      </c>
      <c r="J1139" s="191"/>
      <c r="P1139" s="209"/>
      <c r="Q1139" s="209"/>
    </row>
    <row r="1140" spans="1:18" ht="25.5">
      <c r="A1140" s="82" t="s">
        <v>316</v>
      </c>
      <c r="B1140" s="149">
        <v>793</v>
      </c>
      <c r="C1140" s="84" t="s">
        <v>19</v>
      </c>
      <c r="D1140" s="84" t="s">
        <v>28</v>
      </c>
      <c r="E1140" s="84"/>
      <c r="F1140" s="84"/>
      <c r="G1140" s="87">
        <f t="shared" ref="G1140:I1147" si="288">G1141</f>
        <v>2484412.7399999998</v>
      </c>
      <c r="H1140" s="87">
        <f t="shared" si="288"/>
        <v>1889447.4</v>
      </c>
      <c r="I1140" s="87">
        <f t="shared" si="288"/>
        <v>1908341.87</v>
      </c>
      <c r="J1140" s="177"/>
    </row>
    <row r="1141" spans="1:18" s="18" customFormat="1" ht="25.5">
      <c r="A1141" s="82" t="s">
        <v>317</v>
      </c>
      <c r="B1141" s="149">
        <v>793</v>
      </c>
      <c r="C1141" s="84" t="s">
        <v>19</v>
      </c>
      <c r="D1141" s="84" t="s">
        <v>28</v>
      </c>
      <c r="E1141" s="84" t="s">
        <v>239</v>
      </c>
      <c r="F1141" s="84"/>
      <c r="G1141" s="87">
        <f t="shared" si="288"/>
        <v>2484412.7399999998</v>
      </c>
      <c r="H1141" s="87">
        <f t="shared" si="288"/>
        <v>1889447.4</v>
      </c>
      <c r="I1141" s="87">
        <f t="shared" si="288"/>
        <v>1908341.87</v>
      </c>
      <c r="J1141" s="177"/>
      <c r="K1141" s="200"/>
      <c r="L1141" s="200"/>
      <c r="M1141" s="200"/>
      <c r="N1141" s="200"/>
      <c r="O1141" s="200"/>
      <c r="P1141" s="200"/>
      <c r="Q1141" s="200"/>
      <c r="R1141" s="200"/>
    </row>
    <row r="1142" spans="1:18">
      <c r="A1142" s="82" t="s">
        <v>318</v>
      </c>
      <c r="B1142" s="149">
        <v>793</v>
      </c>
      <c r="C1142" s="84" t="s">
        <v>19</v>
      </c>
      <c r="D1142" s="84" t="s">
        <v>28</v>
      </c>
      <c r="E1142" s="84" t="s">
        <v>240</v>
      </c>
      <c r="F1142" s="84"/>
      <c r="G1142" s="87">
        <f>G1146+G1143</f>
        <v>2484412.7399999998</v>
      </c>
      <c r="H1142" s="87">
        <f>H1146</f>
        <v>1889447.4</v>
      </c>
      <c r="I1142" s="87">
        <f>I1146</f>
        <v>1908341.87</v>
      </c>
      <c r="J1142" s="177"/>
    </row>
    <row r="1143" spans="1:18" ht="79.5" customHeight="1">
      <c r="A1143" s="82" t="s">
        <v>1081</v>
      </c>
      <c r="B1143" s="149">
        <v>793</v>
      </c>
      <c r="C1143" s="84" t="s">
        <v>19</v>
      </c>
      <c r="D1143" s="84" t="s">
        <v>28</v>
      </c>
      <c r="E1143" s="84" t="s">
        <v>1080</v>
      </c>
      <c r="F1143" s="84"/>
      <c r="G1143" s="87">
        <f t="shared" si="288"/>
        <v>297422.42</v>
      </c>
      <c r="H1143" s="87">
        <f t="shared" si="288"/>
        <v>0</v>
      </c>
      <c r="I1143" s="87">
        <f t="shared" si="288"/>
        <v>0</v>
      </c>
      <c r="J1143" s="177"/>
    </row>
    <row r="1144" spans="1:18" ht="51">
      <c r="A1144" s="82" t="s">
        <v>319</v>
      </c>
      <c r="B1144" s="149">
        <v>793</v>
      </c>
      <c r="C1144" s="84" t="s">
        <v>19</v>
      </c>
      <c r="D1144" s="84" t="s">
        <v>28</v>
      </c>
      <c r="E1144" s="84" t="s">
        <v>1080</v>
      </c>
      <c r="F1144" s="84" t="s">
        <v>58</v>
      </c>
      <c r="G1144" s="87">
        <f t="shared" si="288"/>
        <v>297422.42</v>
      </c>
      <c r="H1144" s="87">
        <f t="shared" si="288"/>
        <v>0</v>
      </c>
      <c r="I1144" s="87">
        <f t="shared" si="288"/>
        <v>0</v>
      </c>
      <c r="J1144" s="177"/>
    </row>
    <row r="1145" spans="1:18" ht="25.5">
      <c r="A1145" s="82" t="s">
        <v>56</v>
      </c>
      <c r="B1145" s="149">
        <v>793</v>
      </c>
      <c r="C1145" s="84" t="s">
        <v>19</v>
      </c>
      <c r="D1145" s="84" t="s">
        <v>28</v>
      </c>
      <c r="E1145" s="84" t="s">
        <v>1080</v>
      </c>
      <c r="F1145" s="84" t="s">
        <v>59</v>
      </c>
      <c r="G1145" s="87">
        <v>297422.42</v>
      </c>
      <c r="H1145" s="87"/>
      <c r="I1145" s="87"/>
      <c r="J1145" s="177"/>
    </row>
    <row r="1146" spans="1:18" ht="25.5">
      <c r="A1146" s="82" t="s">
        <v>76</v>
      </c>
      <c r="B1146" s="149">
        <v>793</v>
      </c>
      <c r="C1146" s="84" t="s">
        <v>19</v>
      </c>
      <c r="D1146" s="84" t="s">
        <v>28</v>
      </c>
      <c r="E1146" s="84" t="s">
        <v>241</v>
      </c>
      <c r="F1146" s="84"/>
      <c r="G1146" s="87">
        <f t="shared" si="288"/>
        <v>2186990.3199999998</v>
      </c>
      <c r="H1146" s="87">
        <f t="shared" si="288"/>
        <v>1889447.4</v>
      </c>
      <c r="I1146" s="87">
        <f t="shared" si="288"/>
        <v>1908341.87</v>
      </c>
      <c r="J1146" s="177"/>
    </row>
    <row r="1147" spans="1:18" ht="51">
      <c r="A1147" s="82" t="s">
        <v>319</v>
      </c>
      <c r="B1147" s="149">
        <v>793</v>
      </c>
      <c r="C1147" s="84" t="s">
        <v>19</v>
      </c>
      <c r="D1147" s="84" t="s">
        <v>28</v>
      </c>
      <c r="E1147" s="84" t="s">
        <v>241</v>
      </c>
      <c r="F1147" s="84" t="s">
        <v>58</v>
      </c>
      <c r="G1147" s="87">
        <f t="shared" si="288"/>
        <v>2186990.3199999998</v>
      </c>
      <c r="H1147" s="87">
        <f t="shared" si="288"/>
        <v>1889447.4</v>
      </c>
      <c r="I1147" s="87">
        <f t="shared" si="288"/>
        <v>1908341.87</v>
      </c>
      <c r="J1147" s="177"/>
    </row>
    <row r="1148" spans="1:18" ht="25.5">
      <c r="A1148" s="82" t="s">
        <v>56</v>
      </c>
      <c r="B1148" s="149">
        <v>793</v>
      </c>
      <c r="C1148" s="84" t="s">
        <v>19</v>
      </c>
      <c r="D1148" s="84" t="s">
        <v>28</v>
      </c>
      <c r="E1148" s="84" t="s">
        <v>241</v>
      </c>
      <c r="F1148" s="84" t="s">
        <v>59</v>
      </c>
      <c r="G1148" s="87">
        <f>1870740+316250.32</f>
        <v>2186990.3199999998</v>
      </c>
      <c r="H1148" s="87">
        <v>1889447.4</v>
      </c>
      <c r="I1148" s="87">
        <v>1908341.87</v>
      </c>
      <c r="J1148" s="177"/>
    </row>
    <row r="1149" spans="1:18" ht="51">
      <c r="A1149" s="82" t="s">
        <v>75</v>
      </c>
      <c r="B1149" s="149">
        <v>793</v>
      </c>
      <c r="C1149" s="84" t="s">
        <v>19</v>
      </c>
      <c r="D1149" s="84" t="s">
        <v>54</v>
      </c>
      <c r="E1149" s="84"/>
      <c r="F1149" s="84"/>
      <c r="G1149" s="87">
        <f>G1154+G1150</f>
        <v>48108926.07</v>
      </c>
      <c r="H1149" s="87">
        <f>H1154+H1150</f>
        <v>48823051.160000004</v>
      </c>
      <c r="I1149" s="87">
        <f>I1154+I1150</f>
        <v>49454131.560000002</v>
      </c>
      <c r="J1149" s="177"/>
    </row>
    <row r="1150" spans="1:18" ht="27" customHeight="1">
      <c r="A1150" s="139" t="s">
        <v>714</v>
      </c>
      <c r="B1150" s="149">
        <v>793</v>
      </c>
      <c r="C1150" s="84" t="s">
        <v>19</v>
      </c>
      <c r="D1150" s="84" t="s">
        <v>54</v>
      </c>
      <c r="E1150" s="149" t="s">
        <v>242</v>
      </c>
      <c r="F1150" s="149"/>
      <c r="G1150" s="87">
        <f>G1153</f>
        <v>35000</v>
      </c>
      <c r="H1150" s="87">
        <f>H1153</f>
        <v>35000</v>
      </c>
      <c r="I1150" s="87">
        <f>I1153</f>
        <v>35000</v>
      </c>
      <c r="J1150" s="177"/>
      <c r="Q1150" s="209"/>
    </row>
    <row r="1151" spans="1:18" ht="25.5">
      <c r="A1151" s="82" t="s">
        <v>322</v>
      </c>
      <c r="B1151" s="149">
        <v>793</v>
      </c>
      <c r="C1151" s="84" t="s">
        <v>19</v>
      </c>
      <c r="D1151" s="84" t="s">
        <v>54</v>
      </c>
      <c r="E1151" s="84" t="s">
        <v>243</v>
      </c>
      <c r="F1151" s="84"/>
      <c r="G1151" s="87">
        <f t="shared" ref="G1151:I1152" si="289">G1152</f>
        <v>35000</v>
      </c>
      <c r="H1151" s="87">
        <f t="shared" si="289"/>
        <v>35000</v>
      </c>
      <c r="I1151" s="87">
        <f t="shared" si="289"/>
        <v>35000</v>
      </c>
      <c r="J1151" s="177"/>
    </row>
    <row r="1152" spans="1:18" ht="19.5" customHeight="1">
      <c r="A1152" s="82" t="s">
        <v>323</v>
      </c>
      <c r="B1152" s="149">
        <v>793</v>
      </c>
      <c r="C1152" s="84" t="s">
        <v>19</v>
      </c>
      <c r="D1152" s="84" t="s">
        <v>54</v>
      </c>
      <c r="E1152" s="84" t="s">
        <v>243</v>
      </c>
      <c r="F1152" s="84" t="s">
        <v>37</v>
      </c>
      <c r="G1152" s="87">
        <f t="shared" si="289"/>
        <v>35000</v>
      </c>
      <c r="H1152" s="87">
        <f t="shared" si="289"/>
        <v>35000</v>
      </c>
      <c r="I1152" s="87">
        <f t="shared" si="289"/>
        <v>35000</v>
      </c>
      <c r="J1152" s="177"/>
      <c r="Q1152" s="209"/>
    </row>
    <row r="1153" spans="1:18" ht="25.5">
      <c r="A1153" s="82" t="s">
        <v>38</v>
      </c>
      <c r="B1153" s="149">
        <v>793</v>
      </c>
      <c r="C1153" s="84" t="s">
        <v>19</v>
      </c>
      <c r="D1153" s="84" t="s">
        <v>54</v>
      </c>
      <c r="E1153" s="84" t="s">
        <v>243</v>
      </c>
      <c r="F1153" s="84" t="s">
        <v>39</v>
      </c>
      <c r="G1153" s="87">
        <v>35000</v>
      </c>
      <c r="H1153" s="87">
        <v>35000</v>
      </c>
      <c r="I1153" s="87">
        <v>35000</v>
      </c>
      <c r="J1153" s="177"/>
    </row>
    <row r="1154" spans="1:18" s="46" customFormat="1" ht="25.5">
      <c r="A1154" s="82" t="s">
        <v>317</v>
      </c>
      <c r="B1154" s="149">
        <v>793</v>
      </c>
      <c r="C1154" s="84" t="s">
        <v>19</v>
      </c>
      <c r="D1154" s="84" t="s">
        <v>54</v>
      </c>
      <c r="E1154" s="84" t="s">
        <v>239</v>
      </c>
      <c r="F1154" s="84"/>
      <c r="G1154" s="87">
        <f>G1155</f>
        <v>48073926.07</v>
      </c>
      <c r="H1154" s="87">
        <f>H1155</f>
        <v>48788051.160000004</v>
      </c>
      <c r="I1154" s="87">
        <f>I1155</f>
        <v>49419131.560000002</v>
      </c>
      <c r="J1154" s="177"/>
      <c r="K1154" s="222"/>
      <c r="L1154" s="222"/>
      <c r="M1154" s="222"/>
      <c r="N1154" s="222"/>
      <c r="O1154" s="222"/>
      <c r="P1154" s="222"/>
      <c r="Q1154" s="222"/>
      <c r="R1154" s="222"/>
    </row>
    <row r="1155" spans="1:18" s="46" customFormat="1">
      <c r="A1155" s="146" t="s">
        <v>324</v>
      </c>
      <c r="B1155" s="149">
        <v>793</v>
      </c>
      <c r="C1155" s="84" t="s">
        <v>19</v>
      </c>
      <c r="D1155" s="84" t="s">
        <v>54</v>
      </c>
      <c r="E1155" s="84" t="s">
        <v>244</v>
      </c>
      <c r="F1155" s="84"/>
      <c r="G1155" s="87">
        <f>G1156+G1182+G1165+G1177+G1170+G1185</f>
        <v>48073926.07</v>
      </c>
      <c r="H1155" s="87">
        <f t="shared" ref="H1155:I1155" si="290">H1156+H1182+H1165+H1177+H1170</f>
        <v>48788051.160000004</v>
      </c>
      <c r="I1155" s="87">
        <f t="shared" si="290"/>
        <v>49419131.560000002</v>
      </c>
      <c r="J1155" s="177"/>
      <c r="K1155" s="222"/>
      <c r="L1155" s="222"/>
      <c r="M1155" s="222"/>
      <c r="N1155" s="222"/>
      <c r="O1155" s="222"/>
      <c r="P1155" s="222"/>
      <c r="Q1155" s="222"/>
      <c r="R1155" s="222"/>
    </row>
    <row r="1156" spans="1:18" s="46" customFormat="1" ht="25.5">
      <c r="A1156" s="82" t="s">
        <v>76</v>
      </c>
      <c r="B1156" s="149">
        <v>793</v>
      </c>
      <c r="C1156" s="84" t="s">
        <v>19</v>
      </c>
      <c r="D1156" s="84" t="s">
        <v>54</v>
      </c>
      <c r="E1156" s="84" t="s">
        <v>245</v>
      </c>
      <c r="F1156" s="84"/>
      <c r="G1156" s="87">
        <f>G1157+G1159+G1163+G1161</f>
        <v>41343772</v>
      </c>
      <c r="H1156" s="87">
        <f t="shared" ref="H1156:I1156" si="291">H1157+H1159+H1163+H1161</f>
        <v>41892191</v>
      </c>
      <c r="I1156" s="87">
        <f t="shared" si="291"/>
        <v>42280397</v>
      </c>
      <c r="J1156" s="177"/>
      <c r="K1156" s="222"/>
      <c r="L1156" s="222"/>
      <c r="M1156" s="222"/>
      <c r="N1156" s="222"/>
      <c r="O1156" s="222"/>
      <c r="P1156" s="222"/>
      <c r="Q1156" s="222"/>
      <c r="R1156" s="222"/>
    </row>
    <row r="1157" spans="1:18" s="46" customFormat="1" ht="51">
      <c r="A1157" s="82" t="s">
        <v>319</v>
      </c>
      <c r="B1157" s="149">
        <v>793</v>
      </c>
      <c r="C1157" s="84" t="s">
        <v>19</v>
      </c>
      <c r="D1157" s="84" t="s">
        <v>54</v>
      </c>
      <c r="E1157" s="84" t="s">
        <v>245</v>
      </c>
      <c r="F1157" s="84" t="s">
        <v>58</v>
      </c>
      <c r="G1157" s="87">
        <f>G1158</f>
        <v>38593613</v>
      </c>
      <c r="H1157" s="87">
        <f>H1158</f>
        <v>39412631</v>
      </c>
      <c r="I1157" s="87">
        <f>I1158</f>
        <v>39800837</v>
      </c>
      <c r="J1157" s="177"/>
      <c r="K1157" s="222"/>
      <c r="L1157" s="222"/>
      <c r="M1157" s="222"/>
      <c r="N1157" s="222"/>
      <c r="O1157" s="222"/>
      <c r="P1157" s="222"/>
      <c r="Q1157" s="222"/>
      <c r="R1157" s="222"/>
    </row>
    <row r="1158" spans="1:18" s="46" customFormat="1" ht="25.5">
      <c r="A1158" s="82" t="s">
        <v>56</v>
      </c>
      <c r="B1158" s="149">
        <v>793</v>
      </c>
      <c r="C1158" s="84" t="s">
        <v>19</v>
      </c>
      <c r="D1158" s="84" t="s">
        <v>54</v>
      </c>
      <c r="E1158" s="84" t="s">
        <v>245</v>
      </c>
      <c r="F1158" s="84" t="s">
        <v>59</v>
      </c>
      <c r="G1158" s="87">
        <f>30598649+9240792+273000+144000+175000-1403173-584655+150000</f>
        <v>38593613</v>
      </c>
      <c r="H1158" s="87">
        <f>30904635+9333200+273000+144000+175000-1417204</f>
        <v>39412631</v>
      </c>
      <c r="I1158" s="87">
        <f>31213681+9426532+273000+144000+175000-1431376</f>
        <v>39800837</v>
      </c>
      <c r="J1158" s="177"/>
      <c r="K1158" s="222"/>
      <c r="L1158" s="222"/>
      <c r="M1158" s="222"/>
      <c r="N1158" s="222"/>
      <c r="O1158" s="222"/>
      <c r="P1158" s="222"/>
      <c r="Q1158" s="214"/>
      <c r="R1158" s="222"/>
    </row>
    <row r="1159" spans="1:18" s="46" customFormat="1" ht="34.5" customHeight="1">
      <c r="A1159" s="82" t="s">
        <v>323</v>
      </c>
      <c r="B1159" s="149">
        <v>793</v>
      </c>
      <c r="C1159" s="84" t="s">
        <v>19</v>
      </c>
      <c r="D1159" s="84" t="s">
        <v>54</v>
      </c>
      <c r="E1159" s="84" t="s">
        <v>245</v>
      </c>
      <c r="F1159" s="84" t="s">
        <v>37</v>
      </c>
      <c r="G1159" s="87">
        <f>G1160</f>
        <v>2475565.7200000002</v>
      </c>
      <c r="H1159" s="87">
        <f>H1160</f>
        <v>2474560</v>
      </c>
      <c r="I1159" s="87">
        <f>I1160</f>
        <v>2474560</v>
      </c>
      <c r="J1159" s="177"/>
      <c r="K1159" s="222"/>
      <c r="L1159" s="222"/>
      <c r="M1159" s="222"/>
      <c r="N1159" s="222"/>
      <c r="O1159" s="222"/>
      <c r="P1159" s="222"/>
      <c r="Q1159" s="222"/>
      <c r="R1159" s="222"/>
    </row>
    <row r="1160" spans="1:18" s="46" customFormat="1" ht="25.5">
      <c r="A1160" s="82" t="s">
        <v>38</v>
      </c>
      <c r="B1160" s="149">
        <v>793</v>
      </c>
      <c r="C1160" s="84" t="s">
        <v>19</v>
      </c>
      <c r="D1160" s="84" t="s">
        <v>54</v>
      </c>
      <c r="E1160" s="84" t="s">
        <v>245</v>
      </c>
      <c r="F1160" s="84" t="s">
        <v>39</v>
      </c>
      <c r="G1160" s="87">
        <f>2528285.72+97280-150000</f>
        <v>2475565.7200000002</v>
      </c>
      <c r="H1160" s="87">
        <f>2572560-98000</f>
        <v>2474560</v>
      </c>
      <c r="I1160" s="87">
        <f>2572560-98000</f>
        <v>2474560</v>
      </c>
      <c r="J1160" s="177"/>
      <c r="K1160" s="222"/>
      <c r="L1160" s="222"/>
      <c r="M1160" s="222"/>
      <c r="N1160" s="222"/>
      <c r="O1160" s="222"/>
      <c r="P1160" s="222"/>
      <c r="Q1160" s="222"/>
      <c r="R1160" s="222"/>
    </row>
    <row r="1161" spans="1:18" s="46" customFormat="1">
      <c r="A1161" s="82" t="s">
        <v>148</v>
      </c>
      <c r="B1161" s="149">
        <v>793</v>
      </c>
      <c r="C1161" s="84" t="s">
        <v>19</v>
      </c>
      <c r="D1161" s="84" t="s">
        <v>54</v>
      </c>
      <c r="E1161" s="84" t="s">
        <v>245</v>
      </c>
      <c r="F1161" s="84" t="s">
        <v>149</v>
      </c>
      <c r="G1161" s="87">
        <f>G1162</f>
        <v>200196.82</v>
      </c>
      <c r="H1161" s="87"/>
      <c r="I1161" s="87"/>
      <c r="J1161" s="177"/>
      <c r="K1161" s="222"/>
      <c r="L1161" s="222"/>
      <c r="M1161" s="222"/>
      <c r="N1161" s="222"/>
      <c r="O1161" s="222"/>
      <c r="P1161" s="222"/>
      <c r="Q1161" s="222"/>
      <c r="R1161" s="222"/>
    </row>
    <row r="1162" spans="1:18" s="46" customFormat="1" ht="25.5">
      <c r="A1162" s="82" t="s">
        <v>150</v>
      </c>
      <c r="B1162" s="149">
        <v>793</v>
      </c>
      <c r="C1162" s="84" t="s">
        <v>19</v>
      </c>
      <c r="D1162" s="84" t="s">
        <v>54</v>
      </c>
      <c r="E1162" s="84" t="s">
        <v>245</v>
      </c>
      <c r="F1162" s="84" t="s">
        <v>151</v>
      </c>
      <c r="G1162" s="87">
        <v>200196.82</v>
      </c>
      <c r="H1162" s="87"/>
      <c r="I1162" s="87"/>
      <c r="J1162" s="177"/>
      <c r="K1162" s="222"/>
      <c r="L1162" s="222"/>
      <c r="M1162" s="222"/>
      <c r="N1162" s="222"/>
      <c r="O1162" s="222"/>
      <c r="P1162" s="222"/>
      <c r="Q1162" s="222"/>
      <c r="R1162" s="222"/>
    </row>
    <row r="1163" spans="1:18" s="46" customFormat="1" ht="17.25" customHeight="1">
      <c r="A1163" s="82" t="s">
        <v>63</v>
      </c>
      <c r="B1163" s="149">
        <v>793</v>
      </c>
      <c r="C1163" s="84" t="s">
        <v>19</v>
      </c>
      <c r="D1163" s="84" t="s">
        <v>54</v>
      </c>
      <c r="E1163" s="84" t="s">
        <v>245</v>
      </c>
      <c r="F1163" s="84" t="s">
        <v>64</v>
      </c>
      <c r="G1163" s="87">
        <f>G1164</f>
        <v>74396.460000000006</v>
      </c>
      <c r="H1163" s="87">
        <f t="shared" ref="H1163:I1163" si="292">H1164</f>
        <v>5000</v>
      </c>
      <c r="I1163" s="87">
        <f t="shared" si="292"/>
        <v>5000</v>
      </c>
      <c r="J1163" s="177"/>
      <c r="K1163" s="222"/>
      <c r="L1163" s="222"/>
      <c r="M1163" s="222"/>
      <c r="N1163" s="222"/>
      <c r="O1163" s="222"/>
      <c r="P1163" s="222"/>
      <c r="Q1163" s="222"/>
      <c r="R1163" s="222"/>
    </row>
    <row r="1164" spans="1:18" s="46" customFormat="1">
      <c r="A1164" s="82" t="s">
        <v>144</v>
      </c>
      <c r="B1164" s="149">
        <v>793</v>
      </c>
      <c r="C1164" s="84" t="s">
        <v>19</v>
      </c>
      <c r="D1164" s="84" t="s">
        <v>54</v>
      </c>
      <c r="E1164" s="84" t="s">
        <v>245</v>
      </c>
      <c r="F1164" s="84" t="s">
        <v>67</v>
      </c>
      <c r="G1164" s="87">
        <v>74396.460000000006</v>
      </c>
      <c r="H1164" s="87">
        <v>5000</v>
      </c>
      <c r="I1164" s="87">
        <v>5000</v>
      </c>
      <c r="J1164" s="177"/>
      <c r="K1164" s="222"/>
      <c r="L1164" s="222"/>
      <c r="M1164" s="222"/>
      <c r="N1164" s="222"/>
      <c r="O1164" s="222"/>
      <c r="P1164" s="222"/>
      <c r="Q1164" s="222"/>
      <c r="R1164" s="222"/>
    </row>
    <row r="1165" spans="1:18" s="3" customFormat="1" ht="80.25" customHeight="1">
      <c r="A1165" s="82" t="s">
        <v>683</v>
      </c>
      <c r="B1165" s="149">
        <v>793</v>
      </c>
      <c r="C1165" s="84" t="s">
        <v>19</v>
      </c>
      <c r="D1165" s="84" t="s">
        <v>54</v>
      </c>
      <c r="E1165" s="84" t="s">
        <v>681</v>
      </c>
      <c r="F1165" s="84"/>
      <c r="G1165" s="87">
        <f>G1166+G1168</f>
        <v>4776569.55</v>
      </c>
      <c r="H1165" s="87">
        <f>H1166+H1168</f>
        <v>4970232.34</v>
      </c>
      <c r="I1165" s="87">
        <f>I1166+I1168</f>
        <v>5145641.63</v>
      </c>
      <c r="J1165" s="177"/>
      <c r="K1165" s="199"/>
      <c r="L1165" s="199"/>
      <c r="M1165" s="199"/>
      <c r="N1165" s="199"/>
      <c r="O1165" s="199"/>
      <c r="P1165" s="199"/>
      <c r="Q1165" s="199"/>
      <c r="R1165" s="199"/>
    </row>
    <row r="1166" spans="1:18" s="3" customFormat="1" ht="51">
      <c r="A1166" s="82" t="s">
        <v>319</v>
      </c>
      <c r="B1166" s="149">
        <v>793</v>
      </c>
      <c r="C1166" s="84" t="s">
        <v>19</v>
      </c>
      <c r="D1166" s="84" t="s">
        <v>54</v>
      </c>
      <c r="E1166" s="84" t="s">
        <v>681</v>
      </c>
      <c r="F1166" s="84" t="s">
        <v>58</v>
      </c>
      <c r="G1166" s="87">
        <f>G1167</f>
        <v>4419569.55</v>
      </c>
      <c r="H1166" s="87">
        <f>H1167</f>
        <v>4515232.34</v>
      </c>
      <c r="I1166" s="87">
        <f>I1167</f>
        <v>4690641.63</v>
      </c>
      <c r="J1166" s="177"/>
      <c r="K1166" s="199"/>
      <c r="L1166" s="199"/>
      <c r="M1166" s="199"/>
      <c r="N1166" s="199"/>
      <c r="O1166" s="199"/>
      <c r="P1166" s="199"/>
      <c r="Q1166" s="199"/>
      <c r="R1166" s="199"/>
    </row>
    <row r="1167" spans="1:18" s="3" customFormat="1" ht="25.5">
      <c r="A1167" s="82" t="s">
        <v>56</v>
      </c>
      <c r="B1167" s="149">
        <v>793</v>
      </c>
      <c r="C1167" s="84" t="s">
        <v>19</v>
      </c>
      <c r="D1167" s="84" t="s">
        <v>54</v>
      </c>
      <c r="E1167" s="84" t="s">
        <v>681</v>
      </c>
      <c r="F1167" s="84" t="s">
        <v>59</v>
      </c>
      <c r="G1167" s="87">
        <f>4346569.55+73000</f>
        <v>4419569.55</v>
      </c>
      <c r="H1167" s="87">
        <v>4515232.34</v>
      </c>
      <c r="I1167" s="87">
        <v>4690641.63</v>
      </c>
      <c r="J1167" s="177"/>
      <c r="K1167" s="199"/>
      <c r="L1167" s="199"/>
      <c r="M1167" s="220"/>
      <c r="N1167" s="199"/>
      <c r="O1167" s="199"/>
      <c r="P1167" s="199"/>
      <c r="Q1167" s="199"/>
      <c r="R1167" s="199"/>
    </row>
    <row r="1168" spans="1:18" s="3" customFormat="1" ht="21.75" customHeight="1">
      <c r="A1168" s="82" t="s">
        <v>323</v>
      </c>
      <c r="B1168" s="149">
        <v>793</v>
      </c>
      <c r="C1168" s="84" t="s">
        <v>19</v>
      </c>
      <c r="D1168" s="84" t="s">
        <v>54</v>
      </c>
      <c r="E1168" s="84" t="s">
        <v>681</v>
      </c>
      <c r="F1168" s="84" t="s">
        <v>37</v>
      </c>
      <c r="G1168" s="87">
        <f>G1169</f>
        <v>357000</v>
      </c>
      <c r="H1168" s="87">
        <f>H1169</f>
        <v>455000</v>
      </c>
      <c r="I1168" s="87">
        <f>I1169</f>
        <v>455000</v>
      </c>
      <c r="J1168" s="177"/>
      <c r="K1168" s="199"/>
      <c r="L1168" s="199"/>
      <c r="M1168" s="199"/>
      <c r="N1168" s="199"/>
      <c r="O1168" s="199"/>
      <c r="P1168" s="199"/>
      <c r="Q1168" s="199"/>
      <c r="R1168" s="199"/>
    </row>
    <row r="1169" spans="1:18" s="3" customFormat="1" ht="25.5">
      <c r="A1169" s="82" t="s">
        <v>38</v>
      </c>
      <c r="B1169" s="149">
        <v>793</v>
      </c>
      <c r="C1169" s="84" t="s">
        <v>19</v>
      </c>
      <c r="D1169" s="84" t="s">
        <v>54</v>
      </c>
      <c r="E1169" s="84" t="s">
        <v>681</v>
      </c>
      <c r="F1169" s="84" t="s">
        <v>39</v>
      </c>
      <c r="G1169" s="87">
        <f>455000-73000-23000-2000</f>
        <v>357000</v>
      </c>
      <c r="H1169" s="87">
        <v>455000</v>
      </c>
      <c r="I1169" s="87">
        <v>455000</v>
      </c>
      <c r="J1169" s="177"/>
      <c r="K1169" s="199"/>
      <c r="L1169" s="199"/>
      <c r="M1169" s="199"/>
      <c r="N1169" s="199"/>
      <c r="O1169" s="199"/>
      <c r="P1169" s="199"/>
      <c r="Q1169" s="199"/>
      <c r="R1169" s="199"/>
    </row>
    <row r="1170" spans="1:18" s="3" customFormat="1" ht="76.5">
      <c r="A1170" s="82" t="s">
        <v>684</v>
      </c>
      <c r="B1170" s="149">
        <v>793</v>
      </c>
      <c r="C1170" s="84" t="s">
        <v>19</v>
      </c>
      <c r="D1170" s="84" t="s">
        <v>54</v>
      </c>
      <c r="E1170" s="84" t="s">
        <v>685</v>
      </c>
      <c r="F1170" s="84"/>
      <c r="G1170" s="87">
        <f>G1171+G1175</f>
        <v>1502406.02</v>
      </c>
      <c r="H1170" s="87">
        <f>H1171+H1175</f>
        <v>1529302.26</v>
      </c>
      <c r="I1170" s="87">
        <f>I1171+I1175</f>
        <v>1583274.35</v>
      </c>
      <c r="J1170" s="177"/>
      <c r="K1170" s="199"/>
      <c r="L1170" s="199"/>
      <c r="M1170" s="199"/>
      <c r="N1170" s="199"/>
      <c r="O1170" s="199"/>
      <c r="P1170" s="199"/>
      <c r="Q1170" s="199"/>
      <c r="R1170" s="199"/>
    </row>
    <row r="1171" spans="1:18" s="3" customFormat="1" ht="51">
      <c r="A1171" s="82" t="s">
        <v>319</v>
      </c>
      <c r="B1171" s="149">
        <v>793</v>
      </c>
      <c r="C1171" s="84" t="s">
        <v>19</v>
      </c>
      <c r="D1171" s="84" t="s">
        <v>54</v>
      </c>
      <c r="E1171" s="84" t="s">
        <v>685</v>
      </c>
      <c r="F1171" s="84" t="s">
        <v>58</v>
      </c>
      <c r="G1171" s="87">
        <f>G1172</f>
        <v>1445248.42</v>
      </c>
      <c r="H1171" s="87">
        <f>H1172</f>
        <v>1389302.26</v>
      </c>
      <c r="I1171" s="87">
        <f>I1172</f>
        <v>1443274.35</v>
      </c>
      <c r="J1171" s="177"/>
      <c r="K1171" s="199"/>
      <c r="L1171" s="199"/>
      <c r="M1171" s="199"/>
      <c r="N1171" s="199"/>
      <c r="O1171" s="199"/>
      <c r="P1171" s="199"/>
      <c r="Q1171" s="199"/>
      <c r="R1171" s="199"/>
    </row>
    <row r="1172" spans="1:18" s="3" customFormat="1" ht="25.5">
      <c r="A1172" s="82" t="s">
        <v>56</v>
      </c>
      <c r="B1172" s="149">
        <v>793</v>
      </c>
      <c r="C1172" s="84" t="s">
        <v>19</v>
      </c>
      <c r="D1172" s="84" t="s">
        <v>54</v>
      </c>
      <c r="E1172" s="84" t="s">
        <v>685</v>
      </c>
      <c r="F1172" s="84" t="s">
        <v>59</v>
      </c>
      <c r="G1172" s="87">
        <f>1337406.02+23000+84842.4</f>
        <v>1445248.42</v>
      </c>
      <c r="H1172" s="87">
        <v>1389302.26</v>
      </c>
      <c r="I1172" s="87">
        <v>1443274.35</v>
      </c>
      <c r="J1172" s="177"/>
      <c r="K1172" s="199"/>
      <c r="L1172" s="199"/>
      <c r="M1172" s="199"/>
      <c r="N1172" s="199"/>
      <c r="O1172" s="199"/>
      <c r="P1172" s="199"/>
      <c r="Q1172" s="199"/>
      <c r="R1172" s="199"/>
    </row>
    <row r="1173" spans="1:18" s="3" customFormat="1" ht="38.25" hidden="1">
      <c r="A1173" s="82" t="s">
        <v>57</v>
      </c>
      <c r="B1173" s="149">
        <v>793</v>
      </c>
      <c r="C1173" s="84" t="s">
        <v>19</v>
      </c>
      <c r="D1173" s="84" t="s">
        <v>54</v>
      </c>
      <c r="E1173" s="84" t="s">
        <v>685</v>
      </c>
      <c r="F1173" s="84" t="s">
        <v>60</v>
      </c>
      <c r="G1173" s="87"/>
      <c r="H1173" s="87"/>
      <c r="I1173" s="87"/>
      <c r="J1173" s="177"/>
      <c r="K1173" s="199"/>
      <c r="L1173" s="199"/>
      <c r="M1173" s="199"/>
      <c r="N1173" s="199"/>
      <c r="O1173" s="199"/>
      <c r="P1173" s="199"/>
      <c r="Q1173" s="199"/>
      <c r="R1173" s="199"/>
    </row>
    <row r="1174" spans="1:18" s="3" customFormat="1" ht="38.25" hidden="1">
      <c r="A1174" s="82" t="s">
        <v>61</v>
      </c>
      <c r="B1174" s="149">
        <v>793</v>
      </c>
      <c r="C1174" s="84" t="s">
        <v>19</v>
      </c>
      <c r="D1174" s="84" t="s">
        <v>54</v>
      </c>
      <c r="E1174" s="84" t="s">
        <v>685</v>
      </c>
      <c r="F1174" s="84" t="s">
        <v>62</v>
      </c>
      <c r="G1174" s="87"/>
      <c r="H1174" s="87"/>
      <c r="I1174" s="87"/>
      <c r="J1174" s="177"/>
      <c r="K1174" s="199"/>
      <c r="L1174" s="199"/>
      <c r="M1174" s="199"/>
      <c r="N1174" s="199"/>
      <c r="O1174" s="199"/>
      <c r="P1174" s="199"/>
      <c r="Q1174" s="199"/>
      <c r="R1174" s="199"/>
    </row>
    <row r="1175" spans="1:18" s="3" customFormat="1" ht="20.25" customHeight="1">
      <c r="A1175" s="82" t="s">
        <v>323</v>
      </c>
      <c r="B1175" s="149">
        <v>793</v>
      </c>
      <c r="C1175" s="84" t="s">
        <v>19</v>
      </c>
      <c r="D1175" s="84" t="s">
        <v>54</v>
      </c>
      <c r="E1175" s="84" t="s">
        <v>685</v>
      </c>
      <c r="F1175" s="84" t="s">
        <v>37</v>
      </c>
      <c r="G1175" s="87">
        <f>G1176</f>
        <v>57157.600000000006</v>
      </c>
      <c r="H1175" s="87">
        <f>H1176</f>
        <v>140000</v>
      </c>
      <c r="I1175" s="87">
        <f>I1176</f>
        <v>140000</v>
      </c>
      <c r="J1175" s="177"/>
      <c r="K1175" s="199"/>
      <c r="L1175" s="199"/>
      <c r="M1175" s="199"/>
      <c r="N1175" s="199"/>
      <c r="O1175" s="199"/>
      <c r="P1175" s="199"/>
      <c r="Q1175" s="199"/>
      <c r="R1175" s="199"/>
    </row>
    <row r="1176" spans="1:18" s="3" customFormat="1" ht="25.5">
      <c r="A1176" s="82" t="s">
        <v>38</v>
      </c>
      <c r="B1176" s="149">
        <v>793</v>
      </c>
      <c r="C1176" s="84" t="s">
        <v>19</v>
      </c>
      <c r="D1176" s="84" t="s">
        <v>54</v>
      </c>
      <c r="E1176" s="84" t="s">
        <v>685</v>
      </c>
      <c r="F1176" s="84" t="s">
        <v>39</v>
      </c>
      <c r="G1176" s="87">
        <f>140000-84842.4+2000</f>
        <v>57157.600000000006</v>
      </c>
      <c r="H1176" s="87">
        <v>140000</v>
      </c>
      <c r="I1176" s="87">
        <v>140000</v>
      </c>
      <c r="J1176" s="177"/>
      <c r="K1176" s="199"/>
      <c r="L1176" s="199"/>
      <c r="M1176" s="199"/>
      <c r="N1176" s="199"/>
      <c r="O1176" s="199"/>
      <c r="P1176" s="199"/>
      <c r="Q1176" s="199"/>
      <c r="R1176" s="199"/>
    </row>
    <row r="1177" spans="1:18" ht="13.5" customHeight="1">
      <c r="A1177" s="283" t="s">
        <v>329</v>
      </c>
      <c r="B1177" s="149">
        <v>793</v>
      </c>
      <c r="C1177" s="84" t="s">
        <v>19</v>
      </c>
      <c r="D1177" s="84" t="s">
        <v>54</v>
      </c>
      <c r="E1177" s="84" t="s">
        <v>246</v>
      </c>
      <c r="F1177" s="84"/>
      <c r="G1177" s="87">
        <f>G1178+G1180</f>
        <v>369351.5</v>
      </c>
      <c r="H1177" s="87">
        <f>H1178+H1180</f>
        <v>382325.56</v>
      </c>
      <c r="I1177" s="87">
        <f>I1178+I1180</f>
        <v>395818.58</v>
      </c>
      <c r="J1177" s="177"/>
    </row>
    <row r="1178" spans="1:18" s="3" customFormat="1" ht="51">
      <c r="A1178" s="82" t="s">
        <v>319</v>
      </c>
      <c r="B1178" s="149">
        <v>793</v>
      </c>
      <c r="C1178" s="84" t="s">
        <v>19</v>
      </c>
      <c r="D1178" s="84" t="s">
        <v>54</v>
      </c>
      <c r="E1178" s="84" t="s">
        <v>246</v>
      </c>
      <c r="F1178" s="84" t="s">
        <v>58</v>
      </c>
      <c r="G1178" s="87">
        <f>G1179</f>
        <v>305782</v>
      </c>
      <c r="H1178" s="87">
        <f>H1179</f>
        <v>372325.56</v>
      </c>
      <c r="I1178" s="87">
        <f>I1179</f>
        <v>385818.58</v>
      </c>
      <c r="J1178" s="177"/>
      <c r="K1178" s="199"/>
      <c r="L1178" s="199"/>
      <c r="M1178" s="199"/>
      <c r="N1178" s="199"/>
      <c r="O1178" s="199"/>
      <c r="P1178" s="199"/>
      <c r="Q1178" s="199"/>
      <c r="R1178" s="199"/>
    </row>
    <row r="1179" spans="1:18" s="3" customFormat="1" ht="25.5">
      <c r="A1179" s="82" t="s">
        <v>56</v>
      </c>
      <c r="B1179" s="149">
        <v>793</v>
      </c>
      <c r="C1179" s="84" t="s">
        <v>19</v>
      </c>
      <c r="D1179" s="84" t="s">
        <v>54</v>
      </c>
      <c r="E1179" s="84" t="s">
        <v>246</v>
      </c>
      <c r="F1179" s="84" t="s">
        <v>59</v>
      </c>
      <c r="G1179" s="87">
        <v>305782</v>
      </c>
      <c r="H1179" s="87">
        <v>372325.56</v>
      </c>
      <c r="I1179" s="87">
        <v>385818.58</v>
      </c>
      <c r="J1179" s="177"/>
      <c r="K1179" s="199"/>
      <c r="L1179" s="199"/>
      <c r="M1179" s="199"/>
      <c r="N1179" s="199"/>
      <c r="O1179" s="199"/>
      <c r="P1179" s="199"/>
      <c r="Q1179" s="199"/>
      <c r="R1179" s="199"/>
    </row>
    <row r="1180" spans="1:18" ht="19.5" customHeight="1">
      <c r="A1180" s="82" t="s">
        <v>323</v>
      </c>
      <c r="B1180" s="149">
        <v>793</v>
      </c>
      <c r="C1180" s="84" t="s">
        <v>19</v>
      </c>
      <c r="D1180" s="84" t="s">
        <v>54</v>
      </c>
      <c r="E1180" s="84" t="s">
        <v>246</v>
      </c>
      <c r="F1180" s="84" t="s">
        <v>37</v>
      </c>
      <c r="G1180" s="87">
        <f>G1181</f>
        <v>63569.5</v>
      </c>
      <c r="H1180" s="87">
        <f>H1181</f>
        <v>10000</v>
      </c>
      <c r="I1180" s="87">
        <f>I1181</f>
        <v>10000</v>
      </c>
      <c r="J1180" s="177"/>
    </row>
    <row r="1181" spans="1:18" ht="25.5" customHeight="1">
      <c r="A1181" s="82" t="s">
        <v>38</v>
      </c>
      <c r="B1181" s="149">
        <v>793</v>
      </c>
      <c r="C1181" s="84" t="s">
        <v>19</v>
      </c>
      <c r="D1181" s="84" t="s">
        <v>54</v>
      </c>
      <c r="E1181" s="84" t="s">
        <v>246</v>
      </c>
      <c r="F1181" s="84" t="s">
        <v>39</v>
      </c>
      <c r="G1181" s="87">
        <v>63569.5</v>
      </c>
      <c r="H1181" s="87">
        <v>10000</v>
      </c>
      <c r="I1181" s="87">
        <v>10000</v>
      </c>
      <c r="J1181" s="177"/>
    </row>
    <row r="1182" spans="1:18" s="46" customFormat="1" ht="63.75">
      <c r="A1182" s="82" t="s">
        <v>330</v>
      </c>
      <c r="B1182" s="149">
        <v>793</v>
      </c>
      <c r="C1182" s="84" t="s">
        <v>19</v>
      </c>
      <c r="D1182" s="84" t="s">
        <v>54</v>
      </c>
      <c r="E1182" s="84" t="s">
        <v>386</v>
      </c>
      <c r="F1182" s="84"/>
      <c r="G1182" s="87">
        <f t="shared" ref="G1182:I1182" si="293">G1183</f>
        <v>14000</v>
      </c>
      <c r="H1182" s="87">
        <f t="shared" si="293"/>
        <v>14000</v>
      </c>
      <c r="I1182" s="87">
        <f t="shared" si="293"/>
        <v>14000</v>
      </c>
      <c r="J1182" s="177"/>
      <c r="K1182" s="222"/>
      <c r="L1182" s="222"/>
      <c r="M1182" s="222"/>
      <c r="N1182" s="222"/>
      <c r="O1182" s="222"/>
      <c r="P1182" s="222"/>
      <c r="Q1182" s="222"/>
      <c r="R1182" s="222"/>
    </row>
    <row r="1183" spans="1:18" s="46" customFormat="1" ht="25.5">
      <c r="A1183" s="82" t="s">
        <v>323</v>
      </c>
      <c r="B1183" s="149">
        <v>793</v>
      </c>
      <c r="C1183" s="84" t="s">
        <v>19</v>
      </c>
      <c r="D1183" s="84" t="s">
        <v>54</v>
      </c>
      <c r="E1183" s="84" t="s">
        <v>386</v>
      </c>
      <c r="F1183" s="84" t="s">
        <v>37</v>
      </c>
      <c r="G1183" s="87">
        <f>G1184</f>
        <v>14000</v>
      </c>
      <c r="H1183" s="87">
        <f>H1184</f>
        <v>14000</v>
      </c>
      <c r="I1183" s="87">
        <f>I1184</f>
        <v>14000</v>
      </c>
      <c r="J1183" s="177"/>
      <c r="K1183" s="222"/>
      <c r="L1183" s="222"/>
      <c r="M1183" s="222"/>
      <c r="N1183" s="222"/>
      <c r="O1183" s="222"/>
      <c r="P1183" s="222"/>
      <c r="Q1183" s="222"/>
      <c r="R1183" s="222"/>
    </row>
    <row r="1184" spans="1:18" s="46" customFormat="1" ht="25.5">
      <c r="A1184" s="82" t="s">
        <v>38</v>
      </c>
      <c r="B1184" s="149">
        <v>793</v>
      </c>
      <c r="C1184" s="84" t="s">
        <v>19</v>
      </c>
      <c r="D1184" s="84" t="s">
        <v>54</v>
      </c>
      <c r="E1184" s="84" t="s">
        <v>386</v>
      </c>
      <c r="F1184" s="84" t="s">
        <v>39</v>
      </c>
      <c r="G1184" s="87">
        <v>14000</v>
      </c>
      <c r="H1184" s="87">
        <v>14000</v>
      </c>
      <c r="I1184" s="87">
        <v>14000</v>
      </c>
      <c r="J1184" s="177"/>
      <c r="K1184" s="222"/>
      <c r="L1184" s="222"/>
      <c r="M1184" s="222"/>
      <c r="N1184" s="222"/>
      <c r="O1184" s="222"/>
      <c r="P1184" s="222"/>
      <c r="Q1184" s="222"/>
      <c r="R1184" s="222"/>
    </row>
    <row r="1185" spans="1:18" s="46" customFormat="1" ht="102" customHeight="1">
      <c r="A1185" s="82" t="s">
        <v>946</v>
      </c>
      <c r="B1185" s="149">
        <v>793</v>
      </c>
      <c r="C1185" s="84" t="s">
        <v>19</v>
      </c>
      <c r="D1185" s="84" t="s">
        <v>54</v>
      </c>
      <c r="E1185" s="84" t="s">
        <v>945</v>
      </c>
      <c r="F1185" s="84"/>
      <c r="G1185" s="87">
        <f t="shared" ref="G1185:I1186" si="294">G1186</f>
        <v>67827</v>
      </c>
      <c r="H1185" s="87">
        <f t="shared" si="294"/>
        <v>0</v>
      </c>
      <c r="I1185" s="87">
        <f t="shared" si="294"/>
        <v>0</v>
      </c>
      <c r="J1185" s="177"/>
      <c r="K1185" s="222"/>
      <c r="L1185" s="222"/>
      <c r="M1185" s="222"/>
      <c r="N1185" s="222"/>
      <c r="O1185" s="222"/>
      <c r="P1185" s="222"/>
      <c r="Q1185" s="222"/>
      <c r="R1185" s="222"/>
    </row>
    <row r="1186" spans="1:18" s="46" customFormat="1" ht="27" customHeight="1">
      <c r="A1186" s="82" t="s">
        <v>323</v>
      </c>
      <c r="B1186" s="149">
        <v>793</v>
      </c>
      <c r="C1186" s="84" t="s">
        <v>19</v>
      </c>
      <c r="D1186" s="84" t="s">
        <v>54</v>
      </c>
      <c r="E1186" s="84" t="s">
        <v>945</v>
      </c>
      <c r="F1186" s="84" t="s">
        <v>37</v>
      </c>
      <c r="G1186" s="87">
        <f t="shared" si="294"/>
        <v>67827</v>
      </c>
      <c r="H1186" s="87">
        <f t="shared" si="294"/>
        <v>0</v>
      </c>
      <c r="I1186" s="87">
        <f t="shared" si="294"/>
        <v>0</v>
      </c>
      <c r="J1186" s="177"/>
      <c r="K1186" s="222"/>
      <c r="L1186" s="222"/>
      <c r="M1186" s="222"/>
      <c r="N1186" s="222"/>
      <c r="O1186" s="222"/>
      <c r="P1186" s="222"/>
      <c r="Q1186" s="222"/>
      <c r="R1186" s="222"/>
    </row>
    <row r="1187" spans="1:18" s="46" customFormat="1" ht="25.5">
      <c r="A1187" s="82" t="s">
        <v>38</v>
      </c>
      <c r="B1187" s="149">
        <v>793</v>
      </c>
      <c r="C1187" s="84" t="s">
        <v>19</v>
      </c>
      <c r="D1187" s="84" t="s">
        <v>54</v>
      </c>
      <c r="E1187" s="84" t="s">
        <v>945</v>
      </c>
      <c r="F1187" s="84" t="s">
        <v>39</v>
      </c>
      <c r="G1187" s="87">
        <f>62888+4939</f>
        <v>67827</v>
      </c>
      <c r="H1187" s="87">
        <v>0</v>
      </c>
      <c r="I1187" s="87">
        <v>0</v>
      </c>
      <c r="J1187" s="177"/>
      <c r="K1187" s="222"/>
      <c r="L1187" s="222"/>
      <c r="M1187" s="222"/>
      <c r="N1187" s="222"/>
      <c r="O1187" s="222"/>
      <c r="P1187" s="222"/>
      <c r="Q1187" s="222"/>
      <c r="R1187" s="222"/>
    </row>
    <row r="1188" spans="1:18" s="46" customFormat="1">
      <c r="A1188" s="82" t="s">
        <v>276</v>
      </c>
      <c r="B1188" s="149">
        <v>793</v>
      </c>
      <c r="C1188" s="84" t="s">
        <v>19</v>
      </c>
      <c r="D1188" s="84" t="s">
        <v>173</v>
      </c>
      <c r="E1188" s="84"/>
      <c r="F1188" s="84"/>
      <c r="G1188" s="87">
        <f t="shared" ref="G1188:I1196" si="295">G1189</f>
        <v>124287.62999999999</v>
      </c>
      <c r="H1188" s="87">
        <f t="shared" si="295"/>
        <v>4134.4299999999994</v>
      </c>
      <c r="I1188" s="87">
        <f t="shared" si="295"/>
        <v>3685.6099999999997</v>
      </c>
      <c r="J1188" s="177"/>
      <c r="K1188" s="222"/>
      <c r="L1188" s="222"/>
      <c r="M1188" s="222"/>
      <c r="N1188" s="222"/>
      <c r="O1188" s="222"/>
      <c r="P1188" s="222"/>
      <c r="Q1188" s="222"/>
      <c r="R1188" s="222"/>
    </row>
    <row r="1189" spans="1:18" s="46" customFormat="1">
      <c r="A1189" s="82" t="s">
        <v>277</v>
      </c>
      <c r="B1189" s="149">
        <v>793</v>
      </c>
      <c r="C1189" s="84" t="s">
        <v>19</v>
      </c>
      <c r="D1189" s="84" t="s">
        <v>173</v>
      </c>
      <c r="E1189" s="84" t="s">
        <v>278</v>
      </c>
      <c r="F1189" s="84"/>
      <c r="G1189" s="87">
        <f t="shared" si="295"/>
        <v>124287.62999999999</v>
      </c>
      <c r="H1189" s="87">
        <f t="shared" si="295"/>
        <v>4134.4299999999994</v>
      </c>
      <c r="I1189" s="87">
        <f t="shared" si="295"/>
        <v>3685.6099999999997</v>
      </c>
      <c r="J1189" s="177"/>
      <c r="K1189" s="222"/>
      <c r="L1189" s="222"/>
      <c r="M1189" s="222"/>
      <c r="N1189" s="222"/>
      <c r="O1189" s="222"/>
      <c r="P1189" s="222"/>
      <c r="Q1189" s="222"/>
      <c r="R1189" s="222"/>
    </row>
    <row r="1190" spans="1:18" s="46" customFormat="1" ht="51">
      <c r="A1190" s="82" t="s">
        <v>280</v>
      </c>
      <c r="B1190" s="149">
        <v>793</v>
      </c>
      <c r="C1190" s="84" t="s">
        <v>19</v>
      </c>
      <c r="D1190" s="84" t="s">
        <v>173</v>
      </c>
      <c r="E1190" s="84" t="s">
        <v>374</v>
      </c>
      <c r="F1190" s="84"/>
      <c r="G1190" s="87">
        <f t="shared" si="295"/>
        <v>124287.62999999999</v>
      </c>
      <c r="H1190" s="87">
        <f t="shared" si="295"/>
        <v>4134.4299999999994</v>
      </c>
      <c r="I1190" s="87">
        <f t="shared" si="295"/>
        <v>3685.6099999999997</v>
      </c>
      <c r="J1190" s="177"/>
      <c r="K1190" s="222"/>
      <c r="L1190" s="222"/>
      <c r="M1190" s="222"/>
      <c r="N1190" s="222"/>
      <c r="O1190" s="222"/>
      <c r="P1190" s="222"/>
      <c r="Q1190" s="222"/>
      <c r="R1190" s="222"/>
    </row>
    <row r="1191" spans="1:18" s="46" customFormat="1" ht="27.75" customHeight="1">
      <c r="A1191" s="82" t="s">
        <v>323</v>
      </c>
      <c r="B1191" s="149">
        <v>793</v>
      </c>
      <c r="C1191" s="84" t="s">
        <v>19</v>
      </c>
      <c r="D1191" s="84" t="s">
        <v>173</v>
      </c>
      <c r="E1191" s="84" t="s">
        <v>374</v>
      </c>
      <c r="F1191" s="84" t="s">
        <v>37</v>
      </c>
      <c r="G1191" s="87">
        <f t="shared" si="295"/>
        <v>124287.62999999999</v>
      </c>
      <c r="H1191" s="87">
        <f t="shared" si="295"/>
        <v>4134.4299999999994</v>
      </c>
      <c r="I1191" s="87">
        <f t="shared" si="295"/>
        <v>3685.6099999999997</v>
      </c>
      <c r="J1191" s="177"/>
      <c r="K1191" s="222"/>
      <c r="L1191" s="222"/>
      <c r="M1191" s="222"/>
      <c r="N1191" s="222"/>
      <c r="O1191" s="222"/>
      <c r="P1191" s="222"/>
      <c r="Q1191" s="222"/>
      <c r="R1191" s="222"/>
    </row>
    <row r="1192" spans="1:18" s="46" customFormat="1" ht="25.5">
      <c r="A1192" s="82" t="s">
        <v>38</v>
      </c>
      <c r="B1192" s="149">
        <v>793</v>
      </c>
      <c r="C1192" s="84" t="s">
        <v>19</v>
      </c>
      <c r="D1192" s="84" t="s">
        <v>173</v>
      </c>
      <c r="E1192" s="84" t="s">
        <v>374</v>
      </c>
      <c r="F1192" s="84" t="s">
        <v>39</v>
      </c>
      <c r="G1192" s="87">
        <f>132378.4-8090.77</f>
        <v>124287.62999999999</v>
      </c>
      <c r="H1192" s="87">
        <f>4171.86-37.43</f>
        <v>4134.4299999999994</v>
      </c>
      <c r="I1192" s="87">
        <f>3719.99-34.38</f>
        <v>3685.6099999999997</v>
      </c>
      <c r="J1192" s="177"/>
      <c r="K1192" s="222"/>
      <c r="L1192" s="222"/>
      <c r="M1192" s="222"/>
      <c r="N1192" s="222"/>
      <c r="O1192" s="222"/>
      <c r="P1192" s="222"/>
      <c r="Q1192" s="222"/>
      <c r="R1192" s="222"/>
    </row>
    <row r="1193" spans="1:18" s="46" customFormat="1">
      <c r="A1193" s="82" t="s">
        <v>811</v>
      </c>
      <c r="B1193" s="149">
        <v>793</v>
      </c>
      <c r="C1193" s="84" t="s">
        <v>19</v>
      </c>
      <c r="D1193" s="84" t="s">
        <v>26</v>
      </c>
      <c r="E1193" s="84"/>
      <c r="F1193" s="84"/>
      <c r="G1193" s="87">
        <f>G1194</f>
        <v>4829049.2</v>
      </c>
      <c r="H1193" s="87">
        <f t="shared" ref="H1193:I1193" si="296">H1194</f>
        <v>0</v>
      </c>
      <c r="I1193" s="87">
        <f t="shared" si="296"/>
        <v>0</v>
      </c>
      <c r="J1193" s="177"/>
      <c r="K1193" s="222"/>
      <c r="L1193" s="222"/>
      <c r="M1193" s="222"/>
      <c r="N1193" s="222"/>
      <c r="O1193" s="222"/>
      <c r="P1193" s="222"/>
      <c r="Q1193" s="222"/>
      <c r="R1193" s="222"/>
    </row>
    <row r="1194" spans="1:18" s="46" customFormat="1" ht="25.5">
      <c r="A1194" s="82" t="s">
        <v>98</v>
      </c>
      <c r="B1194" s="149">
        <v>793</v>
      </c>
      <c r="C1194" s="84" t="s">
        <v>19</v>
      </c>
      <c r="D1194" s="84" t="s">
        <v>26</v>
      </c>
      <c r="E1194" s="84" t="s">
        <v>210</v>
      </c>
      <c r="F1194" s="84"/>
      <c r="G1194" s="87">
        <f t="shared" si="295"/>
        <v>4829049.2</v>
      </c>
      <c r="H1194" s="87">
        <f t="shared" si="295"/>
        <v>0</v>
      </c>
      <c r="I1194" s="87">
        <f t="shared" si="295"/>
        <v>0</v>
      </c>
      <c r="J1194" s="177"/>
      <c r="K1194" s="222"/>
      <c r="L1194" s="222"/>
      <c r="M1194" s="222"/>
      <c r="N1194" s="222"/>
      <c r="O1194" s="222"/>
      <c r="P1194" s="222"/>
      <c r="Q1194" s="222"/>
      <c r="R1194" s="222"/>
    </row>
    <row r="1195" spans="1:18" s="46" customFormat="1" ht="48" customHeight="1">
      <c r="A1195" s="82" t="s">
        <v>810</v>
      </c>
      <c r="B1195" s="149">
        <v>793</v>
      </c>
      <c r="C1195" s="84" t="s">
        <v>19</v>
      </c>
      <c r="D1195" s="84" t="s">
        <v>26</v>
      </c>
      <c r="E1195" s="84" t="s">
        <v>808</v>
      </c>
      <c r="F1195" s="84"/>
      <c r="G1195" s="87">
        <f t="shared" si="295"/>
        <v>4829049.2</v>
      </c>
      <c r="H1195" s="87">
        <f t="shared" si="295"/>
        <v>0</v>
      </c>
      <c r="I1195" s="87">
        <f t="shared" si="295"/>
        <v>0</v>
      </c>
      <c r="J1195" s="177"/>
      <c r="K1195" s="222"/>
      <c r="L1195" s="222"/>
      <c r="M1195" s="222"/>
      <c r="N1195" s="222"/>
      <c r="O1195" s="222"/>
      <c r="P1195" s="222"/>
      <c r="Q1195" s="222"/>
      <c r="R1195" s="222"/>
    </row>
    <row r="1196" spans="1:18" s="46" customFormat="1" ht="29.25" customHeight="1">
      <c r="A1196" s="82" t="s">
        <v>63</v>
      </c>
      <c r="B1196" s="149">
        <v>793</v>
      </c>
      <c r="C1196" s="84" t="s">
        <v>19</v>
      </c>
      <c r="D1196" s="84" t="s">
        <v>26</v>
      </c>
      <c r="E1196" s="84" t="s">
        <v>808</v>
      </c>
      <c r="F1196" s="84" t="s">
        <v>64</v>
      </c>
      <c r="G1196" s="87">
        <f t="shared" si="295"/>
        <v>4829049.2</v>
      </c>
      <c r="H1196" s="87">
        <f t="shared" si="295"/>
        <v>0</v>
      </c>
      <c r="I1196" s="87">
        <f t="shared" si="295"/>
        <v>0</v>
      </c>
      <c r="J1196" s="177"/>
      <c r="K1196" s="222"/>
      <c r="L1196" s="222"/>
      <c r="M1196" s="222"/>
      <c r="N1196" s="222"/>
      <c r="O1196" s="222"/>
      <c r="P1196" s="222"/>
      <c r="Q1196" s="222"/>
      <c r="R1196" s="222"/>
    </row>
    <row r="1197" spans="1:18" s="46" customFormat="1">
      <c r="A1197" s="82" t="s">
        <v>809</v>
      </c>
      <c r="B1197" s="149">
        <v>793</v>
      </c>
      <c r="C1197" s="84" t="s">
        <v>19</v>
      </c>
      <c r="D1197" s="84" t="s">
        <v>26</v>
      </c>
      <c r="E1197" s="84" t="s">
        <v>808</v>
      </c>
      <c r="F1197" s="84" t="s">
        <v>807</v>
      </c>
      <c r="G1197" s="87">
        <v>4829049.2</v>
      </c>
      <c r="H1197" s="87"/>
      <c r="I1197" s="87"/>
      <c r="J1197" s="177"/>
      <c r="K1197" s="222"/>
      <c r="L1197" s="222"/>
      <c r="M1197" s="222"/>
      <c r="N1197" s="222"/>
      <c r="O1197" s="222"/>
      <c r="P1197" s="222"/>
      <c r="Q1197" s="222"/>
      <c r="R1197" s="222"/>
    </row>
    <row r="1198" spans="1:18" s="18" customFormat="1">
      <c r="A1198" s="137" t="s">
        <v>331</v>
      </c>
      <c r="B1198" s="149">
        <v>793</v>
      </c>
      <c r="C1198" s="84" t="s">
        <v>19</v>
      </c>
      <c r="D1198" s="84" t="s">
        <v>72</v>
      </c>
      <c r="E1198" s="84"/>
      <c r="F1198" s="84"/>
      <c r="G1198" s="87">
        <f t="shared" ref="G1198:I1201" si="297">G1199</f>
        <v>395008.06</v>
      </c>
      <c r="H1198" s="87">
        <f t="shared" si="297"/>
        <v>1000000</v>
      </c>
      <c r="I1198" s="87">
        <f t="shared" si="297"/>
        <v>1000000</v>
      </c>
      <c r="J1198" s="177"/>
      <c r="K1198" s="200"/>
      <c r="L1198" s="200"/>
      <c r="M1198" s="200"/>
      <c r="N1198" s="200"/>
      <c r="O1198" s="200"/>
      <c r="P1198" s="200"/>
      <c r="Q1198" s="200"/>
      <c r="R1198" s="200"/>
    </row>
    <row r="1199" spans="1:18" s="28" customFormat="1" ht="24.75" customHeight="1">
      <c r="A1199" s="139" t="s">
        <v>169</v>
      </c>
      <c r="B1199" s="149">
        <v>793</v>
      </c>
      <c r="C1199" s="84" t="s">
        <v>19</v>
      </c>
      <c r="D1199" s="84" t="s">
        <v>72</v>
      </c>
      <c r="E1199" s="84" t="s">
        <v>233</v>
      </c>
      <c r="F1199" s="168"/>
      <c r="G1199" s="87">
        <f t="shared" si="297"/>
        <v>395008.06</v>
      </c>
      <c r="H1199" s="87">
        <f t="shared" si="297"/>
        <v>1000000</v>
      </c>
      <c r="I1199" s="87">
        <f t="shared" si="297"/>
        <v>1000000</v>
      </c>
      <c r="J1199" s="177"/>
      <c r="K1199" s="204"/>
      <c r="L1199" s="204"/>
      <c r="M1199" s="204"/>
      <c r="N1199" s="204"/>
      <c r="O1199" s="204"/>
      <c r="P1199" s="204"/>
      <c r="Q1199" s="204"/>
      <c r="R1199" s="204"/>
    </row>
    <row r="1200" spans="1:18" ht="25.5">
      <c r="A1200" s="139" t="s">
        <v>169</v>
      </c>
      <c r="B1200" s="149">
        <v>793</v>
      </c>
      <c r="C1200" s="84" t="s">
        <v>19</v>
      </c>
      <c r="D1200" s="84" t="s">
        <v>72</v>
      </c>
      <c r="E1200" s="84" t="s">
        <v>275</v>
      </c>
      <c r="F1200" s="149"/>
      <c r="G1200" s="87">
        <f t="shared" si="297"/>
        <v>395008.06</v>
      </c>
      <c r="H1200" s="87">
        <f t="shared" si="297"/>
        <v>1000000</v>
      </c>
      <c r="I1200" s="87">
        <f t="shared" si="297"/>
        <v>1000000</v>
      </c>
      <c r="J1200" s="177"/>
    </row>
    <row r="1201" spans="1:18">
      <c r="A1201" s="82" t="s">
        <v>63</v>
      </c>
      <c r="B1201" s="149">
        <v>793</v>
      </c>
      <c r="C1201" s="84" t="s">
        <v>19</v>
      </c>
      <c r="D1201" s="84" t="s">
        <v>72</v>
      </c>
      <c r="E1201" s="84" t="s">
        <v>275</v>
      </c>
      <c r="F1201" s="84" t="s">
        <v>64</v>
      </c>
      <c r="G1201" s="87">
        <f t="shared" si="297"/>
        <v>395008.06</v>
      </c>
      <c r="H1201" s="87">
        <f t="shared" si="297"/>
        <v>1000000</v>
      </c>
      <c r="I1201" s="87">
        <f t="shared" si="297"/>
        <v>1000000</v>
      </c>
      <c r="J1201" s="177"/>
    </row>
    <row r="1202" spans="1:18">
      <c r="A1202" s="82" t="s">
        <v>180</v>
      </c>
      <c r="B1202" s="149">
        <v>793</v>
      </c>
      <c r="C1202" s="84" t="s">
        <v>19</v>
      </c>
      <c r="D1202" s="84" t="s">
        <v>72</v>
      </c>
      <c r="E1202" s="84" t="s">
        <v>275</v>
      </c>
      <c r="F1202" s="84" t="s">
        <v>181</v>
      </c>
      <c r="G1202" s="87">
        <f>104430.8+290577.26</f>
        <v>395008.06</v>
      </c>
      <c r="H1202" s="87">
        <v>1000000</v>
      </c>
      <c r="I1202" s="87">
        <v>1000000</v>
      </c>
      <c r="J1202" s="177"/>
    </row>
    <row r="1203" spans="1:18">
      <c r="A1203" s="137" t="s">
        <v>22</v>
      </c>
      <c r="B1203" s="149">
        <v>793</v>
      </c>
      <c r="C1203" s="84" t="s">
        <v>19</v>
      </c>
      <c r="D1203" s="84" t="s">
        <v>23</v>
      </c>
      <c r="E1203" s="84"/>
      <c r="F1203" s="84"/>
      <c r="G1203" s="87">
        <f>G1204+G1251+G1266+G1235+G1228+G1288+G1262</f>
        <v>23079251.870000001</v>
      </c>
      <c r="H1203" s="87">
        <f>H1204+H1251+H1266+H1235+H1228</f>
        <v>19599179.489999998</v>
      </c>
      <c r="I1203" s="87">
        <f>I1204+I1251+I1266+I1235+I1228</f>
        <v>20697384.629999999</v>
      </c>
      <c r="J1203" s="177"/>
    </row>
    <row r="1204" spans="1:18" s="33" customFormat="1" ht="51">
      <c r="A1204" s="82" t="s">
        <v>472</v>
      </c>
      <c r="B1204" s="149">
        <v>793</v>
      </c>
      <c r="C1204" s="84" t="s">
        <v>19</v>
      </c>
      <c r="D1204" s="84" t="s">
        <v>23</v>
      </c>
      <c r="E1204" s="149" t="s">
        <v>247</v>
      </c>
      <c r="F1204" s="84"/>
      <c r="G1204" s="87">
        <f>G1205+G1208+G1218+G1225+G1213</f>
        <v>3135495.99</v>
      </c>
      <c r="H1204" s="87">
        <f t="shared" ref="H1204:I1204" si="298">H1205+H1208+H1218+H1225+H1213</f>
        <v>1262498.49</v>
      </c>
      <c r="I1204" s="87">
        <f t="shared" si="298"/>
        <v>2222880.63</v>
      </c>
      <c r="J1204" s="177"/>
      <c r="K1204" s="211"/>
      <c r="L1204" s="211"/>
      <c r="M1204" s="211"/>
      <c r="N1204" s="211"/>
      <c r="O1204" s="211"/>
      <c r="P1204" s="211"/>
      <c r="Q1204" s="211"/>
      <c r="R1204" s="211"/>
    </row>
    <row r="1205" spans="1:18" s="33" customFormat="1" ht="41.25" customHeight="1">
      <c r="A1205" s="82" t="s">
        <v>188</v>
      </c>
      <c r="B1205" s="149">
        <v>793</v>
      </c>
      <c r="C1205" s="84" t="s">
        <v>19</v>
      </c>
      <c r="D1205" s="84" t="s">
        <v>23</v>
      </c>
      <c r="E1205" s="84" t="s">
        <v>382</v>
      </c>
      <c r="F1205" s="84"/>
      <c r="G1205" s="87">
        <f t="shared" ref="G1205:I1206" si="299">G1206</f>
        <v>1048486</v>
      </c>
      <c r="H1205" s="87">
        <f>H1206</f>
        <v>500000</v>
      </c>
      <c r="I1205" s="87">
        <f t="shared" si="299"/>
        <v>500000</v>
      </c>
      <c r="J1205" s="177"/>
      <c r="K1205" s="211"/>
      <c r="L1205" s="211"/>
      <c r="M1205" s="211"/>
      <c r="N1205" s="211"/>
      <c r="O1205" s="211"/>
      <c r="P1205" s="211"/>
      <c r="Q1205" s="211"/>
      <c r="R1205" s="211"/>
    </row>
    <row r="1206" spans="1:18" s="33" customFormat="1" ht="28.5" customHeight="1">
      <c r="A1206" s="82" t="s">
        <v>30</v>
      </c>
      <c r="B1206" s="149">
        <v>793</v>
      </c>
      <c r="C1206" s="84" t="s">
        <v>19</v>
      </c>
      <c r="D1206" s="84" t="s">
        <v>23</v>
      </c>
      <c r="E1206" s="84" t="s">
        <v>382</v>
      </c>
      <c r="F1206" s="84" t="s">
        <v>31</v>
      </c>
      <c r="G1206" s="87">
        <f t="shared" si="299"/>
        <v>1048486</v>
      </c>
      <c r="H1206" s="87">
        <f t="shared" si="299"/>
        <v>500000</v>
      </c>
      <c r="I1206" s="87">
        <f t="shared" si="299"/>
        <v>500000</v>
      </c>
      <c r="J1206" s="177"/>
      <c r="K1206" s="211"/>
      <c r="L1206" s="211"/>
      <c r="M1206" s="211"/>
      <c r="N1206" s="211"/>
      <c r="O1206" s="211"/>
      <c r="P1206" s="211"/>
      <c r="Q1206" s="211"/>
      <c r="R1206" s="211"/>
    </row>
    <row r="1207" spans="1:18" s="33" customFormat="1" ht="45.75" customHeight="1">
      <c r="A1207" s="82" t="s">
        <v>9</v>
      </c>
      <c r="B1207" s="149">
        <v>793</v>
      </c>
      <c r="C1207" s="84" t="s">
        <v>19</v>
      </c>
      <c r="D1207" s="84" t="s">
        <v>23</v>
      </c>
      <c r="E1207" s="84" t="s">
        <v>382</v>
      </c>
      <c r="F1207" s="84" t="s">
        <v>8</v>
      </c>
      <c r="G1207" s="87">
        <f>500000+548486</f>
        <v>1048486</v>
      </c>
      <c r="H1207" s="87">
        <v>500000</v>
      </c>
      <c r="I1207" s="87">
        <v>500000</v>
      </c>
      <c r="J1207" s="177"/>
      <c r="K1207" s="211"/>
      <c r="L1207" s="211"/>
      <c r="M1207" s="211"/>
      <c r="N1207" s="211"/>
      <c r="O1207" s="211"/>
      <c r="P1207" s="211"/>
      <c r="Q1207" s="211"/>
      <c r="R1207" s="211"/>
    </row>
    <row r="1208" spans="1:18" ht="27.75" customHeight="1">
      <c r="A1208" s="284" t="s">
        <v>434</v>
      </c>
      <c r="B1208" s="149">
        <v>793</v>
      </c>
      <c r="C1208" s="84" t="s">
        <v>19</v>
      </c>
      <c r="D1208" s="84" t="s">
        <v>23</v>
      </c>
      <c r="E1208" s="84" t="s">
        <v>383</v>
      </c>
      <c r="F1208" s="84"/>
      <c r="G1208" s="87">
        <f>G1209+G1211</f>
        <v>1976013.29</v>
      </c>
      <c r="H1208" s="87">
        <f t="shared" ref="H1208:I1208" si="300">H1209+H1211</f>
        <v>507498.49</v>
      </c>
      <c r="I1208" s="87">
        <f t="shared" si="300"/>
        <v>1467880.63</v>
      </c>
      <c r="J1208" s="177"/>
    </row>
    <row r="1209" spans="1:18" ht="19.5" customHeight="1">
      <c r="A1209" s="82" t="s">
        <v>156</v>
      </c>
      <c r="B1209" s="149">
        <v>793</v>
      </c>
      <c r="C1209" s="84" t="s">
        <v>19</v>
      </c>
      <c r="D1209" s="84" t="s">
        <v>23</v>
      </c>
      <c r="E1209" s="84" t="s">
        <v>383</v>
      </c>
      <c r="F1209" s="84" t="s">
        <v>157</v>
      </c>
      <c r="G1209" s="87">
        <f>G1210</f>
        <v>1976013.29</v>
      </c>
      <c r="H1209" s="87">
        <f t="shared" ref="H1209:I1211" si="301">H1210</f>
        <v>0</v>
      </c>
      <c r="I1209" s="87">
        <f t="shared" si="301"/>
        <v>0</v>
      </c>
      <c r="J1209" s="177"/>
    </row>
    <row r="1210" spans="1:18" ht="12" customHeight="1">
      <c r="A1210" s="82" t="s">
        <v>178</v>
      </c>
      <c r="B1210" s="149">
        <v>793</v>
      </c>
      <c r="C1210" s="84" t="s">
        <v>19</v>
      </c>
      <c r="D1210" s="84" t="s">
        <v>23</v>
      </c>
      <c r="E1210" s="84" t="s">
        <v>383</v>
      </c>
      <c r="F1210" s="84" t="s">
        <v>179</v>
      </c>
      <c r="G1210" s="87">
        <v>1976013.29</v>
      </c>
      <c r="H1210" s="87"/>
      <c r="I1210" s="87"/>
      <c r="J1210" s="177"/>
    </row>
    <row r="1211" spans="1:18" ht="16.5" customHeight="1">
      <c r="A1211" s="82" t="s">
        <v>63</v>
      </c>
      <c r="B1211" s="149">
        <v>793</v>
      </c>
      <c r="C1211" s="84" t="s">
        <v>19</v>
      </c>
      <c r="D1211" s="84" t="s">
        <v>23</v>
      </c>
      <c r="E1211" s="84" t="s">
        <v>383</v>
      </c>
      <c r="F1211" s="84" t="s">
        <v>64</v>
      </c>
      <c r="G1211" s="87">
        <f>G1212</f>
        <v>-4.638422979041934E-11</v>
      </c>
      <c r="H1211" s="87">
        <f t="shared" si="301"/>
        <v>507498.49</v>
      </c>
      <c r="I1211" s="87">
        <f t="shared" si="301"/>
        <v>1467880.63</v>
      </c>
      <c r="J1211" s="177"/>
    </row>
    <row r="1212" spans="1:18" ht="17.25" customHeight="1">
      <c r="A1212" s="82" t="s">
        <v>180</v>
      </c>
      <c r="B1212" s="149">
        <v>793</v>
      </c>
      <c r="C1212" s="84" t="s">
        <v>19</v>
      </c>
      <c r="D1212" s="84" t="s">
        <v>23</v>
      </c>
      <c r="E1212" s="84" t="s">
        <v>383</v>
      </c>
      <c r="F1212" s="84" t="s">
        <v>181</v>
      </c>
      <c r="G1212" s="87">
        <f>1482009.99+500000-1976013.29-5996.7</f>
        <v>-4.638422979041934E-11</v>
      </c>
      <c r="H1212" s="87">
        <f>7498.49+500000</f>
        <v>507498.49</v>
      </c>
      <c r="I1212" s="87">
        <f>967880.63+500000</f>
        <v>1467880.63</v>
      </c>
      <c r="J1212" s="177"/>
    </row>
    <row r="1213" spans="1:18" ht="27.75" customHeight="1">
      <c r="A1213" s="284" t="s">
        <v>913</v>
      </c>
      <c r="B1213" s="149">
        <v>793</v>
      </c>
      <c r="C1213" s="84" t="s">
        <v>19</v>
      </c>
      <c r="D1213" s="84" t="s">
        <v>23</v>
      </c>
      <c r="E1213" s="84" t="s">
        <v>873</v>
      </c>
      <c r="F1213" s="84"/>
      <c r="G1213" s="87">
        <f>G1214+G1216</f>
        <v>0</v>
      </c>
      <c r="H1213" s="87">
        <f t="shared" ref="H1213:I1213" si="302">H1214+H1216</f>
        <v>100000</v>
      </c>
      <c r="I1213" s="87">
        <f t="shared" si="302"/>
        <v>100000</v>
      </c>
      <c r="J1213" s="177"/>
    </row>
    <row r="1214" spans="1:18" ht="19.5" hidden="1" customHeight="1">
      <c r="A1214" s="82" t="s">
        <v>156</v>
      </c>
      <c r="B1214" s="149">
        <v>793</v>
      </c>
      <c r="C1214" s="84" t="s">
        <v>19</v>
      </c>
      <c r="D1214" s="84" t="s">
        <v>23</v>
      </c>
      <c r="E1214" s="84" t="s">
        <v>383</v>
      </c>
      <c r="F1214" s="84" t="s">
        <v>157</v>
      </c>
      <c r="G1214" s="87">
        <f>G1215</f>
        <v>0</v>
      </c>
      <c r="H1214" s="87">
        <f t="shared" ref="H1214:I1216" si="303">H1215</f>
        <v>0</v>
      </c>
      <c r="I1214" s="87">
        <f t="shared" si="303"/>
        <v>0</v>
      </c>
      <c r="J1214" s="177"/>
    </row>
    <row r="1215" spans="1:18" ht="12" hidden="1" customHeight="1">
      <c r="A1215" s="82" t="s">
        <v>178</v>
      </c>
      <c r="B1215" s="149">
        <v>793</v>
      </c>
      <c r="C1215" s="84" t="s">
        <v>19</v>
      </c>
      <c r="D1215" s="84" t="s">
        <v>23</v>
      </c>
      <c r="E1215" s="84" t="s">
        <v>383</v>
      </c>
      <c r="F1215" s="84" t="s">
        <v>179</v>
      </c>
      <c r="G1215" s="87"/>
      <c r="H1215" s="87"/>
      <c r="I1215" s="87"/>
      <c r="J1215" s="177"/>
    </row>
    <row r="1216" spans="1:18" ht="16.5" customHeight="1">
      <c r="A1216" s="82" t="s">
        <v>63</v>
      </c>
      <c r="B1216" s="149">
        <v>793</v>
      </c>
      <c r="C1216" s="84" t="s">
        <v>19</v>
      </c>
      <c r="D1216" s="84" t="s">
        <v>23</v>
      </c>
      <c r="E1216" s="84" t="s">
        <v>873</v>
      </c>
      <c r="F1216" s="84" t="s">
        <v>64</v>
      </c>
      <c r="G1216" s="87">
        <f>G1217</f>
        <v>0</v>
      </c>
      <c r="H1216" s="87">
        <f t="shared" si="303"/>
        <v>100000</v>
      </c>
      <c r="I1216" s="87">
        <f t="shared" si="303"/>
        <v>100000</v>
      </c>
      <c r="J1216" s="177"/>
    </row>
    <row r="1217" spans="1:17" ht="17.25" customHeight="1">
      <c r="A1217" s="82" t="s">
        <v>180</v>
      </c>
      <c r="B1217" s="149">
        <v>793</v>
      </c>
      <c r="C1217" s="84" t="s">
        <v>19</v>
      </c>
      <c r="D1217" s="84" t="s">
        <v>23</v>
      </c>
      <c r="E1217" s="84" t="s">
        <v>873</v>
      </c>
      <c r="F1217" s="84" t="s">
        <v>181</v>
      </c>
      <c r="G1217" s="87">
        <f>100000-100000</f>
        <v>0</v>
      </c>
      <c r="H1217" s="87">
        <v>100000</v>
      </c>
      <c r="I1217" s="87">
        <v>100000</v>
      </c>
      <c r="J1217" s="177"/>
    </row>
    <row r="1218" spans="1:17" ht="25.5" customHeight="1">
      <c r="A1218" s="82" t="s">
        <v>120</v>
      </c>
      <c r="B1218" s="149">
        <v>793</v>
      </c>
      <c r="C1218" s="84" t="s">
        <v>19</v>
      </c>
      <c r="D1218" s="84" t="s">
        <v>23</v>
      </c>
      <c r="E1218" s="84" t="s">
        <v>248</v>
      </c>
      <c r="F1218" s="84"/>
      <c r="G1218" s="87">
        <f>G1219+G1223+G1221</f>
        <v>110996.7</v>
      </c>
      <c r="H1218" s="87">
        <f t="shared" ref="H1218:I1218" si="304">H1219+H1223+H1221</f>
        <v>105000</v>
      </c>
      <c r="I1218" s="87">
        <f t="shared" si="304"/>
        <v>105000</v>
      </c>
      <c r="J1218" s="177"/>
    </row>
    <row r="1219" spans="1:17" ht="21.75" customHeight="1">
      <c r="A1219" s="82" t="s">
        <v>323</v>
      </c>
      <c r="B1219" s="149">
        <v>793</v>
      </c>
      <c r="C1219" s="84" t="s">
        <v>19</v>
      </c>
      <c r="D1219" s="84" t="s">
        <v>23</v>
      </c>
      <c r="E1219" s="84" t="s">
        <v>248</v>
      </c>
      <c r="F1219" s="84" t="s">
        <v>37</v>
      </c>
      <c r="G1219" s="87">
        <f>G1220</f>
        <v>75996.7</v>
      </c>
      <c r="H1219" s="87">
        <f>H1220</f>
        <v>70000</v>
      </c>
      <c r="I1219" s="87">
        <f>I1220</f>
        <v>70000</v>
      </c>
      <c r="J1219" s="177"/>
    </row>
    <row r="1220" spans="1:17" ht="25.5" customHeight="1">
      <c r="A1220" s="82" t="s">
        <v>38</v>
      </c>
      <c r="B1220" s="149">
        <v>793</v>
      </c>
      <c r="C1220" s="84" t="s">
        <v>19</v>
      </c>
      <c r="D1220" s="84" t="s">
        <v>23</v>
      </c>
      <c r="E1220" s="84" t="s">
        <v>248</v>
      </c>
      <c r="F1220" s="84" t="s">
        <v>39</v>
      </c>
      <c r="G1220" s="87">
        <f>70000+5996.7</f>
        <v>75996.7</v>
      </c>
      <c r="H1220" s="87">
        <v>70000</v>
      </c>
      <c r="I1220" s="87">
        <v>70000</v>
      </c>
      <c r="J1220" s="177"/>
    </row>
    <row r="1221" spans="1:17" ht="25.5" hidden="1" customHeight="1">
      <c r="A1221" s="82" t="s">
        <v>30</v>
      </c>
      <c r="B1221" s="149">
        <v>793</v>
      </c>
      <c r="C1221" s="84" t="s">
        <v>19</v>
      </c>
      <c r="D1221" s="84" t="s">
        <v>23</v>
      </c>
      <c r="E1221" s="84" t="s">
        <v>248</v>
      </c>
      <c r="F1221" s="84" t="s">
        <v>31</v>
      </c>
      <c r="G1221" s="87">
        <f>G1222</f>
        <v>0</v>
      </c>
      <c r="H1221" s="87"/>
      <c r="I1221" s="87"/>
      <c r="J1221" s="177"/>
    </row>
    <row r="1222" spans="1:17" ht="25.5" hidden="1" customHeight="1">
      <c r="A1222" s="82" t="s">
        <v>9</v>
      </c>
      <c r="B1222" s="149">
        <v>793</v>
      </c>
      <c r="C1222" s="84" t="s">
        <v>19</v>
      </c>
      <c r="D1222" s="84" t="s">
        <v>23</v>
      </c>
      <c r="E1222" s="84" t="s">
        <v>248</v>
      </c>
      <c r="F1222" s="84" t="s">
        <v>8</v>
      </c>
      <c r="G1222" s="87"/>
      <c r="H1222" s="87"/>
      <c r="I1222" s="87"/>
      <c r="J1222" s="177"/>
    </row>
    <row r="1223" spans="1:17" ht="18.75" customHeight="1">
      <c r="A1223" s="82" t="s">
        <v>63</v>
      </c>
      <c r="B1223" s="149">
        <v>793</v>
      </c>
      <c r="C1223" s="84" t="s">
        <v>19</v>
      </c>
      <c r="D1223" s="84" t="s">
        <v>23</v>
      </c>
      <c r="E1223" s="84" t="s">
        <v>248</v>
      </c>
      <c r="F1223" s="84" t="s">
        <v>64</v>
      </c>
      <c r="G1223" s="87">
        <f>G1224</f>
        <v>35000</v>
      </c>
      <c r="H1223" s="87">
        <f t="shared" ref="H1223:I1223" si="305">H1224</f>
        <v>35000</v>
      </c>
      <c r="I1223" s="87">
        <f t="shared" si="305"/>
        <v>35000</v>
      </c>
      <c r="J1223" s="177"/>
    </row>
    <row r="1224" spans="1:17" ht="19.5" customHeight="1">
      <c r="A1224" s="82" t="s">
        <v>144</v>
      </c>
      <c r="B1224" s="149">
        <v>793</v>
      </c>
      <c r="C1224" s="84" t="s">
        <v>19</v>
      </c>
      <c r="D1224" s="84" t="s">
        <v>23</v>
      </c>
      <c r="E1224" s="84" t="s">
        <v>248</v>
      </c>
      <c r="F1224" s="84" t="s">
        <v>67</v>
      </c>
      <c r="G1224" s="87">
        <v>35000</v>
      </c>
      <c r="H1224" s="87">
        <v>35000</v>
      </c>
      <c r="I1224" s="87">
        <v>35000</v>
      </c>
      <c r="J1224" s="177"/>
    </row>
    <row r="1225" spans="1:17" ht="16.5" customHeight="1">
      <c r="A1225" s="82" t="s">
        <v>447</v>
      </c>
      <c r="B1225" s="149">
        <v>793</v>
      </c>
      <c r="C1225" s="84" t="s">
        <v>19</v>
      </c>
      <c r="D1225" s="84" t="s">
        <v>23</v>
      </c>
      <c r="E1225" s="84" t="s">
        <v>448</v>
      </c>
      <c r="F1225" s="84"/>
      <c r="G1225" s="87">
        <f>G1226</f>
        <v>0</v>
      </c>
      <c r="H1225" s="87">
        <f t="shared" ref="H1225:I1225" si="306">H1226</f>
        <v>50000</v>
      </c>
      <c r="I1225" s="87">
        <f t="shared" si="306"/>
        <v>50000</v>
      </c>
      <c r="J1225" s="177"/>
    </row>
    <row r="1226" spans="1:17" ht="25.5" customHeight="1">
      <c r="A1226" s="82" t="s">
        <v>323</v>
      </c>
      <c r="B1226" s="149">
        <v>793</v>
      </c>
      <c r="C1226" s="84" t="s">
        <v>19</v>
      </c>
      <c r="D1226" s="84" t="s">
        <v>23</v>
      </c>
      <c r="E1226" s="84" t="s">
        <v>448</v>
      </c>
      <c r="F1226" s="84" t="s">
        <v>37</v>
      </c>
      <c r="G1226" s="87">
        <f>G1227</f>
        <v>0</v>
      </c>
      <c r="H1226" s="87">
        <f>H1227</f>
        <v>50000</v>
      </c>
      <c r="I1226" s="87">
        <f>I1227</f>
        <v>50000</v>
      </c>
      <c r="J1226" s="177"/>
    </row>
    <row r="1227" spans="1:17" ht="25.5" customHeight="1">
      <c r="A1227" s="82" t="s">
        <v>38</v>
      </c>
      <c r="B1227" s="149">
        <v>793</v>
      </c>
      <c r="C1227" s="84" t="s">
        <v>19</v>
      </c>
      <c r="D1227" s="84" t="s">
        <v>23</v>
      </c>
      <c r="E1227" s="84" t="s">
        <v>448</v>
      </c>
      <c r="F1227" s="84" t="s">
        <v>39</v>
      </c>
      <c r="G1227" s="87">
        <v>0</v>
      </c>
      <c r="H1227" s="87">
        <v>50000</v>
      </c>
      <c r="I1227" s="87">
        <v>50000</v>
      </c>
      <c r="J1227" s="177"/>
    </row>
    <row r="1228" spans="1:17" ht="25.5" customHeight="1">
      <c r="A1228" s="82" t="s">
        <v>601</v>
      </c>
      <c r="B1228" s="149">
        <v>793</v>
      </c>
      <c r="C1228" s="84" t="s">
        <v>19</v>
      </c>
      <c r="D1228" s="84" t="s">
        <v>23</v>
      </c>
      <c r="E1228" s="84" t="s">
        <v>193</v>
      </c>
      <c r="F1228" s="84"/>
      <c r="G1228" s="87">
        <f>G1229+G1232</f>
        <v>42300</v>
      </c>
      <c r="H1228" s="87">
        <f t="shared" ref="H1228:I1228" si="307">H1229+H1232</f>
        <v>42300</v>
      </c>
      <c r="I1228" s="87">
        <f t="shared" si="307"/>
        <v>42300</v>
      </c>
      <c r="J1228" s="177"/>
    </row>
    <row r="1229" spans="1:17" ht="30.75" customHeight="1">
      <c r="A1229" s="82" t="s">
        <v>664</v>
      </c>
      <c r="B1229" s="149">
        <v>793</v>
      </c>
      <c r="C1229" s="84" t="s">
        <v>19</v>
      </c>
      <c r="D1229" s="84" t="s">
        <v>23</v>
      </c>
      <c r="E1229" s="84" t="s">
        <v>757</v>
      </c>
      <c r="F1229" s="84"/>
      <c r="G1229" s="87">
        <f>G1230</f>
        <v>42300</v>
      </c>
      <c r="H1229" s="87">
        <f t="shared" ref="H1229:I1229" si="308">H1230</f>
        <v>42300</v>
      </c>
      <c r="I1229" s="87">
        <f t="shared" si="308"/>
        <v>42300</v>
      </c>
      <c r="J1229" s="177"/>
    </row>
    <row r="1230" spans="1:17" ht="19.5" customHeight="1">
      <c r="A1230" s="82" t="s">
        <v>323</v>
      </c>
      <c r="B1230" s="149">
        <v>793</v>
      </c>
      <c r="C1230" s="84" t="s">
        <v>19</v>
      </c>
      <c r="D1230" s="84" t="s">
        <v>23</v>
      </c>
      <c r="E1230" s="84" t="s">
        <v>757</v>
      </c>
      <c r="F1230" s="84" t="s">
        <v>37</v>
      </c>
      <c r="G1230" s="87">
        <f>G1231</f>
        <v>42300</v>
      </c>
      <c r="H1230" s="87">
        <f t="shared" ref="H1230:I1230" si="309">H1231</f>
        <v>42300</v>
      </c>
      <c r="I1230" s="87">
        <f t="shared" si="309"/>
        <v>42300</v>
      </c>
      <c r="J1230" s="177"/>
    </row>
    <row r="1231" spans="1:17" ht="25.5" customHeight="1">
      <c r="A1231" s="82" t="s">
        <v>38</v>
      </c>
      <c r="B1231" s="149">
        <v>793</v>
      </c>
      <c r="C1231" s="84" t="s">
        <v>19</v>
      </c>
      <c r="D1231" s="84" t="s">
        <v>23</v>
      </c>
      <c r="E1231" s="84" t="s">
        <v>757</v>
      </c>
      <c r="F1231" s="84" t="s">
        <v>39</v>
      </c>
      <c r="G1231" s="87">
        <v>42300</v>
      </c>
      <c r="H1231" s="87">
        <v>42300</v>
      </c>
      <c r="I1231" s="87">
        <v>42300</v>
      </c>
      <c r="J1231" s="177"/>
      <c r="Q1231" s="209"/>
    </row>
    <row r="1232" spans="1:17" ht="18" hidden="1" customHeight="1">
      <c r="A1232" s="82" t="s">
        <v>662</v>
      </c>
      <c r="B1232" s="149">
        <v>793</v>
      </c>
      <c r="C1232" s="84" t="s">
        <v>19</v>
      </c>
      <c r="D1232" s="84" t="s">
        <v>23</v>
      </c>
      <c r="E1232" s="84" t="s">
        <v>661</v>
      </c>
      <c r="F1232" s="84"/>
      <c r="G1232" s="87">
        <f>G1233</f>
        <v>0</v>
      </c>
      <c r="H1232" s="87">
        <f t="shared" ref="H1232:I1233" si="310">H1233</f>
        <v>0</v>
      </c>
      <c r="I1232" s="87">
        <f t="shared" si="310"/>
        <v>0</v>
      </c>
      <c r="J1232" s="177"/>
    </row>
    <row r="1233" spans="1:10" ht="19.5" hidden="1" customHeight="1">
      <c r="A1233" s="82" t="s">
        <v>323</v>
      </c>
      <c r="B1233" s="149">
        <v>793</v>
      </c>
      <c r="C1233" s="84" t="s">
        <v>19</v>
      </c>
      <c r="D1233" s="84" t="s">
        <v>23</v>
      </c>
      <c r="E1233" s="84" t="s">
        <v>661</v>
      </c>
      <c r="F1233" s="84" t="s">
        <v>37</v>
      </c>
      <c r="G1233" s="87">
        <f>G1234</f>
        <v>0</v>
      </c>
      <c r="H1233" s="87">
        <f t="shared" si="310"/>
        <v>0</v>
      </c>
      <c r="I1233" s="87">
        <f t="shared" si="310"/>
        <v>0</v>
      </c>
      <c r="J1233" s="177"/>
    </row>
    <row r="1234" spans="1:10" ht="25.5" hidden="1" customHeight="1">
      <c r="A1234" s="82" t="s">
        <v>38</v>
      </c>
      <c r="B1234" s="149">
        <v>793</v>
      </c>
      <c r="C1234" s="84" t="s">
        <v>19</v>
      </c>
      <c r="D1234" s="84" t="s">
        <v>23</v>
      </c>
      <c r="E1234" s="84" t="s">
        <v>661</v>
      </c>
      <c r="F1234" s="84" t="s">
        <v>39</v>
      </c>
      <c r="G1234" s="87"/>
      <c r="H1234" s="87">
        <v>0</v>
      </c>
      <c r="I1234" s="87">
        <v>0</v>
      </c>
      <c r="J1234" s="177"/>
    </row>
    <row r="1235" spans="1:10" ht="38.25">
      <c r="A1235" s="82" t="s">
        <v>444</v>
      </c>
      <c r="B1235" s="149">
        <v>793</v>
      </c>
      <c r="C1235" s="84" t="s">
        <v>19</v>
      </c>
      <c r="D1235" s="84" t="s">
        <v>23</v>
      </c>
      <c r="E1235" s="84" t="s">
        <v>249</v>
      </c>
      <c r="F1235" s="84"/>
      <c r="G1235" s="87">
        <f>G1236+G1242+G1245+G1239+G1248</f>
        <v>3156434.8600000003</v>
      </c>
      <c r="H1235" s="87">
        <f t="shared" ref="H1235:I1235" si="311">H1236+H1242+H1245+H1239</f>
        <v>2045000</v>
      </c>
      <c r="I1235" s="87">
        <f t="shared" si="311"/>
        <v>2045000</v>
      </c>
      <c r="J1235" s="177"/>
    </row>
    <row r="1236" spans="1:10" ht="23.25" customHeight="1">
      <c r="A1236" s="137" t="s">
        <v>970</v>
      </c>
      <c r="B1236" s="149">
        <v>793</v>
      </c>
      <c r="C1236" s="84" t="s">
        <v>19</v>
      </c>
      <c r="D1236" s="84" t="s">
        <v>23</v>
      </c>
      <c r="E1236" s="84" t="s">
        <v>400</v>
      </c>
      <c r="F1236" s="84"/>
      <c r="G1236" s="87">
        <f t="shared" ref="G1236:I1240" si="312">G1237</f>
        <v>442418.76</v>
      </c>
      <c r="H1236" s="87">
        <f t="shared" si="312"/>
        <v>1500000</v>
      </c>
      <c r="I1236" s="87">
        <f t="shared" si="312"/>
        <v>1500000</v>
      </c>
      <c r="J1236" s="177"/>
    </row>
    <row r="1237" spans="1:10" ht="34.5" customHeight="1">
      <c r="A1237" s="82" t="s">
        <v>323</v>
      </c>
      <c r="B1237" s="149">
        <v>793</v>
      </c>
      <c r="C1237" s="84" t="s">
        <v>19</v>
      </c>
      <c r="D1237" s="84" t="s">
        <v>23</v>
      </c>
      <c r="E1237" s="84" t="s">
        <v>400</v>
      </c>
      <c r="F1237" s="84" t="s">
        <v>37</v>
      </c>
      <c r="G1237" s="87">
        <f t="shared" si="312"/>
        <v>442418.76</v>
      </c>
      <c r="H1237" s="87">
        <f t="shared" si="312"/>
        <v>1500000</v>
      </c>
      <c r="I1237" s="87">
        <f t="shared" si="312"/>
        <v>1500000</v>
      </c>
      <c r="J1237" s="177"/>
    </row>
    <row r="1238" spans="1:10" ht="30.75" customHeight="1">
      <c r="A1238" s="82" t="s">
        <v>38</v>
      </c>
      <c r="B1238" s="149">
        <v>793</v>
      </c>
      <c r="C1238" s="84" t="s">
        <v>19</v>
      </c>
      <c r="D1238" s="84" t="s">
        <v>23</v>
      </c>
      <c r="E1238" s="84" t="s">
        <v>400</v>
      </c>
      <c r="F1238" s="84" t="s">
        <v>39</v>
      </c>
      <c r="G1238" s="87">
        <f>1500000-345764.48-711816.76</f>
        <v>442418.76</v>
      </c>
      <c r="H1238" s="87">
        <v>1500000</v>
      </c>
      <c r="I1238" s="87">
        <v>1500000</v>
      </c>
      <c r="J1238" s="177"/>
    </row>
    <row r="1239" spans="1:10">
      <c r="A1239" s="137" t="s">
        <v>962</v>
      </c>
      <c r="B1239" s="149">
        <v>793</v>
      </c>
      <c r="C1239" s="84" t="s">
        <v>19</v>
      </c>
      <c r="D1239" s="84" t="s">
        <v>23</v>
      </c>
      <c r="E1239" s="84" t="s">
        <v>961</v>
      </c>
      <c r="F1239" s="84"/>
      <c r="G1239" s="87">
        <f t="shared" si="312"/>
        <v>2345764.48</v>
      </c>
      <c r="H1239" s="87">
        <f t="shared" si="312"/>
        <v>500000</v>
      </c>
      <c r="I1239" s="87">
        <f t="shared" si="312"/>
        <v>500000</v>
      </c>
      <c r="J1239" s="177"/>
    </row>
    <row r="1240" spans="1:10" ht="34.5" customHeight="1">
      <c r="A1240" s="82" t="s">
        <v>323</v>
      </c>
      <c r="B1240" s="149">
        <v>793</v>
      </c>
      <c r="C1240" s="84" t="s">
        <v>19</v>
      </c>
      <c r="D1240" s="84" t="s">
        <v>23</v>
      </c>
      <c r="E1240" s="84" t="s">
        <v>961</v>
      </c>
      <c r="F1240" s="84" t="s">
        <v>37</v>
      </c>
      <c r="G1240" s="87">
        <f t="shared" si="312"/>
        <v>2345764.48</v>
      </c>
      <c r="H1240" s="87">
        <f t="shared" si="312"/>
        <v>500000</v>
      </c>
      <c r="I1240" s="87">
        <f t="shared" si="312"/>
        <v>500000</v>
      </c>
      <c r="J1240" s="177"/>
    </row>
    <row r="1241" spans="1:10" ht="30.75" customHeight="1">
      <c r="A1241" s="82" t="s">
        <v>38</v>
      </c>
      <c r="B1241" s="149">
        <v>793</v>
      </c>
      <c r="C1241" s="84" t="s">
        <v>19</v>
      </c>
      <c r="D1241" s="84" t="s">
        <v>23</v>
      </c>
      <c r="E1241" s="84" t="s">
        <v>961</v>
      </c>
      <c r="F1241" s="84" t="s">
        <v>39</v>
      </c>
      <c r="G1241" s="87">
        <f>2000000+345764.48</f>
        <v>2345764.48</v>
      </c>
      <c r="H1241" s="87">
        <v>500000</v>
      </c>
      <c r="I1241" s="87">
        <v>500000</v>
      </c>
      <c r="J1241" s="177"/>
    </row>
    <row r="1242" spans="1:10" ht="54.75" customHeight="1">
      <c r="A1242" s="137" t="s">
        <v>21</v>
      </c>
      <c r="B1242" s="149">
        <v>793</v>
      </c>
      <c r="C1242" s="84" t="s">
        <v>19</v>
      </c>
      <c r="D1242" s="84" t="s">
        <v>23</v>
      </c>
      <c r="E1242" s="84" t="s">
        <v>20</v>
      </c>
      <c r="F1242" s="84"/>
      <c r="G1242" s="87">
        <f t="shared" ref="G1242:I1243" si="313">G1243</f>
        <v>44000</v>
      </c>
      <c r="H1242" s="87">
        <f t="shared" si="313"/>
        <v>45000</v>
      </c>
      <c r="I1242" s="87">
        <f t="shared" si="313"/>
        <v>45000</v>
      </c>
      <c r="J1242" s="177"/>
    </row>
    <row r="1243" spans="1:10" ht="18" customHeight="1">
      <c r="A1243" s="82" t="s">
        <v>323</v>
      </c>
      <c r="B1243" s="149">
        <v>793</v>
      </c>
      <c r="C1243" s="84" t="s">
        <v>19</v>
      </c>
      <c r="D1243" s="84" t="s">
        <v>23</v>
      </c>
      <c r="E1243" s="84" t="s">
        <v>20</v>
      </c>
      <c r="F1243" s="84" t="s">
        <v>37</v>
      </c>
      <c r="G1243" s="87">
        <f t="shared" si="313"/>
        <v>44000</v>
      </c>
      <c r="H1243" s="87">
        <f t="shared" si="313"/>
        <v>45000</v>
      </c>
      <c r="I1243" s="87">
        <f t="shared" si="313"/>
        <v>45000</v>
      </c>
      <c r="J1243" s="177"/>
    </row>
    <row r="1244" spans="1:10" ht="30.75" customHeight="1">
      <c r="A1244" s="82" t="s">
        <v>38</v>
      </c>
      <c r="B1244" s="149">
        <v>793</v>
      </c>
      <c r="C1244" s="84" t="s">
        <v>19</v>
      </c>
      <c r="D1244" s="84" t="s">
        <v>23</v>
      </c>
      <c r="E1244" s="84" t="s">
        <v>20</v>
      </c>
      <c r="F1244" s="84" t="s">
        <v>39</v>
      </c>
      <c r="G1244" s="87">
        <f>45000-1000</f>
        <v>44000</v>
      </c>
      <c r="H1244" s="87">
        <v>45000</v>
      </c>
      <c r="I1244" s="87">
        <v>45000</v>
      </c>
      <c r="J1244" s="177"/>
    </row>
    <row r="1245" spans="1:10" ht="25.5" hidden="1">
      <c r="A1245" s="137" t="s">
        <v>827</v>
      </c>
      <c r="B1245" s="149">
        <v>793</v>
      </c>
      <c r="C1245" s="84" t="s">
        <v>19</v>
      </c>
      <c r="D1245" s="84" t="s">
        <v>23</v>
      </c>
      <c r="E1245" s="84" t="s">
        <v>826</v>
      </c>
      <c r="F1245" s="84"/>
      <c r="G1245" s="87">
        <f t="shared" ref="G1245:I1246" si="314">G1246</f>
        <v>0</v>
      </c>
      <c r="H1245" s="87">
        <f t="shared" si="314"/>
        <v>0</v>
      </c>
      <c r="I1245" s="87">
        <f t="shared" si="314"/>
        <v>0</v>
      </c>
      <c r="J1245" s="177"/>
    </row>
    <row r="1246" spans="1:10" ht="28.5" hidden="1" customHeight="1">
      <c r="A1246" s="82" t="s">
        <v>323</v>
      </c>
      <c r="B1246" s="149">
        <v>793</v>
      </c>
      <c r="C1246" s="84" t="s">
        <v>19</v>
      </c>
      <c r="D1246" s="84" t="s">
        <v>23</v>
      </c>
      <c r="E1246" s="84" t="s">
        <v>826</v>
      </c>
      <c r="F1246" s="84" t="s">
        <v>37</v>
      </c>
      <c r="G1246" s="87">
        <f t="shared" si="314"/>
        <v>0</v>
      </c>
      <c r="H1246" s="87">
        <f t="shared" si="314"/>
        <v>0</v>
      </c>
      <c r="I1246" s="87">
        <f t="shared" si="314"/>
        <v>0</v>
      </c>
      <c r="J1246" s="177"/>
    </row>
    <row r="1247" spans="1:10" ht="30.75" hidden="1" customHeight="1">
      <c r="A1247" s="82" t="s">
        <v>38</v>
      </c>
      <c r="B1247" s="149">
        <v>793</v>
      </c>
      <c r="C1247" s="84" t="s">
        <v>19</v>
      </c>
      <c r="D1247" s="84" t="s">
        <v>23</v>
      </c>
      <c r="E1247" s="84" t="s">
        <v>826</v>
      </c>
      <c r="F1247" s="84" t="s">
        <v>39</v>
      </c>
      <c r="G1247" s="87"/>
      <c r="H1247" s="87"/>
      <c r="I1247" s="87"/>
      <c r="J1247" s="177"/>
    </row>
    <row r="1248" spans="1:10" ht="30.75" customHeight="1">
      <c r="A1248" s="137" t="s">
        <v>827</v>
      </c>
      <c r="B1248" s="149">
        <v>793</v>
      </c>
      <c r="C1248" s="84" t="s">
        <v>19</v>
      </c>
      <c r="D1248" s="84" t="s">
        <v>23</v>
      </c>
      <c r="E1248" s="84" t="s">
        <v>826</v>
      </c>
      <c r="F1248" s="84"/>
      <c r="G1248" s="87">
        <f>G1249</f>
        <v>324251.62</v>
      </c>
      <c r="H1248" s="87"/>
      <c r="I1248" s="87"/>
      <c r="J1248" s="177"/>
    </row>
    <row r="1249" spans="1:17" ht="30.75" customHeight="1">
      <c r="A1249" s="82" t="s">
        <v>323</v>
      </c>
      <c r="B1249" s="149">
        <v>793</v>
      </c>
      <c r="C1249" s="84" t="s">
        <v>19</v>
      </c>
      <c r="D1249" s="84" t="s">
        <v>23</v>
      </c>
      <c r="E1249" s="84" t="s">
        <v>826</v>
      </c>
      <c r="F1249" s="84" t="s">
        <v>37</v>
      </c>
      <c r="G1249" s="87">
        <f>G1250</f>
        <v>324251.62</v>
      </c>
      <c r="H1249" s="87"/>
      <c r="I1249" s="87"/>
      <c r="J1249" s="177"/>
    </row>
    <row r="1250" spans="1:17" ht="30.75" customHeight="1">
      <c r="A1250" s="82" t="s">
        <v>38</v>
      </c>
      <c r="B1250" s="149">
        <v>793</v>
      </c>
      <c r="C1250" s="84" t="s">
        <v>19</v>
      </c>
      <c r="D1250" s="84" t="s">
        <v>23</v>
      </c>
      <c r="E1250" s="84" t="s">
        <v>826</v>
      </c>
      <c r="F1250" s="84" t="s">
        <v>39</v>
      </c>
      <c r="G1250" s="87">
        <v>324251.62</v>
      </c>
      <c r="H1250" s="87"/>
      <c r="I1250" s="87"/>
      <c r="J1250" s="177"/>
    </row>
    <row r="1251" spans="1:17" ht="25.5" customHeight="1">
      <c r="A1251" s="82" t="s">
        <v>332</v>
      </c>
      <c r="B1251" s="149">
        <v>793</v>
      </c>
      <c r="C1251" s="84" t="s">
        <v>19</v>
      </c>
      <c r="D1251" s="84" t="s">
        <v>23</v>
      </c>
      <c r="E1251" s="84" t="s">
        <v>250</v>
      </c>
      <c r="F1251" s="84"/>
      <c r="G1251" s="87">
        <f>G1252</f>
        <v>16347013</v>
      </c>
      <c r="H1251" s="87">
        <f t="shared" ref="H1251:I1251" si="315">H1252</f>
        <v>16249381</v>
      </c>
      <c r="I1251" s="87">
        <f t="shared" si="315"/>
        <v>16387204</v>
      </c>
      <c r="J1251" s="177"/>
    </row>
    <row r="1252" spans="1:17" ht="25.5" customHeight="1">
      <c r="A1252" s="82" t="s">
        <v>50</v>
      </c>
      <c r="B1252" s="149">
        <v>793</v>
      </c>
      <c r="C1252" s="84" t="s">
        <v>19</v>
      </c>
      <c r="D1252" s="84" t="s">
        <v>23</v>
      </c>
      <c r="E1252" s="84" t="s">
        <v>292</v>
      </c>
      <c r="F1252" s="84"/>
      <c r="G1252" s="87">
        <f>G1253+G1255+G1259+G1257</f>
        <v>16347013</v>
      </c>
      <c r="H1252" s="87">
        <f>H1253+H1255+H1259+H1257</f>
        <v>16249381</v>
      </c>
      <c r="I1252" s="87">
        <f>I1253+I1255+I1259+I1257</f>
        <v>16387204</v>
      </c>
      <c r="J1252" s="177"/>
      <c r="P1252" s="219"/>
      <c r="Q1252" s="209"/>
    </row>
    <row r="1253" spans="1:17" ht="51">
      <c r="A1253" s="82" t="s">
        <v>319</v>
      </c>
      <c r="B1253" s="149">
        <v>793</v>
      </c>
      <c r="C1253" s="84" t="s">
        <v>19</v>
      </c>
      <c r="D1253" s="84" t="s">
        <v>23</v>
      </c>
      <c r="E1253" s="84" t="s">
        <v>292</v>
      </c>
      <c r="F1253" s="84" t="s">
        <v>58</v>
      </c>
      <c r="G1253" s="87">
        <f>G1254</f>
        <v>9569745</v>
      </c>
      <c r="H1253" s="87">
        <f t="shared" ref="H1253:I1253" si="316">H1254</f>
        <v>9427412</v>
      </c>
      <c r="I1253" s="87">
        <f t="shared" si="316"/>
        <v>9520086</v>
      </c>
      <c r="J1253" s="177"/>
    </row>
    <row r="1254" spans="1:17">
      <c r="A1254" s="82" t="s">
        <v>326</v>
      </c>
      <c r="B1254" s="149">
        <v>793</v>
      </c>
      <c r="C1254" s="84" t="s">
        <v>19</v>
      </c>
      <c r="D1254" s="84" t="s">
        <v>23</v>
      </c>
      <c r="E1254" s="84" t="s">
        <v>292</v>
      </c>
      <c r="F1254" s="84" t="s">
        <v>325</v>
      </c>
      <c r="G1254" s="87">
        <v>9569745</v>
      </c>
      <c r="H1254" s="87">
        <v>9427412</v>
      </c>
      <c r="I1254" s="87">
        <v>9520086</v>
      </c>
      <c r="J1254" s="177"/>
    </row>
    <row r="1255" spans="1:17" ht="17.25" customHeight="1">
      <c r="A1255" s="82" t="s">
        <v>323</v>
      </c>
      <c r="B1255" s="149">
        <v>793</v>
      </c>
      <c r="C1255" s="84" t="s">
        <v>19</v>
      </c>
      <c r="D1255" s="84" t="s">
        <v>23</v>
      </c>
      <c r="E1255" s="84" t="s">
        <v>292</v>
      </c>
      <c r="F1255" s="84" t="s">
        <v>37</v>
      </c>
      <c r="G1255" s="87">
        <f>G1256</f>
        <v>6721909</v>
      </c>
      <c r="H1255" s="87">
        <f>H1256</f>
        <v>6766610</v>
      </c>
      <c r="I1255" s="87">
        <f>I1256</f>
        <v>6811759</v>
      </c>
      <c r="J1255" s="177"/>
    </row>
    <row r="1256" spans="1:17" ht="24" customHeight="1">
      <c r="A1256" s="82" t="s">
        <v>38</v>
      </c>
      <c r="B1256" s="149">
        <v>793</v>
      </c>
      <c r="C1256" s="84" t="s">
        <v>19</v>
      </c>
      <c r="D1256" s="84" t="s">
        <v>23</v>
      </c>
      <c r="E1256" s="84" t="s">
        <v>292</v>
      </c>
      <c r="F1256" s="84" t="s">
        <v>39</v>
      </c>
      <c r="G1256" s="87">
        <v>6721909</v>
      </c>
      <c r="H1256" s="87">
        <v>6766610</v>
      </c>
      <c r="I1256" s="87">
        <v>6811759</v>
      </c>
      <c r="J1256" s="177"/>
    </row>
    <row r="1257" spans="1:17" ht="24" hidden="1" customHeight="1">
      <c r="A1257" s="82" t="s">
        <v>148</v>
      </c>
      <c r="B1257" s="149">
        <v>793</v>
      </c>
      <c r="C1257" s="84" t="s">
        <v>19</v>
      </c>
      <c r="D1257" s="84" t="s">
        <v>23</v>
      </c>
      <c r="E1257" s="84" t="s">
        <v>292</v>
      </c>
      <c r="F1257" s="84" t="s">
        <v>149</v>
      </c>
      <c r="G1257" s="87">
        <f>G1258</f>
        <v>0</v>
      </c>
      <c r="H1257" s="87">
        <f>H1258</f>
        <v>0</v>
      </c>
      <c r="I1257" s="87">
        <f>I1258</f>
        <v>0</v>
      </c>
      <c r="J1257" s="177"/>
    </row>
    <row r="1258" spans="1:17" ht="24" hidden="1" customHeight="1">
      <c r="A1258" s="82" t="s">
        <v>150</v>
      </c>
      <c r="B1258" s="149">
        <v>793</v>
      </c>
      <c r="C1258" s="84" t="s">
        <v>19</v>
      </c>
      <c r="D1258" s="84" t="s">
        <v>23</v>
      </c>
      <c r="E1258" s="84" t="s">
        <v>292</v>
      </c>
      <c r="F1258" s="84" t="s">
        <v>151</v>
      </c>
      <c r="G1258" s="87"/>
      <c r="H1258" s="87"/>
      <c r="I1258" s="87"/>
      <c r="J1258" s="177"/>
    </row>
    <row r="1259" spans="1:17" ht="18.75" customHeight="1">
      <c r="A1259" s="82" t="s">
        <v>63</v>
      </c>
      <c r="B1259" s="149">
        <v>793</v>
      </c>
      <c r="C1259" s="84" t="s">
        <v>19</v>
      </c>
      <c r="D1259" s="84" t="s">
        <v>23</v>
      </c>
      <c r="E1259" s="84" t="s">
        <v>292</v>
      </c>
      <c r="F1259" s="84" t="s">
        <v>64</v>
      </c>
      <c r="G1259" s="87">
        <f>G1261+G1260+G1260</f>
        <v>55359</v>
      </c>
      <c r="H1259" s="87">
        <f>H1261+H1260</f>
        <v>55359</v>
      </c>
      <c r="I1259" s="87">
        <f>I1261+I1260</f>
        <v>55359</v>
      </c>
      <c r="J1259" s="177"/>
    </row>
    <row r="1260" spans="1:17" ht="24" hidden="1" customHeight="1">
      <c r="A1260" s="82" t="s">
        <v>328</v>
      </c>
      <c r="B1260" s="149">
        <v>793</v>
      </c>
      <c r="C1260" s="84" t="s">
        <v>19</v>
      </c>
      <c r="D1260" s="84" t="s">
        <v>23</v>
      </c>
      <c r="E1260" s="84" t="s">
        <v>292</v>
      </c>
      <c r="F1260" s="84" t="s">
        <v>327</v>
      </c>
      <c r="G1260" s="87"/>
      <c r="H1260" s="87"/>
      <c r="I1260" s="87"/>
      <c r="J1260" s="177"/>
    </row>
    <row r="1261" spans="1:17" ht="17.25" customHeight="1">
      <c r="A1261" s="82" t="s">
        <v>144</v>
      </c>
      <c r="B1261" s="149">
        <v>793</v>
      </c>
      <c r="C1261" s="84" t="s">
        <v>19</v>
      </c>
      <c r="D1261" s="84" t="s">
        <v>23</v>
      </c>
      <c r="E1261" s="84" t="s">
        <v>292</v>
      </c>
      <c r="F1261" s="84" t="s">
        <v>67</v>
      </c>
      <c r="G1261" s="87">
        <v>55359</v>
      </c>
      <c r="H1261" s="87">
        <v>55359</v>
      </c>
      <c r="I1261" s="87">
        <v>55359</v>
      </c>
      <c r="J1261" s="177"/>
    </row>
    <row r="1262" spans="1:17" ht="17.25" customHeight="1">
      <c r="A1262" s="82" t="s">
        <v>169</v>
      </c>
      <c r="B1262" s="149">
        <v>793</v>
      </c>
      <c r="C1262" s="84" t="s">
        <v>19</v>
      </c>
      <c r="D1262" s="84" t="s">
        <v>23</v>
      </c>
      <c r="E1262" s="84" t="s">
        <v>233</v>
      </c>
      <c r="F1262" s="84"/>
      <c r="G1262" s="87">
        <f>G1263</f>
        <v>71700</v>
      </c>
      <c r="H1262" s="87"/>
      <c r="I1262" s="87"/>
      <c r="J1262" s="177"/>
    </row>
    <row r="1263" spans="1:17" ht="17.25" customHeight="1">
      <c r="A1263" s="82" t="s">
        <v>169</v>
      </c>
      <c r="B1263" s="149">
        <v>793</v>
      </c>
      <c r="C1263" s="84" t="s">
        <v>19</v>
      </c>
      <c r="D1263" s="84" t="s">
        <v>23</v>
      </c>
      <c r="E1263" s="84" t="s">
        <v>275</v>
      </c>
      <c r="F1263" s="84"/>
      <c r="G1263" s="87">
        <f>G1264</f>
        <v>71700</v>
      </c>
      <c r="H1263" s="87"/>
      <c r="I1263" s="87"/>
      <c r="J1263" s="177"/>
    </row>
    <row r="1264" spans="1:17" ht="19.899999999999999" customHeight="1">
      <c r="A1264" s="82" t="s">
        <v>323</v>
      </c>
      <c r="B1264" s="149">
        <v>793</v>
      </c>
      <c r="C1264" s="84" t="s">
        <v>19</v>
      </c>
      <c r="D1264" s="84" t="s">
        <v>23</v>
      </c>
      <c r="E1264" s="84" t="s">
        <v>275</v>
      </c>
      <c r="F1264" s="84" t="s">
        <v>37</v>
      </c>
      <c r="G1264" s="87">
        <f>G1265</f>
        <v>71700</v>
      </c>
      <c r="H1264" s="87"/>
      <c r="I1264" s="87"/>
      <c r="J1264" s="177"/>
    </row>
    <row r="1265" spans="1:10" ht="32.450000000000003" customHeight="1">
      <c r="A1265" s="82" t="s">
        <v>38</v>
      </c>
      <c r="B1265" s="149">
        <v>793</v>
      </c>
      <c r="C1265" s="84" t="s">
        <v>19</v>
      </c>
      <c r="D1265" s="84" t="s">
        <v>23</v>
      </c>
      <c r="E1265" s="84" t="s">
        <v>275</v>
      </c>
      <c r="F1265" s="84" t="s">
        <v>1032</v>
      </c>
      <c r="G1265" s="87">
        <v>71700</v>
      </c>
      <c r="H1265" s="87"/>
      <c r="I1265" s="87"/>
      <c r="J1265" s="177"/>
    </row>
    <row r="1266" spans="1:10" ht="25.5" customHeight="1">
      <c r="A1266" s="82" t="s">
        <v>164</v>
      </c>
      <c r="B1266" s="149">
        <v>793</v>
      </c>
      <c r="C1266" s="84" t="s">
        <v>19</v>
      </c>
      <c r="D1266" s="84" t="s">
        <v>23</v>
      </c>
      <c r="E1266" s="84" t="s">
        <v>210</v>
      </c>
      <c r="F1266" s="84"/>
      <c r="G1266" s="87">
        <f>G1267+G1282+G1285+G1270+G1273+G1276</f>
        <v>326308.02</v>
      </c>
      <c r="H1266" s="87">
        <f>H1267+H1282+H1285</f>
        <v>0</v>
      </c>
      <c r="I1266" s="87">
        <f>I1267+I1282+I1285</f>
        <v>0</v>
      </c>
      <c r="J1266" s="177"/>
    </row>
    <row r="1267" spans="1:10" ht="30.75" hidden="1" customHeight="1">
      <c r="A1267" s="82" t="s">
        <v>698</v>
      </c>
      <c r="B1267" s="149">
        <v>793</v>
      </c>
      <c r="C1267" s="84" t="s">
        <v>19</v>
      </c>
      <c r="D1267" s="84" t="s">
        <v>23</v>
      </c>
      <c r="E1267" s="84" t="s">
        <v>697</v>
      </c>
      <c r="F1267" s="84"/>
      <c r="G1267" s="87">
        <f t="shared" ref="G1267:I1268" si="317">G1268</f>
        <v>0</v>
      </c>
      <c r="H1267" s="87">
        <f t="shared" si="317"/>
        <v>0</v>
      </c>
      <c r="I1267" s="87">
        <f t="shared" si="317"/>
        <v>0</v>
      </c>
      <c r="J1267" s="177"/>
    </row>
    <row r="1268" spans="1:10" ht="19.5" hidden="1" customHeight="1">
      <c r="A1268" s="82" t="s">
        <v>63</v>
      </c>
      <c r="B1268" s="149">
        <v>793</v>
      </c>
      <c r="C1268" s="84" t="s">
        <v>19</v>
      </c>
      <c r="D1268" s="84" t="s">
        <v>23</v>
      </c>
      <c r="E1268" s="84" t="s">
        <v>697</v>
      </c>
      <c r="F1268" s="84" t="s">
        <v>64</v>
      </c>
      <c r="G1268" s="87">
        <f>G1269</f>
        <v>0</v>
      </c>
      <c r="H1268" s="87">
        <f t="shared" si="317"/>
        <v>0</v>
      </c>
      <c r="I1268" s="87">
        <f t="shared" si="317"/>
        <v>0</v>
      </c>
      <c r="J1268" s="177"/>
    </row>
    <row r="1269" spans="1:10" ht="18.75" hidden="1" customHeight="1">
      <c r="A1269" s="82" t="s">
        <v>328</v>
      </c>
      <c r="B1269" s="149">
        <v>793</v>
      </c>
      <c r="C1269" s="84" t="s">
        <v>19</v>
      </c>
      <c r="D1269" s="84" t="s">
        <v>23</v>
      </c>
      <c r="E1269" s="84" t="s">
        <v>697</v>
      </c>
      <c r="F1269" s="84" t="s">
        <v>181</v>
      </c>
      <c r="G1269" s="87"/>
      <c r="H1269" s="87"/>
      <c r="I1269" s="87"/>
      <c r="J1269" s="177"/>
    </row>
    <row r="1270" spans="1:10" ht="30.75" customHeight="1">
      <c r="A1270" s="82" t="s">
        <v>333</v>
      </c>
      <c r="B1270" s="149">
        <v>793</v>
      </c>
      <c r="C1270" s="84" t="s">
        <v>19</v>
      </c>
      <c r="D1270" s="84" t="s">
        <v>23</v>
      </c>
      <c r="E1270" s="84" t="s">
        <v>211</v>
      </c>
      <c r="F1270" s="84"/>
      <c r="G1270" s="87">
        <f t="shared" ref="G1270:I1274" si="318">G1271</f>
        <v>151308.01999999999</v>
      </c>
      <c r="H1270" s="87">
        <f t="shared" si="318"/>
        <v>0</v>
      </c>
      <c r="I1270" s="87">
        <f t="shared" si="318"/>
        <v>0</v>
      </c>
      <c r="J1270" s="177"/>
    </row>
    <row r="1271" spans="1:10" ht="19.5" customHeight="1">
      <c r="A1271" s="82" t="s">
        <v>63</v>
      </c>
      <c r="B1271" s="149">
        <v>793</v>
      </c>
      <c r="C1271" s="84" t="s">
        <v>19</v>
      </c>
      <c r="D1271" s="84" t="s">
        <v>23</v>
      </c>
      <c r="E1271" s="84" t="s">
        <v>211</v>
      </c>
      <c r="F1271" s="84" t="s">
        <v>64</v>
      </c>
      <c r="G1271" s="87">
        <f>G1272</f>
        <v>151308.01999999999</v>
      </c>
      <c r="H1271" s="87">
        <f t="shared" si="318"/>
        <v>0</v>
      </c>
      <c r="I1271" s="87">
        <f t="shared" si="318"/>
        <v>0</v>
      </c>
      <c r="J1271" s="177"/>
    </row>
    <row r="1272" spans="1:10" ht="18.75" customHeight="1">
      <c r="A1272" s="82" t="s">
        <v>1129</v>
      </c>
      <c r="B1272" s="149">
        <v>793</v>
      </c>
      <c r="C1272" s="84" t="s">
        <v>19</v>
      </c>
      <c r="D1272" s="84" t="s">
        <v>23</v>
      </c>
      <c r="E1272" s="84" t="s">
        <v>211</v>
      </c>
      <c r="F1272" s="84" t="s">
        <v>67</v>
      </c>
      <c r="G1272" s="87">
        <v>151308.01999999999</v>
      </c>
      <c r="H1272" s="87">
        <v>0</v>
      </c>
      <c r="I1272" s="87">
        <v>0</v>
      </c>
      <c r="J1272" s="177"/>
    </row>
    <row r="1273" spans="1:10" ht="30.75" customHeight="1">
      <c r="A1273" s="82" t="s">
        <v>333</v>
      </c>
      <c r="B1273" s="149">
        <v>793</v>
      </c>
      <c r="C1273" s="84" t="s">
        <v>19</v>
      </c>
      <c r="D1273" s="84" t="s">
        <v>23</v>
      </c>
      <c r="E1273" s="84" t="s">
        <v>833</v>
      </c>
      <c r="F1273" s="84"/>
      <c r="G1273" s="87">
        <f t="shared" si="318"/>
        <v>50000</v>
      </c>
      <c r="H1273" s="87">
        <f t="shared" si="318"/>
        <v>0</v>
      </c>
      <c r="I1273" s="87">
        <f t="shared" si="318"/>
        <v>0</v>
      </c>
      <c r="J1273" s="177"/>
    </row>
    <row r="1274" spans="1:10" ht="19.5" customHeight="1">
      <c r="A1274" s="82" t="s">
        <v>63</v>
      </c>
      <c r="B1274" s="149">
        <v>793</v>
      </c>
      <c r="C1274" s="84" t="s">
        <v>19</v>
      </c>
      <c r="D1274" s="84" t="s">
        <v>23</v>
      </c>
      <c r="E1274" s="84" t="s">
        <v>833</v>
      </c>
      <c r="F1274" s="84" t="s">
        <v>64</v>
      </c>
      <c r="G1274" s="87">
        <f>G1275</f>
        <v>50000</v>
      </c>
      <c r="H1274" s="87">
        <f t="shared" si="318"/>
        <v>0</v>
      </c>
      <c r="I1274" s="87">
        <f t="shared" si="318"/>
        <v>0</v>
      </c>
      <c r="J1274" s="177"/>
    </row>
    <row r="1275" spans="1:10" ht="18.75" customHeight="1">
      <c r="A1275" s="82" t="s">
        <v>1129</v>
      </c>
      <c r="B1275" s="149">
        <v>793</v>
      </c>
      <c r="C1275" s="84" t="s">
        <v>19</v>
      </c>
      <c r="D1275" s="84" t="s">
        <v>23</v>
      </c>
      <c r="E1275" s="84" t="s">
        <v>833</v>
      </c>
      <c r="F1275" s="84" t="s">
        <v>67</v>
      </c>
      <c r="G1275" s="87">
        <v>50000</v>
      </c>
      <c r="H1275" s="87">
        <v>0</v>
      </c>
      <c r="I1275" s="87">
        <v>0</v>
      </c>
      <c r="J1275" s="177"/>
    </row>
    <row r="1276" spans="1:10" ht="18.75" customHeight="1">
      <c r="A1276" s="82" t="s">
        <v>1046</v>
      </c>
      <c r="B1276" s="149">
        <v>793</v>
      </c>
      <c r="C1276" s="84" t="s">
        <v>19</v>
      </c>
      <c r="D1276" s="84" t="s">
        <v>23</v>
      </c>
      <c r="E1276" s="84" t="s">
        <v>1047</v>
      </c>
      <c r="F1276" s="84"/>
      <c r="G1276" s="87">
        <f>G1277</f>
        <v>5000</v>
      </c>
      <c r="H1276" s="87"/>
      <c r="I1276" s="87"/>
      <c r="J1276" s="177"/>
    </row>
    <row r="1277" spans="1:10" ht="18.75" customHeight="1">
      <c r="A1277" s="82" t="s">
        <v>63</v>
      </c>
      <c r="B1277" s="149">
        <v>793</v>
      </c>
      <c r="C1277" s="84" t="s">
        <v>19</v>
      </c>
      <c r="D1277" s="84" t="s">
        <v>23</v>
      </c>
      <c r="E1277" s="84" t="s">
        <v>1047</v>
      </c>
      <c r="F1277" s="84" t="s">
        <v>64</v>
      </c>
      <c r="G1277" s="87">
        <f>G1278</f>
        <v>5000</v>
      </c>
      <c r="H1277" s="87"/>
      <c r="I1277" s="87"/>
      <c r="J1277" s="177"/>
    </row>
    <row r="1278" spans="1:10" ht="18.75" customHeight="1">
      <c r="A1278" s="82" t="s">
        <v>328</v>
      </c>
      <c r="B1278" s="149">
        <v>793</v>
      </c>
      <c r="C1278" s="84" t="s">
        <v>19</v>
      </c>
      <c r="D1278" s="84" t="s">
        <v>23</v>
      </c>
      <c r="E1278" s="84" t="s">
        <v>1047</v>
      </c>
      <c r="F1278" s="84" t="s">
        <v>327</v>
      </c>
      <c r="G1278" s="87">
        <v>5000</v>
      </c>
      <c r="H1278" s="87"/>
      <c r="I1278" s="87"/>
      <c r="J1278" s="177"/>
    </row>
    <row r="1279" spans="1:10" ht="54" customHeight="1">
      <c r="A1279" s="82" t="s">
        <v>640</v>
      </c>
      <c r="B1279" s="149">
        <v>793</v>
      </c>
      <c r="C1279" s="84" t="s">
        <v>19</v>
      </c>
      <c r="D1279" s="84" t="s">
        <v>23</v>
      </c>
      <c r="E1279" s="84" t="s">
        <v>641</v>
      </c>
      <c r="F1279" s="84"/>
      <c r="G1279" s="87">
        <f>G1280</f>
        <v>0</v>
      </c>
      <c r="H1279" s="87">
        <v>0</v>
      </c>
      <c r="I1279" s="87">
        <v>0</v>
      </c>
      <c r="J1279" s="177"/>
    </row>
    <row r="1280" spans="1:10" ht="18.75" customHeight="1">
      <c r="A1280" s="82" t="s">
        <v>323</v>
      </c>
      <c r="B1280" s="149">
        <v>793</v>
      </c>
      <c r="C1280" s="84" t="s">
        <v>19</v>
      </c>
      <c r="D1280" s="84" t="s">
        <v>23</v>
      </c>
      <c r="E1280" s="84" t="s">
        <v>641</v>
      </c>
      <c r="F1280" s="84" t="s">
        <v>37</v>
      </c>
      <c r="G1280" s="87">
        <f>G1281</f>
        <v>0</v>
      </c>
      <c r="H1280" s="87">
        <v>0</v>
      </c>
      <c r="I1280" s="87">
        <v>0</v>
      </c>
      <c r="J1280" s="177"/>
    </row>
    <row r="1281" spans="1:18" ht="35.25" customHeight="1">
      <c r="A1281" s="82" t="s">
        <v>38</v>
      </c>
      <c r="B1281" s="149">
        <v>793</v>
      </c>
      <c r="C1281" s="84" t="s">
        <v>19</v>
      </c>
      <c r="D1281" s="84" t="s">
        <v>23</v>
      </c>
      <c r="E1281" s="84" t="s">
        <v>641</v>
      </c>
      <c r="F1281" s="84" t="s">
        <v>39</v>
      </c>
      <c r="G1281" s="87"/>
      <c r="H1281" s="87">
        <v>0</v>
      </c>
      <c r="I1281" s="87">
        <v>0</v>
      </c>
      <c r="J1281" s="177"/>
    </row>
    <row r="1282" spans="1:18" ht="31.5" customHeight="1">
      <c r="A1282" s="82" t="s">
        <v>431</v>
      </c>
      <c r="B1282" s="149">
        <v>793</v>
      </c>
      <c r="C1282" s="84" t="s">
        <v>19</v>
      </c>
      <c r="D1282" s="84" t="s">
        <v>23</v>
      </c>
      <c r="E1282" s="84" t="s">
        <v>430</v>
      </c>
      <c r="F1282" s="84"/>
      <c r="G1282" s="87">
        <f>G1283</f>
        <v>0</v>
      </c>
      <c r="H1282" s="87">
        <f t="shared" ref="H1282:I1282" si="319">H1283</f>
        <v>0</v>
      </c>
      <c r="I1282" s="87">
        <f t="shared" si="319"/>
        <v>0</v>
      </c>
      <c r="J1282" s="177"/>
    </row>
    <row r="1283" spans="1:18" ht="18.75" customHeight="1">
      <c r="A1283" s="82" t="s">
        <v>63</v>
      </c>
      <c r="B1283" s="149">
        <v>793</v>
      </c>
      <c r="C1283" s="84" t="s">
        <v>19</v>
      </c>
      <c r="D1283" s="84" t="s">
        <v>23</v>
      </c>
      <c r="E1283" s="84" t="s">
        <v>430</v>
      </c>
      <c r="F1283" s="84" t="s">
        <v>64</v>
      </c>
      <c r="G1283" s="87">
        <f>G1284</f>
        <v>0</v>
      </c>
      <c r="H1283" s="87">
        <f>H1284</f>
        <v>0</v>
      </c>
      <c r="I1283" s="87">
        <f>I1284</f>
        <v>0</v>
      </c>
      <c r="J1283" s="177"/>
    </row>
    <row r="1284" spans="1:18" ht="18.75" customHeight="1">
      <c r="A1284" s="82" t="s">
        <v>144</v>
      </c>
      <c r="B1284" s="149">
        <v>793</v>
      </c>
      <c r="C1284" s="84" t="s">
        <v>19</v>
      </c>
      <c r="D1284" s="84" t="s">
        <v>23</v>
      </c>
      <c r="E1284" s="84" t="s">
        <v>430</v>
      </c>
      <c r="F1284" s="84" t="s">
        <v>67</v>
      </c>
      <c r="G1284" s="87"/>
      <c r="H1284" s="87"/>
      <c r="I1284" s="87"/>
      <c r="J1284" s="177"/>
    </row>
    <row r="1285" spans="1:18" ht="28.5" customHeight="1">
      <c r="A1285" s="82" t="s">
        <v>837</v>
      </c>
      <c r="B1285" s="149">
        <v>793</v>
      </c>
      <c r="C1285" s="84" t="s">
        <v>19</v>
      </c>
      <c r="D1285" s="84" t="s">
        <v>23</v>
      </c>
      <c r="E1285" s="84" t="s">
        <v>836</v>
      </c>
      <c r="F1285" s="84"/>
      <c r="G1285" s="87">
        <f>G1286</f>
        <v>120000</v>
      </c>
      <c r="H1285" s="87">
        <f t="shared" ref="H1285:I1285" si="320">H1286</f>
        <v>0</v>
      </c>
      <c r="I1285" s="87">
        <f t="shared" si="320"/>
        <v>0</v>
      </c>
      <c r="J1285" s="177"/>
    </row>
    <row r="1286" spans="1:18" ht="18.75" customHeight="1">
      <c r="A1286" s="82" t="s">
        <v>63</v>
      </c>
      <c r="B1286" s="149">
        <v>793</v>
      </c>
      <c r="C1286" s="84" t="s">
        <v>19</v>
      </c>
      <c r="D1286" s="84" t="s">
        <v>23</v>
      </c>
      <c r="E1286" s="84" t="s">
        <v>836</v>
      </c>
      <c r="F1286" s="84" t="s">
        <v>64</v>
      </c>
      <c r="G1286" s="87">
        <f>G1287</f>
        <v>120000</v>
      </c>
      <c r="H1286" s="87">
        <f>H1287</f>
        <v>0</v>
      </c>
      <c r="I1286" s="87">
        <f>I1287</f>
        <v>0</v>
      </c>
      <c r="J1286" s="177"/>
    </row>
    <row r="1287" spans="1:18" ht="18.75" customHeight="1">
      <c r="A1287" s="82" t="s">
        <v>144</v>
      </c>
      <c r="B1287" s="149">
        <v>793</v>
      </c>
      <c r="C1287" s="84" t="s">
        <v>19</v>
      </c>
      <c r="D1287" s="84" t="s">
        <v>23</v>
      </c>
      <c r="E1287" s="84" t="s">
        <v>836</v>
      </c>
      <c r="F1287" s="84" t="s">
        <v>67</v>
      </c>
      <c r="G1287" s="87">
        <f>30000+30000+60000</f>
        <v>120000</v>
      </c>
      <c r="H1287" s="87">
        <v>0</v>
      </c>
      <c r="I1287" s="87">
        <v>0</v>
      </c>
      <c r="J1287" s="177"/>
    </row>
    <row r="1288" spans="1:18" s="28" customFormat="1" ht="24.75" customHeight="1">
      <c r="A1288" s="139" t="s">
        <v>169</v>
      </c>
      <c r="B1288" s="149">
        <v>793</v>
      </c>
      <c r="C1288" s="84" t="s">
        <v>19</v>
      </c>
      <c r="D1288" s="84" t="s">
        <v>23</v>
      </c>
      <c r="E1288" s="84" t="s">
        <v>233</v>
      </c>
      <c r="F1288" s="168"/>
      <c r="G1288" s="87">
        <f t="shared" ref="G1288:I1290" si="321">G1289</f>
        <v>0</v>
      </c>
      <c r="H1288" s="87">
        <f t="shared" si="321"/>
        <v>0</v>
      </c>
      <c r="I1288" s="87">
        <f t="shared" si="321"/>
        <v>0</v>
      </c>
      <c r="J1288" s="177"/>
      <c r="K1288" s="204"/>
      <c r="L1288" s="204"/>
      <c r="M1288" s="204"/>
      <c r="N1288" s="204"/>
      <c r="O1288" s="204"/>
      <c r="P1288" s="204"/>
      <c r="Q1288" s="204"/>
      <c r="R1288" s="204"/>
    </row>
    <row r="1289" spans="1:18" ht="25.5">
      <c r="A1289" s="139" t="s">
        <v>169</v>
      </c>
      <c r="B1289" s="149">
        <v>793</v>
      </c>
      <c r="C1289" s="84" t="s">
        <v>19</v>
      </c>
      <c r="D1289" s="84" t="s">
        <v>23</v>
      </c>
      <c r="E1289" s="84" t="s">
        <v>275</v>
      </c>
      <c r="F1289" s="149"/>
      <c r="G1289" s="87">
        <f t="shared" si="321"/>
        <v>0</v>
      </c>
      <c r="H1289" s="87">
        <f t="shared" si="321"/>
        <v>0</v>
      </c>
      <c r="I1289" s="87">
        <f t="shared" si="321"/>
        <v>0</v>
      </c>
      <c r="J1289" s="177"/>
    </row>
    <row r="1290" spans="1:18">
      <c r="A1290" s="82" t="s">
        <v>156</v>
      </c>
      <c r="B1290" s="149">
        <v>793</v>
      </c>
      <c r="C1290" s="84" t="s">
        <v>19</v>
      </c>
      <c r="D1290" s="84" t="s">
        <v>23</v>
      </c>
      <c r="E1290" s="84" t="s">
        <v>275</v>
      </c>
      <c r="F1290" s="84" t="s">
        <v>157</v>
      </c>
      <c r="G1290" s="87">
        <f t="shared" si="321"/>
        <v>0</v>
      </c>
      <c r="H1290" s="87">
        <f t="shared" si="321"/>
        <v>0</v>
      </c>
      <c r="I1290" s="87">
        <f t="shared" si="321"/>
        <v>0</v>
      </c>
      <c r="J1290" s="177"/>
    </row>
    <row r="1291" spans="1:18">
      <c r="A1291" s="82" t="s">
        <v>178</v>
      </c>
      <c r="B1291" s="149">
        <v>793</v>
      </c>
      <c r="C1291" s="84" t="s">
        <v>19</v>
      </c>
      <c r="D1291" s="84" t="s">
        <v>23</v>
      </c>
      <c r="E1291" s="84" t="s">
        <v>275</v>
      </c>
      <c r="F1291" s="84" t="s">
        <v>179</v>
      </c>
      <c r="G1291" s="87">
        <v>0</v>
      </c>
      <c r="H1291" s="87">
        <v>0</v>
      </c>
      <c r="I1291" s="87">
        <v>0</v>
      </c>
      <c r="J1291" s="177"/>
    </row>
    <row r="1292" spans="1:18" ht="25.5">
      <c r="A1292" s="268" t="s">
        <v>168</v>
      </c>
      <c r="B1292" s="269">
        <v>793</v>
      </c>
      <c r="C1292" s="270" t="s">
        <v>70</v>
      </c>
      <c r="D1292" s="270"/>
      <c r="E1292" s="270"/>
      <c r="F1292" s="270"/>
      <c r="G1292" s="267">
        <f>G1293+G1358+G1325</f>
        <v>6197555.8799999999</v>
      </c>
      <c r="H1292" s="267">
        <f>H1293+H1358+H1325</f>
        <v>838000</v>
      </c>
      <c r="I1292" s="267">
        <f>I1293+I1358+I1325</f>
        <v>798000</v>
      </c>
      <c r="J1292" s="191"/>
      <c r="P1292" s="209"/>
      <c r="Q1292" s="209"/>
    </row>
    <row r="1293" spans="1:18" s="46" customFormat="1" ht="32.25" customHeight="1">
      <c r="A1293" s="137" t="s">
        <v>796</v>
      </c>
      <c r="B1293" s="149">
        <v>793</v>
      </c>
      <c r="C1293" s="84" t="s">
        <v>70</v>
      </c>
      <c r="D1293" s="84" t="s">
        <v>123</v>
      </c>
      <c r="E1293" s="84"/>
      <c r="F1293" s="84"/>
      <c r="G1293" s="87">
        <f>G1294+G1318+G1315</f>
        <v>93500</v>
      </c>
      <c r="H1293" s="87">
        <f t="shared" ref="H1293:I1293" si="322">H1294+H1318+H1315</f>
        <v>67500</v>
      </c>
      <c r="I1293" s="87">
        <f t="shared" si="322"/>
        <v>67500</v>
      </c>
      <c r="J1293" s="177"/>
      <c r="K1293" s="222"/>
      <c r="L1293" s="222"/>
      <c r="M1293" s="222"/>
      <c r="N1293" s="222"/>
      <c r="O1293" s="222"/>
      <c r="P1293" s="222"/>
      <c r="Q1293" s="222"/>
      <c r="R1293" s="222"/>
    </row>
    <row r="1294" spans="1:18" s="28" customFormat="1" ht="51">
      <c r="A1294" s="137" t="s">
        <v>485</v>
      </c>
      <c r="B1294" s="149">
        <v>793</v>
      </c>
      <c r="C1294" s="84" t="s">
        <v>70</v>
      </c>
      <c r="D1294" s="84" t="s">
        <v>123</v>
      </c>
      <c r="E1294" s="84" t="s">
        <v>251</v>
      </c>
      <c r="F1294" s="168"/>
      <c r="G1294" s="87">
        <f>G1298+G1303+G1309+G1312+G1297+G1306+G1322</f>
        <v>67500</v>
      </c>
      <c r="H1294" s="87">
        <f t="shared" ref="H1294:I1294" si="323">H1298+H1303+H1309+H1312+H1297</f>
        <v>67500</v>
      </c>
      <c r="I1294" s="87">
        <f t="shared" si="323"/>
        <v>67500</v>
      </c>
      <c r="J1294" s="177"/>
      <c r="K1294" s="177"/>
      <c r="L1294" s="177"/>
      <c r="M1294" s="177"/>
      <c r="N1294" s="177"/>
      <c r="O1294" s="177"/>
      <c r="P1294" s="204"/>
      <c r="Q1294" s="210"/>
      <c r="R1294" s="204"/>
    </row>
    <row r="1295" spans="1:18" s="28" customFormat="1" ht="67.5" hidden="1" customHeight="1">
      <c r="A1295" s="137" t="s">
        <v>334</v>
      </c>
      <c r="B1295" s="149">
        <v>793</v>
      </c>
      <c r="C1295" s="84" t="s">
        <v>70</v>
      </c>
      <c r="D1295" s="84" t="s">
        <v>123</v>
      </c>
      <c r="E1295" s="84" t="s">
        <v>138</v>
      </c>
      <c r="F1295" s="168"/>
      <c r="G1295" s="87">
        <f>G1296</f>
        <v>0</v>
      </c>
      <c r="H1295" s="87">
        <f t="shared" ref="H1295:I1295" si="324">H1296</f>
        <v>0</v>
      </c>
      <c r="I1295" s="87">
        <f t="shared" si="324"/>
        <v>0</v>
      </c>
      <c r="J1295" s="177"/>
      <c r="K1295" s="204"/>
      <c r="L1295" s="204"/>
      <c r="M1295" s="204"/>
      <c r="N1295" s="204"/>
      <c r="O1295" s="204"/>
      <c r="P1295" s="204"/>
      <c r="Q1295" s="204"/>
      <c r="R1295" s="204"/>
    </row>
    <row r="1296" spans="1:18" s="28" customFormat="1" ht="25.5" hidden="1">
      <c r="A1296" s="82" t="s">
        <v>323</v>
      </c>
      <c r="B1296" s="149">
        <v>793</v>
      </c>
      <c r="C1296" s="84" t="s">
        <v>70</v>
      </c>
      <c r="D1296" s="84" t="s">
        <v>123</v>
      </c>
      <c r="E1296" s="84" t="s">
        <v>138</v>
      </c>
      <c r="F1296" s="84" t="s">
        <v>37</v>
      </c>
      <c r="G1296" s="87">
        <f>G1297</f>
        <v>0</v>
      </c>
      <c r="H1296" s="87">
        <f t="shared" ref="H1296:I1296" si="325">H1297</f>
        <v>0</v>
      </c>
      <c r="I1296" s="87">
        <f t="shared" si="325"/>
        <v>0</v>
      </c>
      <c r="J1296" s="177"/>
      <c r="K1296" s="204"/>
      <c r="L1296" s="204"/>
      <c r="M1296" s="204"/>
      <c r="N1296" s="204"/>
      <c r="O1296" s="204"/>
      <c r="P1296" s="204"/>
      <c r="Q1296" s="204"/>
      <c r="R1296" s="204"/>
    </row>
    <row r="1297" spans="1:18" s="28" customFormat="1" ht="25.5" hidden="1">
      <c r="A1297" s="82" t="s">
        <v>38</v>
      </c>
      <c r="B1297" s="149">
        <v>793</v>
      </c>
      <c r="C1297" s="84" t="s">
        <v>70</v>
      </c>
      <c r="D1297" s="84" t="s">
        <v>123</v>
      </c>
      <c r="E1297" s="84" t="s">
        <v>138</v>
      </c>
      <c r="F1297" s="84" t="s">
        <v>39</v>
      </c>
      <c r="G1297" s="87">
        <v>0</v>
      </c>
      <c r="H1297" s="94"/>
      <c r="I1297" s="94"/>
      <c r="J1297" s="194"/>
      <c r="K1297" s="204"/>
      <c r="L1297" s="204"/>
      <c r="M1297" s="204"/>
      <c r="N1297" s="204"/>
      <c r="O1297" s="204"/>
      <c r="P1297" s="204"/>
      <c r="Q1297" s="204"/>
      <c r="R1297" s="204"/>
    </row>
    <row r="1298" spans="1:18" ht="53.25" hidden="1" customHeight="1">
      <c r="A1298" s="285" t="s">
        <v>788</v>
      </c>
      <c r="B1298" s="149">
        <v>793</v>
      </c>
      <c r="C1298" s="84" t="s">
        <v>70</v>
      </c>
      <c r="D1298" s="84" t="s">
        <v>123</v>
      </c>
      <c r="E1298" s="84" t="s">
        <v>252</v>
      </c>
      <c r="F1298" s="84"/>
      <c r="G1298" s="87">
        <f>G1299</f>
        <v>0</v>
      </c>
      <c r="H1298" s="87">
        <f>H1299+H1301</f>
        <v>0</v>
      </c>
      <c r="I1298" s="87">
        <f>I1299+I1301</f>
        <v>0</v>
      </c>
      <c r="J1298" s="177"/>
    </row>
    <row r="1299" spans="1:18" ht="25.5" hidden="1">
      <c r="A1299" s="82" t="s">
        <v>323</v>
      </c>
      <c r="B1299" s="149">
        <v>793</v>
      </c>
      <c r="C1299" s="84" t="s">
        <v>70</v>
      </c>
      <c r="D1299" s="84" t="s">
        <v>123</v>
      </c>
      <c r="E1299" s="84" t="s">
        <v>252</v>
      </c>
      <c r="F1299" s="84" t="s">
        <v>37</v>
      </c>
      <c r="G1299" s="87">
        <f>G1300</f>
        <v>0</v>
      </c>
      <c r="H1299" s="87">
        <f t="shared" ref="H1299:I1299" si="326">H1300</f>
        <v>0</v>
      </c>
      <c r="I1299" s="87">
        <f t="shared" si="326"/>
        <v>0</v>
      </c>
      <c r="J1299" s="177"/>
    </row>
    <row r="1300" spans="1:18" ht="25.5" hidden="1">
      <c r="A1300" s="82" t="s">
        <v>38</v>
      </c>
      <c r="B1300" s="149">
        <v>793</v>
      </c>
      <c r="C1300" s="84" t="s">
        <v>70</v>
      </c>
      <c r="D1300" s="84" t="s">
        <v>123</v>
      </c>
      <c r="E1300" s="84" t="s">
        <v>252</v>
      </c>
      <c r="F1300" s="84" t="s">
        <v>39</v>
      </c>
      <c r="G1300" s="87">
        <v>0</v>
      </c>
      <c r="H1300" s="87">
        <v>0</v>
      </c>
      <c r="I1300" s="87">
        <v>0</v>
      </c>
      <c r="J1300" s="177"/>
    </row>
    <row r="1301" spans="1:18" ht="17.25" hidden="1" customHeight="1">
      <c r="A1301" s="82" t="s">
        <v>63</v>
      </c>
      <c r="B1301" s="149">
        <v>793</v>
      </c>
      <c r="C1301" s="84" t="s">
        <v>70</v>
      </c>
      <c r="D1301" s="84" t="s">
        <v>123</v>
      </c>
      <c r="E1301" s="84" t="s">
        <v>253</v>
      </c>
      <c r="F1301" s="84" t="s">
        <v>64</v>
      </c>
      <c r="G1301" s="87">
        <f>G1302</f>
        <v>0</v>
      </c>
      <c r="H1301" s="87">
        <f t="shared" ref="H1301:I1301" si="327">H1302</f>
        <v>0</v>
      </c>
      <c r="I1301" s="87">
        <f t="shared" si="327"/>
        <v>0</v>
      </c>
      <c r="J1301" s="177"/>
    </row>
    <row r="1302" spans="1:18" ht="13.5" hidden="1" customHeight="1">
      <c r="A1302" s="82" t="s">
        <v>180</v>
      </c>
      <c r="B1302" s="149">
        <v>793</v>
      </c>
      <c r="C1302" s="84" t="s">
        <v>70</v>
      </c>
      <c r="D1302" s="84" t="s">
        <v>123</v>
      </c>
      <c r="E1302" s="84" t="s">
        <v>253</v>
      </c>
      <c r="F1302" s="84" t="s">
        <v>181</v>
      </c>
      <c r="G1302" s="87">
        <v>0</v>
      </c>
      <c r="H1302" s="87"/>
      <c r="I1302" s="87">
        <v>0</v>
      </c>
      <c r="J1302" s="177"/>
    </row>
    <row r="1303" spans="1:18" ht="38.25" customHeight="1">
      <c r="A1303" s="82" t="s">
        <v>449</v>
      </c>
      <c r="B1303" s="149">
        <v>793</v>
      </c>
      <c r="C1303" s="84" t="s">
        <v>70</v>
      </c>
      <c r="D1303" s="84" t="s">
        <v>123</v>
      </c>
      <c r="E1303" s="84" t="s">
        <v>450</v>
      </c>
      <c r="F1303" s="84"/>
      <c r="G1303" s="87">
        <f>G1304</f>
        <v>67500</v>
      </c>
      <c r="H1303" s="87">
        <f t="shared" ref="H1303:I1303" si="328">H1304</f>
        <v>67500</v>
      </c>
      <c r="I1303" s="87">
        <f t="shared" si="328"/>
        <v>67500</v>
      </c>
      <c r="J1303" s="177"/>
    </row>
    <row r="1304" spans="1:18" ht="28.5" customHeight="1">
      <c r="A1304" s="82" t="s">
        <v>38</v>
      </c>
      <c r="B1304" s="149">
        <v>793</v>
      </c>
      <c r="C1304" s="84" t="s">
        <v>70</v>
      </c>
      <c r="D1304" s="84" t="s">
        <v>123</v>
      </c>
      <c r="E1304" s="84" t="s">
        <v>450</v>
      </c>
      <c r="F1304" s="84" t="s">
        <v>37</v>
      </c>
      <c r="G1304" s="87">
        <f>G1305</f>
        <v>67500</v>
      </c>
      <c r="H1304" s="87">
        <f t="shared" ref="H1304:I1304" si="329">H1305</f>
        <v>67500</v>
      </c>
      <c r="I1304" s="87">
        <f t="shared" si="329"/>
        <v>67500</v>
      </c>
      <c r="J1304" s="177"/>
    </row>
    <row r="1305" spans="1:18" ht="25.5">
      <c r="A1305" s="82" t="s">
        <v>38</v>
      </c>
      <c r="B1305" s="149">
        <v>793</v>
      </c>
      <c r="C1305" s="84" t="s">
        <v>70</v>
      </c>
      <c r="D1305" s="84" t="s">
        <v>123</v>
      </c>
      <c r="E1305" s="84" t="s">
        <v>450</v>
      </c>
      <c r="F1305" s="84" t="s">
        <v>39</v>
      </c>
      <c r="G1305" s="87">
        <v>67500</v>
      </c>
      <c r="H1305" s="87">
        <v>67500</v>
      </c>
      <c r="I1305" s="87">
        <v>67500</v>
      </c>
      <c r="J1305" s="177"/>
    </row>
    <row r="1306" spans="1:18" ht="38.25" hidden="1" customHeight="1">
      <c r="A1306" s="82" t="s">
        <v>799</v>
      </c>
      <c r="B1306" s="149">
        <v>793</v>
      </c>
      <c r="C1306" s="84" t="s">
        <v>70</v>
      </c>
      <c r="D1306" s="84" t="s">
        <v>123</v>
      </c>
      <c r="E1306" s="84" t="s">
        <v>798</v>
      </c>
      <c r="F1306" s="84"/>
      <c r="G1306" s="87">
        <f>G1307</f>
        <v>0</v>
      </c>
      <c r="H1306" s="87">
        <f t="shared" ref="H1306:I1307" si="330">H1307</f>
        <v>0</v>
      </c>
      <c r="I1306" s="87">
        <f t="shared" si="330"/>
        <v>0</v>
      </c>
      <c r="J1306" s="177"/>
    </row>
    <row r="1307" spans="1:18" ht="28.5" hidden="1" customHeight="1">
      <c r="A1307" s="82" t="s">
        <v>38</v>
      </c>
      <c r="B1307" s="149">
        <v>793</v>
      </c>
      <c r="C1307" s="84" t="s">
        <v>70</v>
      </c>
      <c r="D1307" s="84" t="s">
        <v>123</v>
      </c>
      <c r="E1307" s="84" t="s">
        <v>798</v>
      </c>
      <c r="F1307" s="84" t="s">
        <v>37</v>
      </c>
      <c r="G1307" s="87">
        <f>G1308</f>
        <v>0</v>
      </c>
      <c r="H1307" s="87">
        <f t="shared" si="330"/>
        <v>0</v>
      </c>
      <c r="I1307" s="87">
        <f t="shared" si="330"/>
        <v>0</v>
      </c>
      <c r="J1307" s="177"/>
    </row>
    <row r="1308" spans="1:18" ht="25.5" hidden="1">
      <c r="A1308" s="82" t="s">
        <v>38</v>
      </c>
      <c r="B1308" s="149">
        <v>793</v>
      </c>
      <c r="C1308" s="84" t="s">
        <v>70</v>
      </c>
      <c r="D1308" s="84" t="s">
        <v>123</v>
      </c>
      <c r="E1308" s="84" t="s">
        <v>798</v>
      </c>
      <c r="F1308" s="84" t="s">
        <v>39</v>
      </c>
      <c r="G1308" s="87"/>
      <c r="H1308" s="87"/>
      <c r="I1308" s="87"/>
      <c r="J1308" s="177"/>
    </row>
    <row r="1309" spans="1:18" ht="46.5" hidden="1" customHeight="1">
      <c r="A1309" s="285" t="s">
        <v>497</v>
      </c>
      <c r="B1309" s="149">
        <v>793</v>
      </c>
      <c r="C1309" s="84" t="s">
        <v>70</v>
      </c>
      <c r="D1309" s="84" t="s">
        <v>123</v>
      </c>
      <c r="E1309" s="84" t="s">
        <v>496</v>
      </c>
      <c r="F1309" s="84"/>
      <c r="G1309" s="87">
        <f>G1310</f>
        <v>0</v>
      </c>
      <c r="H1309" s="87">
        <f t="shared" ref="H1309:I1309" si="331">H1310</f>
        <v>0</v>
      </c>
      <c r="I1309" s="87">
        <f t="shared" si="331"/>
        <v>0</v>
      </c>
      <c r="J1309" s="177"/>
    </row>
    <row r="1310" spans="1:18" ht="25.5" hidden="1" customHeight="1">
      <c r="A1310" s="82" t="s">
        <v>323</v>
      </c>
      <c r="B1310" s="149">
        <v>793</v>
      </c>
      <c r="C1310" s="84" t="s">
        <v>70</v>
      </c>
      <c r="D1310" s="84" t="s">
        <v>123</v>
      </c>
      <c r="E1310" s="84" t="s">
        <v>496</v>
      </c>
      <c r="F1310" s="84" t="s">
        <v>37</v>
      </c>
      <c r="G1310" s="87">
        <f>G1311</f>
        <v>0</v>
      </c>
      <c r="H1310" s="87">
        <f t="shared" ref="H1310:I1310" si="332">H1311</f>
        <v>0</v>
      </c>
      <c r="I1310" s="87">
        <f t="shared" si="332"/>
        <v>0</v>
      </c>
      <c r="J1310" s="177"/>
    </row>
    <row r="1311" spans="1:18" ht="25.5" hidden="1" customHeight="1">
      <c r="A1311" s="82" t="s">
        <v>38</v>
      </c>
      <c r="B1311" s="149">
        <v>793</v>
      </c>
      <c r="C1311" s="84" t="s">
        <v>70</v>
      </c>
      <c r="D1311" s="84" t="s">
        <v>123</v>
      </c>
      <c r="E1311" s="84" t="s">
        <v>496</v>
      </c>
      <c r="F1311" s="84" t="s">
        <v>39</v>
      </c>
      <c r="G1311" s="87">
        <v>0</v>
      </c>
      <c r="H1311" s="87"/>
      <c r="I1311" s="87">
        <v>0</v>
      </c>
      <c r="J1311" s="177"/>
    </row>
    <row r="1312" spans="1:18" ht="46.5" hidden="1" customHeight="1">
      <c r="A1312" s="285" t="s">
        <v>499</v>
      </c>
      <c r="B1312" s="149">
        <v>793</v>
      </c>
      <c r="C1312" s="84" t="s">
        <v>70</v>
      </c>
      <c r="D1312" s="84" t="s">
        <v>123</v>
      </c>
      <c r="E1312" s="84" t="s">
        <v>498</v>
      </c>
      <c r="F1312" s="84"/>
      <c r="G1312" s="87">
        <f>G1313</f>
        <v>0</v>
      </c>
      <c r="H1312" s="87">
        <f t="shared" ref="H1312:I1312" si="333">H1313</f>
        <v>0</v>
      </c>
      <c r="I1312" s="87">
        <f t="shared" si="333"/>
        <v>0</v>
      </c>
      <c r="J1312" s="177"/>
    </row>
    <row r="1313" spans="1:18" ht="25.5" hidden="1">
      <c r="A1313" s="82" t="s">
        <v>323</v>
      </c>
      <c r="B1313" s="149">
        <v>793</v>
      </c>
      <c r="C1313" s="84" t="s">
        <v>70</v>
      </c>
      <c r="D1313" s="84" t="s">
        <v>123</v>
      </c>
      <c r="E1313" s="84" t="s">
        <v>498</v>
      </c>
      <c r="F1313" s="84" t="s">
        <v>37</v>
      </c>
      <c r="G1313" s="87">
        <f>G1314</f>
        <v>0</v>
      </c>
      <c r="H1313" s="87">
        <f>H1314</f>
        <v>0</v>
      </c>
      <c r="I1313" s="87">
        <f>I1314</f>
        <v>0</v>
      </c>
      <c r="J1313" s="177"/>
    </row>
    <row r="1314" spans="1:18" ht="25.5" hidden="1">
      <c r="A1314" s="82" t="s">
        <v>38</v>
      </c>
      <c r="B1314" s="149">
        <v>793</v>
      </c>
      <c r="C1314" s="84" t="s">
        <v>70</v>
      </c>
      <c r="D1314" s="84" t="s">
        <v>123</v>
      </c>
      <c r="E1314" s="84" t="s">
        <v>498</v>
      </c>
      <c r="F1314" s="84" t="s">
        <v>39</v>
      </c>
      <c r="G1314" s="87">
        <f>60000-60000</f>
        <v>0</v>
      </c>
      <c r="H1314" s="87">
        <f>90000-90000</f>
        <v>0</v>
      </c>
      <c r="I1314" s="87">
        <v>0</v>
      </c>
      <c r="J1314" s="177"/>
    </row>
    <row r="1315" spans="1:18" ht="30.75" hidden="1" customHeight="1">
      <c r="A1315" s="82" t="s">
        <v>272</v>
      </c>
      <c r="B1315" s="149">
        <v>793</v>
      </c>
      <c r="C1315" s="84" t="s">
        <v>70</v>
      </c>
      <c r="D1315" s="84" t="s">
        <v>123</v>
      </c>
      <c r="E1315" s="84" t="s">
        <v>571</v>
      </c>
      <c r="F1315" s="84"/>
      <c r="G1315" s="87">
        <f>G1316</f>
        <v>0</v>
      </c>
      <c r="H1315" s="87">
        <v>0</v>
      </c>
      <c r="I1315" s="87">
        <v>0</v>
      </c>
      <c r="J1315" s="177"/>
    </row>
    <row r="1316" spans="1:18" ht="30.75" hidden="1" customHeight="1">
      <c r="A1316" s="82" t="s">
        <v>148</v>
      </c>
      <c r="B1316" s="149">
        <v>793</v>
      </c>
      <c r="C1316" s="84" t="s">
        <v>70</v>
      </c>
      <c r="D1316" s="84" t="s">
        <v>123</v>
      </c>
      <c r="E1316" s="84" t="s">
        <v>571</v>
      </c>
      <c r="F1316" s="84" t="s">
        <v>149</v>
      </c>
      <c r="G1316" s="87">
        <f>G1317</f>
        <v>0</v>
      </c>
      <c r="H1316" s="87">
        <v>0</v>
      </c>
      <c r="I1316" s="87">
        <v>0</v>
      </c>
      <c r="J1316" s="177"/>
    </row>
    <row r="1317" spans="1:18" ht="30.75" hidden="1" customHeight="1">
      <c r="A1317" s="82" t="s">
        <v>150</v>
      </c>
      <c r="B1317" s="149">
        <v>793</v>
      </c>
      <c r="C1317" s="84" t="s">
        <v>70</v>
      </c>
      <c r="D1317" s="84" t="s">
        <v>123</v>
      </c>
      <c r="E1317" s="84" t="s">
        <v>571</v>
      </c>
      <c r="F1317" s="84" t="s">
        <v>151</v>
      </c>
      <c r="G1317" s="87"/>
      <c r="H1317" s="87">
        <v>0</v>
      </c>
      <c r="I1317" s="87">
        <v>0</v>
      </c>
      <c r="J1317" s="177"/>
    </row>
    <row r="1318" spans="1:18" ht="25.5">
      <c r="A1318" s="82" t="s">
        <v>169</v>
      </c>
      <c r="B1318" s="149">
        <v>793</v>
      </c>
      <c r="C1318" s="84" t="s">
        <v>70</v>
      </c>
      <c r="D1318" s="84" t="s">
        <v>123</v>
      </c>
      <c r="E1318" s="84" t="s">
        <v>233</v>
      </c>
      <c r="F1318" s="84"/>
      <c r="G1318" s="87">
        <f>G1319</f>
        <v>26000</v>
      </c>
      <c r="H1318" s="87"/>
      <c r="I1318" s="87"/>
      <c r="J1318" s="177"/>
    </row>
    <row r="1319" spans="1:18" ht="25.5">
      <c r="A1319" s="82" t="s">
        <v>169</v>
      </c>
      <c r="B1319" s="149">
        <v>793</v>
      </c>
      <c r="C1319" s="84" t="s">
        <v>70</v>
      </c>
      <c r="D1319" s="84" t="s">
        <v>123</v>
      </c>
      <c r="E1319" s="84" t="s">
        <v>275</v>
      </c>
      <c r="F1319" s="84"/>
      <c r="G1319" s="87">
        <f>G1320</f>
        <v>26000</v>
      </c>
      <c r="H1319" s="87"/>
      <c r="I1319" s="87"/>
      <c r="J1319" s="177"/>
    </row>
    <row r="1320" spans="1:18" ht="25.5">
      <c r="A1320" s="82" t="s">
        <v>323</v>
      </c>
      <c r="B1320" s="149">
        <v>793</v>
      </c>
      <c r="C1320" s="84" t="s">
        <v>70</v>
      </c>
      <c r="D1320" s="84" t="s">
        <v>123</v>
      </c>
      <c r="E1320" s="84" t="s">
        <v>275</v>
      </c>
      <c r="F1320" s="84" t="s">
        <v>37</v>
      </c>
      <c r="G1320" s="87">
        <f>G1321</f>
        <v>26000</v>
      </c>
      <c r="H1320" s="87"/>
      <c r="I1320" s="87"/>
      <c r="J1320" s="177"/>
    </row>
    <row r="1321" spans="1:18" ht="25.5">
      <c r="A1321" s="82" t="s">
        <v>38</v>
      </c>
      <c r="B1321" s="149">
        <v>793</v>
      </c>
      <c r="C1321" s="84" t="s">
        <v>70</v>
      </c>
      <c r="D1321" s="84" t="s">
        <v>123</v>
      </c>
      <c r="E1321" s="84" t="s">
        <v>275</v>
      </c>
      <c r="F1321" s="84" t="s">
        <v>39</v>
      </c>
      <c r="G1321" s="87">
        <v>26000</v>
      </c>
      <c r="H1321" s="87">
        <v>0</v>
      </c>
      <c r="I1321" s="87">
        <v>0</v>
      </c>
      <c r="J1321" s="177"/>
    </row>
    <row r="1322" spans="1:18" ht="38.25" hidden="1" customHeight="1">
      <c r="A1322" s="82" t="s">
        <v>1073</v>
      </c>
      <c r="B1322" s="149">
        <v>793</v>
      </c>
      <c r="C1322" s="84" t="s">
        <v>70</v>
      </c>
      <c r="D1322" s="84" t="s">
        <v>123</v>
      </c>
      <c r="E1322" s="84" t="s">
        <v>1070</v>
      </c>
      <c r="F1322" s="84"/>
      <c r="G1322" s="87">
        <f>G1323</f>
        <v>0</v>
      </c>
      <c r="H1322" s="87">
        <f t="shared" ref="H1322:I1323" si="334">H1323</f>
        <v>0</v>
      </c>
      <c r="I1322" s="87">
        <f t="shared" si="334"/>
        <v>0</v>
      </c>
      <c r="J1322" s="177"/>
    </row>
    <row r="1323" spans="1:18" ht="28.5" hidden="1" customHeight="1">
      <c r="A1323" s="82" t="s">
        <v>38</v>
      </c>
      <c r="B1323" s="149">
        <v>793</v>
      </c>
      <c r="C1323" s="84" t="s">
        <v>70</v>
      </c>
      <c r="D1323" s="84" t="s">
        <v>123</v>
      </c>
      <c r="E1323" s="84" t="s">
        <v>1070</v>
      </c>
      <c r="F1323" s="84" t="s">
        <v>37</v>
      </c>
      <c r="G1323" s="87">
        <f>G1324</f>
        <v>0</v>
      </c>
      <c r="H1323" s="87">
        <f t="shared" si="334"/>
        <v>0</v>
      </c>
      <c r="I1323" s="87">
        <f t="shared" si="334"/>
        <v>0</v>
      </c>
      <c r="J1323" s="177"/>
    </row>
    <row r="1324" spans="1:18" ht="25.5" hidden="1">
      <c r="A1324" s="82" t="s">
        <v>38</v>
      </c>
      <c r="B1324" s="149">
        <v>793</v>
      </c>
      <c r="C1324" s="84" t="s">
        <v>70</v>
      </c>
      <c r="D1324" s="84" t="s">
        <v>123</v>
      </c>
      <c r="E1324" s="84" t="s">
        <v>1070</v>
      </c>
      <c r="F1324" s="84" t="s">
        <v>39</v>
      </c>
      <c r="G1324" s="87"/>
      <c r="H1324" s="87">
        <v>0</v>
      </c>
      <c r="I1324" s="87">
        <v>0</v>
      </c>
      <c r="J1324" s="177"/>
    </row>
    <row r="1325" spans="1:18" s="22" customFormat="1" ht="42" customHeight="1">
      <c r="A1325" s="154" t="s">
        <v>797</v>
      </c>
      <c r="B1325" s="155">
        <v>793</v>
      </c>
      <c r="C1325" s="156" t="s">
        <v>70</v>
      </c>
      <c r="D1325" s="156" t="s">
        <v>69</v>
      </c>
      <c r="E1325" s="156"/>
      <c r="F1325" s="156"/>
      <c r="G1325" s="157">
        <f>G1326+G1352</f>
        <v>5756765.8799999999</v>
      </c>
      <c r="H1325" s="157">
        <f t="shared" ref="H1325:I1325" si="335">H1326</f>
        <v>532500</v>
      </c>
      <c r="I1325" s="157">
        <f t="shared" si="335"/>
        <v>502500</v>
      </c>
      <c r="J1325" s="196"/>
      <c r="K1325" s="207"/>
      <c r="L1325" s="207"/>
      <c r="M1325" s="207"/>
      <c r="N1325" s="207"/>
      <c r="O1325" s="207"/>
      <c r="P1325" s="208"/>
      <c r="Q1325" s="208"/>
      <c r="R1325" s="207"/>
    </row>
    <row r="1326" spans="1:18" s="28" customFormat="1" ht="51">
      <c r="A1326" s="137" t="s">
        <v>485</v>
      </c>
      <c r="B1326" s="149">
        <v>793</v>
      </c>
      <c r="C1326" s="84" t="s">
        <v>70</v>
      </c>
      <c r="D1326" s="84" t="s">
        <v>69</v>
      </c>
      <c r="E1326" s="84" t="s">
        <v>251</v>
      </c>
      <c r="F1326" s="168"/>
      <c r="G1326" s="87">
        <f>G1332+G1327+G1337+G1351+G1343+G1344+G1338</f>
        <v>5658765.8799999999</v>
      </c>
      <c r="H1326" s="87">
        <f>H1332+H1327+H1337+H1351+H1343</f>
        <v>532500</v>
      </c>
      <c r="I1326" s="87">
        <f>I1332+I1327+I1337+I1351+I1343</f>
        <v>502500</v>
      </c>
      <c r="J1326" s="177"/>
      <c r="K1326" s="204"/>
      <c r="L1326" s="204"/>
      <c r="M1326" s="204"/>
      <c r="N1326" s="204"/>
      <c r="O1326" s="204"/>
      <c r="P1326" s="204"/>
      <c r="Q1326" s="204"/>
      <c r="R1326" s="204"/>
    </row>
    <row r="1327" spans="1:18" s="28" customFormat="1" ht="25.5" hidden="1">
      <c r="A1327" s="137" t="s">
        <v>620</v>
      </c>
      <c r="B1327" s="149">
        <v>793</v>
      </c>
      <c r="C1327" s="84" t="s">
        <v>70</v>
      </c>
      <c r="D1327" s="84" t="s">
        <v>69</v>
      </c>
      <c r="E1327" s="84" t="s">
        <v>656</v>
      </c>
      <c r="F1327" s="168"/>
      <c r="G1327" s="87">
        <f>G1330+G1328</f>
        <v>0</v>
      </c>
      <c r="H1327" s="87"/>
      <c r="I1327" s="87"/>
      <c r="J1327" s="177"/>
      <c r="K1327" s="204"/>
      <c r="L1327" s="204"/>
      <c r="M1327" s="204"/>
      <c r="N1327" s="204"/>
      <c r="O1327" s="204"/>
      <c r="P1327" s="204"/>
      <c r="Q1327" s="204"/>
      <c r="R1327" s="204"/>
    </row>
    <row r="1328" spans="1:18" s="28" customFormat="1" hidden="1">
      <c r="A1328" s="82" t="s">
        <v>156</v>
      </c>
      <c r="B1328" s="149">
        <v>793</v>
      </c>
      <c r="C1328" s="84" t="s">
        <v>70</v>
      </c>
      <c r="D1328" s="84" t="s">
        <v>69</v>
      </c>
      <c r="E1328" s="84" t="s">
        <v>656</v>
      </c>
      <c r="F1328" s="84" t="s">
        <v>157</v>
      </c>
      <c r="G1328" s="87">
        <f>G1329</f>
        <v>0</v>
      </c>
      <c r="H1328" s="87"/>
      <c r="I1328" s="87"/>
      <c r="J1328" s="177"/>
      <c r="K1328" s="204"/>
      <c r="L1328" s="204"/>
      <c r="M1328" s="204"/>
      <c r="N1328" s="204"/>
      <c r="O1328" s="204"/>
      <c r="P1328" s="204"/>
      <c r="Q1328" s="204"/>
      <c r="R1328" s="204"/>
    </row>
    <row r="1329" spans="1:18" s="28" customFormat="1" hidden="1">
      <c r="A1329" s="82" t="s">
        <v>170</v>
      </c>
      <c r="B1329" s="149">
        <v>793</v>
      </c>
      <c r="C1329" s="84" t="s">
        <v>70</v>
      </c>
      <c r="D1329" s="84" t="s">
        <v>69</v>
      </c>
      <c r="E1329" s="84" t="s">
        <v>656</v>
      </c>
      <c r="F1329" s="84" t="s">
        <v>171</v>
      </c>
      <c r="G1329" s="87"/>
      <c r="H1329" s="87"/>
      <c r="I1329" s="87"/>
      <c r="J1329" s="177"/>
      <c r="K1329" s="204"/>
      <c r="L1329" s="204"/>
      <c r="M1329" s="204"/>
      <c r="N1329" s="204"/>
      <c r="O1329" s="204"/>
      <c r="P1329" s="204"/>
      <c r="Q1329" s="204"/>
      <c r="R1329" s="204"/>
    </row>
    <row r="1330" spans="1:18" ht="17.25" hidden="1" customHeight="1">
      <c r="A1330" s="82" t="s">
        <v>63</v>
      </c>
      <c r="B1330" s="149">
        <v>793</v>
      </c>
      <c r="C1330" s="84" t="s">
        <v>70</v>
      </c>
      <c r="D1330" s="84" t="s">
        <v>69</v>
      </c>
      <c r="E1330" s="84" t="s">
        <v>619</v>
      </c>
      <c r="F1330" s="84" t="s">
        <v>64</v>
      </c>
      <c r="G1330" s="87">
        <f>G1331</f>
        <v>0</v>
      </c>
      <c r="H1330" s="87">
        <f>H1331</f>
        <v>0</v>
      </c>
      <c r="I1330" s="87">
        <f>I1331</f>
        <v>0</v>
      </c>
      <c r="J1330" s="177"/>
    </row>
    <row r="1331" spans="1:18" ht="13.5" hidden="1" customHeight="1">
      <c r="A1331" s="82" t="s">
        <v>180</v>
      </c>
      <c r="B1331" s="149">
        <v>793</v>
      </c>
      <c r="C1331" s="84" t="s">
        <v>70</v>
      </c>
      <c r="D1331" s="84" t="s">
        <v>69</v>
      </c>
      <c r="E1331" s="84" t="s">
        <v>619</v>
      </c>
      <c r="F1331" s="84" t="s">
        <v>181</v>
      </c>
      <c r="G1331" s="87">
        <f>2715000-2715000</f>
        <v>0</v>
      </c>
      <c r="H1331" s="87"/>
      <c r="I1331" s="87"/>
      <c r="J1331" s="177"/>
    </row>
    <row r="1332" spans="1:18" ht="21" customHeight="1">
      <c r="A1332" s="82" t="s">
        <v>186</v>
      </c>
      <c r="B1332" s="149">
        <v>793</v>
      </c>
      <c r="C1332" s="84" t="s">
        <v>70</v>
      </c>
      <c r="D1332" s="84" t="s">
        <v>69</v>
      </c>
      <c r="E1332" s="84" t="s">
        <v>136</v>
      </c>
      <c r="F1332" s="84"/>
      <c r="G1332" s="87">
        <f t="shared" ref="G1332:I1333" si="336">G1333</f>
        <v>70000</v>
      </c>
      <c r="H1332" s="87">
        <f t="shared" si="336"/>
        <v>100000</v>
      </c>
      <c r="I1332" s="87">
        <f t="shared" si="336"/>
        <v>100000</v>
      </c>
      <c r="J1332" s="177"/>
    </row>
    <row r="1333" spans="1:18" ht="24.75" customHeight="1">
      <c r="A1333" s="82" t="s">
        <v>323</v>
      </c>
      <c r="B1333" s="149">
        <v>793</v>
      </c>
      <c r="C1333" s="84" t="s">
        <v>70</v>
      </c>
      <c r="D1333" s="84" t="s">
        <v>69</v>
      </c>
      <c r="E1333" s="84" t="s">
        <v>136</v>
      </c>
      <c r="F1333" s="84" t="s">
        <v>37</v>
      </c>
      <c r="G1333" s="87">
        <f t="shared" si="336"/>
        <v>70000</v>
      </c>
      <c r="H1333" s="87">
        <f t="shared" si="336"/>
        <v>100000</v>
      </c>
      <c r="I1333" s="87">
        <f t="shared" si="336"/>
        <v>100000</v>
      </c>
      <c r="J1333" s="177"/>
    </row>
    <row r="1334" spans="1:18" ht="25.5">
      <c r="A1334" s="82" t="s">
        <v>38</v>
      </c>
      <c r="B1334" s="149">
        <v>793</v>
      </c>
      <c r="C1334" s="84" t="s">
        <v>70</v>
      </c>
      <c r="D1334" s="84" t="s">
        <v>69</v>
      </c>
      <c r="E1334" s="84" t="s">
        <v>136</v>
      </c>
      <c r="F1334" s="84" t="s">
        <v>39</v>
      </c>
      <c r="G1334" s="87">
        <v>70000</v>
      </c>
      <c r="H1334" s="87">
        <f>70000+30000</f>
        <v>100000</v>
      </c>
      <c r="I1334" s="87">
        <f>70000+30000</f>
        <v>100000</v>
      </c>
      <c r="J1334" s="177"/>
    </row>
    <row r="1335" spans="1:18" s="28" customFormat="1" ht="67.5" customHeight="1">
      <c r="A1335" s="137" t="s">
        <v>334</v>
      </c>
      <c r="B1335" s="149">
        <v>793</v>
      </c>
      <c r="C1335" s="84" t="s">
        <v>70</v>
      </c>
      <c r="D1335" s="84" t="s">
        <v>69</v>
      </c>
      <c r="E1335" s="84" t="s">
        <v>138</v>
      </c>
      <c r="F1335" s="168"/>
      <c r="G1335" s="87">
        <f>G1336</f>
        <v>90489.88</v>
      </c>
      <c r="H1335" s="87">
        <f t="shared" ref="H1335:I1336" si="337">H1336</f>
        <v>30000</v>
      </c>
      <c r="I1335" s="87">
        <f t="shared" si="337"/>
        <v>0</v>
      </c>
      <c r="J1335" s="177"/>
      <c r="K1335" s="204"/>
      <c r="L1335" s="204"/>
      <c r="M1335" s="204"/>
      <c r="N1335" s="204"/>
      <c r="O1335" s="204"/>
      <c r="P1335" s="204"/>
      <c r="Q1335" s="204"/>
      <c r="R1335" s="204"/>
    </row>
    <row r="1336" spans="1:18" s="28" customFormat="1" ht="25.5">
      <c r="A1336" s="82" t="s">
        <v>323</v>
      </c>
      <c r="B1336" s="149">
        <v>793</v>
      </c>
      <c r="C1336" s="84" t="s">
        <v>70</v>
      </c>
      <c r="D1336" s="84" t="s">
        <v>69</v>
      </c>
      <c r="E1336" s="84" t="s">
        <v>138</v>
      </c>
      <c r="F1336" s="84" t="s">
        <v>37</v>
      </c>
      <c r="G1336" s="87">
        <f>G1337</f>
        <v>90489.88</v>
      </c>
      <c r="H1336" s="87">
        <f t="shared" si="337"/>
        <v>30000</v>
      </c>
      <c r="I1336" s="87">
        <f t="shared" si="337"/>
        <v>0</v>
      </c>
      <c r="J1336" s="177"/>
      <c r="K1336" s="204"/>
      <c r="L1336" s="204"/>
      <c r="M1336" s="204"/>
      <c r="N1336" s="204"/>
      <c r="O1336" s="204"/>
      <c r="P1336" s="204"/>
      <c r="Q1336" s="204"/>
      <c r="R1336" s="204"/>
    </row>
    <row r="1337" spans="1:18" s="28" customFormat="1" ht="25.5">
      <c r="A1337" s="82" t="s">
        <v>38</v>
      </c>
      <c r="B1337" s="149">
        <v>793</v>
      </c>
      <c r="C1337" s="84" t="s">
        <v>70</v>
      </c>
      <c r="D1337" s="84" t="s">
        <v>69</v>
      </c>
      <c r="E1337" s="84" t="s">
        <v>138</v>
      </c>
      <c r="F1337" s="84" t="s">
        <v>39</v>
      </c>
      <c r="G1337" s="87">
        <v>90489.88</v>
      </c>
      <c r="H1337" s="94">
        <v>30000</v>
      </c>
      <c r="I1337" s="94">
        <f>30000-30000</f>
        <v>0</v>
      </c>
      <c r="J1337" s="194"/>
      <c r="K1337" s="204"/>
      <c r="L1337" s="204"/>
      <c r="M1337" s="204"/>
      <c r="N1337" s="204"/>
      <c r="O1337" s="204"/>
      <c r="P1337" s="204"/>
      <c r="Q1337" s="204"/>
      <c r="R1337" s="204"/>
    </row>
    <row r="1338" spans="1:18" ht="38.25" hidden="1" customHeight="1">
      <c r="A1338" s="82" t="s">
        <v>1073</v>
      </c>
      <c r="B1338" s="149">
        <v>793</v>
      </c>
      <c r="C1338" s="84" t="s">
        <v>70</v>
      </c>
      <c r="D1338" s="84" t="s">
        <v>123</v>
      </c>
      <c r="E1338" s="84" t="s">
        <v>1070</v>
      </c>
      <c r="F1338" s="84"/>
      <c r="G1338" s="87">
        <f>G1339</f>
        <v>0</v>
      </c>
      <c r="H1338" s="87">
        <f t="shared" ref="H1338:I1339" si="338">H1339</f>
        <v>0</v>
      </c>
      <c r="I1338" s="87">
        <f t="shared" si="338"/>
        <v>0</v>
      </c>
      <c r="J1338" s="177"/>
    </row>
    <row r="1339" spans="1:18" ht="28.5" hidden="1" customHeight="1">
      <c r="A1339" s="82" t="s">
        <v>38</v>
      </c>
      <c r="B1339" s="149">
        <v>793</v>
      </c>
      <c r="C1339" s="84" t="s">
        <v>70</v>
      </c>
      <c r="D1339" s="84" t="s">
        <v>123</v>
      </c>
      <c r="E1339" s="84" t="s">
        <v>1070</v>
      </c>
      <c r="F1339" s="84" t="s">
        <v>37</v>
      </c>
      <c r="G1339" s="87">
        <f>G1340</f>
        <v>0</v>
      </c>
      <c r="H1339" s="87">
        <f t="shared" si="338"/>
        <v>0</v>
      </c>
      <c r="I1339" s="87">
        <f t="shared" si="338"/>
        <v>0</v>
      </c>
      <c r="J1339" s="177"/>
    </row>
    <row r="1340" spans="1:18" ht="25.5" hidden="1">
      <c r="A1340" s="82" t="s">
        <v>38</v>
      </c>
      <c r="B1340" s="149">
        <v>793</v>
      </c>
      <c r="C1340" s="84" t="s">
        <v>70</v>
      </c>
      <c r="D1340" s="84" t="s">
        <v>123</v>
      </c>
      <c r="E1340" s="84" t="s">
        <v>1070</v>
      </c>
      <c r="F1340" s="84" t="s">
        <v>39</v>
      </c>
      <c r="G1340" s="87"/>
      <c r="H1340" s="87">
        <v>0</v>
      </c>
      <c r="I1340" s="87">
        <v>0</v>
      </c>
      <c r="J1340" s="177"/>
    </row>
    <row r="1341" spans="1:18" ht="46.5" customHeight="1">
      <c r="A1341" s="285" t="s">
        <v>788</v>
      </c>
      <c r="B1341" s="149">
        <v>793</v>
      </c>
      <c r="C1341" s="84" t="s">
        <v>70</v>
      </c>
      <c r="D1341" s="84" t="s">
        <v>69</v>
      </c>
      <c r="E1341" s="84" t="s">
        <v>496</v>
      </c>
      <c r="F1341" s="84"/>
      <c r="G1341" s="87">
        <f>G1342</f>
        <v>2978276</v>
      </c>
      <c r="H1341" s="87">
        <f t="shared" ref="H1341:I1341" si="339">H1342</f>
        <v>152500</v>
      </c>
      <c r="I1341" s="87">
        <f t="shared" si="339"/>
        <v>152500</v>
      </c>
      <c r="J1341" s="177"/>
      <c r="K1341" s="177"/>
      <c r="L1341" s="177"/>
      <c r="M1341" s="177"/>
      <c r="N1341" s="177"/>
      <c r="O1341" s="177"/>
    </row>
    <row r="1342" spans="1:18" ht="25.5">
      <c r="A1342" s="82" t="s">
        <v>323</v>
      </c>
      <c r="B1342" s="149">
        <v>793</v>
      </c>
      <c r="C1342" s="84" t="s">
        <v>70</v>
      </c>
      <c r="D1342" s="84" t="s">
        <v>69</v>
      </c>
      <c r="E1342" s="84" t="s">
        <v>496</v>
      </c>
      <c r="F1342" s="84" t="s">
        <v>37</v>
      </c>
      <c r="G1342" s="87">
        <f>G1343</f>
        <v>2978276</v>
      </c>
      <c r="H1342" s="87">
        <f>H1343</f>
        <v>152500</v>
      </c>
      <c r="I1342" s="87">
        <f>I1343</f>
        <v>152500</v>
      </c>
      <c r="J1342" s="177"/>
    </row>
    <row r="1343" spans="1:18" ht="25.5">
      <c r="A1343" s="82" t="s">
        <v>38</v>
      </c>
      <c r="B1343" s="149">
        <v>793</v>
      </c>
      <c r="C1343" s="84" t="s">
        <v>70</v>
      </c>
      <c r="D1343" s="84" t="s">
        <v>69</v>
      </c>
      <c r="E1343" s="84" t="s">
        <v>496</v>
      </c>
      <c r="F1343" s="84" t="s">
        <v>39</v>
      </c>
      <c r="G1343" s="87">
        <f>152500+230000+300000+2267501+28275</f>
        <v>2978276</v>
      </c>
      <c r="H1343" s="87">
        <v>152500</v>
      </c>
      <c r="I1343" s="87">
        <v>152500</v>
      </c>
      <c r="J1343" s="177"/>
    </row>
    <row r="1344" spans="1:18" ht="79.5" customHeight="1">
      <c r="A1344" s="285" t="s">
        <v>1018</v>
      </c>
      <c r="B1344" s="149">
        <v>793</v>
      </c>
      <c r="C1344" s="84" t="s">
        <v>70</v>
      </c>
      <c r="D1344" s="84" t="s">
        <v>69</v>
      </c>
      <c r="E1344" s="84" t="s">
        <v>498</v>
      </c>
      <c r="F1344" s="84"/>
      <c r="G1344" s="87">
        <f>G1345</f>
        <v>2500000</v>
      </c>
      <c r="H1344" s="87">
        <f t="shared" ref="H1344:I1344" si="340">H1345</f>
        <v>0</v>
      </c>
      <c r="I1344" s="87">
        <f t="shared" si="340"/>
        <v>0</v>
      </c>
      <c r="J1344" s="177"/>
      <c r="K1344" s="177"/>
      <c r="L1344" s="177"/>
      <c r="M1344" s="177"/>
      <c r="N1344" s="177"/>
      <c r="O1344" s="177"/>
    </row>
    <row r="1345" spans="1:18" ht="25.5">
      <c r="A1345" s="82" t="s">
        <v>323</v>
      </c>
      <c r="B1345" s="149">
        <v>793</v>
      </c>
      <c r="C1345" s="84" t="s">
        <v>70</v>
      </c>
      <c r="D1345" s="84" t="s">
        <v>69</v>
      </c>
      <c r="E1345" s="84" t="s">
        <v>498</v>
      </c>
      <c r="F1345" s="84" t="s">
        <v>157</v>
      </c>
      <c r="G1345" s="87">
        <f>G1346</f>
        <v>2500000</v>
      </c>
      <c r="H1345" s="87">
        <f>H1346</f>
        <v>0</v>
      </c>
      <c r="I1345" s="87">
        <f>I1346</f>
        <v>0</v>
      </c>
      <c r="J1345" s="177"/>
    </row>
    <row r="1346" spans="1:18" ht="25.5">
      <c r="A1346" s="82" t="s">
        <v>38</v>
      </c>
      <c r="B1346" s="149">
        <v>793</v>
      </c>
      <c r="C1346" s="84" t="s">
        <v>70</v>
      </c>
      <c r="D1346" s="84" t="s">
        <v>69</v>
      </c>
      <c r="E1346" s="84" t="s">
        <v>498</v>
      </c>
      <c r="F1346" s="84" t="s">
        <v>179</v>
      </c>
      <c r="G1346" s="87">
        <v>2500000</v>
      </c>
      <c r="H1346" s="87">
        <v>0</v>
      </c>
      <c r="I1346" s="87">
        <v>0</v>
      </c>
      <c r="J1346" s="177"/>
    </row>
    <row r="1347" spans="1:18" ht="53.25" customHeight="1">
      <c r="A1347" s="285" t="s">
        <v>497</v>
      </c>
      <c r="B1347" s="149">
        <v>793</v>
      </c>
      <c r="C1347" s="84" t="s">
        <v>70</v>
      </c>
      <c r="D1347" s="84" t="s">
        <v>69</v>
      </c>
      <c r="E1347" s="84" t="s">
        <v>252</v>
      </c>
      <c r="F1347" s="84"/>
      <c r="G1347" s="87">
        <f>G1350+G1348</f>
        <v>20000</v>
      </c>
      <c r="H1347" s="87">
        <f t="shared" ref="H1347:I1347" si="341">H1350+H1348</f>
        <v>250000</v>
      </c>
      <c r="I1347" s="87">
        <f t="shared" si="341"/>
        <v>250000</v>
      </c>
      <c r="J1347" s="177"/>
    </row>
    <row r="1348" spans="1:18" ht="25.5" hidden="1">
      <c r="A1348" s="82" t="s">
        <v>323</v>
      </c>
      <c r="B1348" s="149">
        <v>793</v>
      </c>
      <c r="C1348" s="84" t="s">
        <v>70</v>
      </c>
      <c r="D1348" s="84" t="s">
        <v>69</v>
      </c>
      <c r="E1348" s="84" t="s">
        <v>252</v>
      </c>
      <c r="F1348" s="84" t="s">
        <v>37</v>
      </c>
      <c r="G1348" s="87">
        <f>G1349</f>
        <v>0</v>
      </c>
      <c r="H1348" s="87">
        <f>H1349</f>
        <v>0</v>
      </c>
      <c r="I1348" s="87">
        <f>I1349</f>
        <v>0</v>
      </c>
      <c r="J1348" s="177"/>
    </row>
    <row r="1349" spans="1:18" ht="25.5" hidden="1">
      <c r="A1349" s="82" t="s">
        <v>38</v>
      </c>
      <c r="B1349" s="149">
        <v>793</v>
      </c>
      <c r="C1349" s="84" t="s">
        <v>70</v>
      </c>
      <c r="D1349" s="84" t="s">
        <v>69</v>
      </c>
      <c r="E1349" s="84" t="s">
        <v>252</v>
      </c>
      <c r="F1349" s="84" t="s">
        <v>39</v>
      </c>
      <c r="G1349" s="87">
        <f>30000-30000</f>
        <v>0</v>
      </c>
      <c r="H1349" s="87"/>
      <c r="I1349" s="87"/>
      <c r="J1349" s="177"/>
    </row>
    <row r="1350" spans="1:18" ht="17.25" customHeight="1">
      <c r="A1350" s="82" t="s">
        <v>63</v>
      </c>
      <c r="B1350" s="149">
        <v>793</v>
      </c>
      <c r="C1350" s="84" t="s">
        <v>70</v>
      </c>
      <c r="D1350" s="84" t="s">
        <v>69</v>
      </c>
      <c r="E1350" s="84" t="s">
        <v>253</v>
      </c>
      <c r="F1350" s="84" t="s">
        <v>64</v>
      </c>
      <c r="G1350" s="87">
        <f>G1351</f>
        <v>20000</v>
      </c>
      <c r="H1350" s="87">
        <f>H1351</f>
        <v>250000</v>
      </c>
      <c r="I1350" s="87">
        <f>I1351</f>
        <v>250000</v>
      </c>
      <c r="J1350" s="177"/>
    </row>
    <row r="1351" spans="1:18" ht="13.5" customHeight="1">
      <c r="A1351" s="82" t="s">
        <v>180</v>
      </c>
      <c r="B1351" s="149">
        <v>793</v>
      </c>
      <c r="C1351" s="84" t="s">
        <v>70</v>
      </c>
      <c r="D1351" s="84" t="s">
        <v>69</v>
      </c>
      <c r="E1351" s="84" t="s">
        <v>253</v>
      </c>
      <c r="F1351" s="84" t="s">
        <v>181</v>
      </c>
      <c r="G1351" s="87">
        <f>250000-230000</f>
        <v>20000</v>
      </c>
      <c r="H1351" s="87">
        <v>250000</v>
      </c>
      <c r="I1351" s="87">
        <v>250000</v>
      </c>
      <c r="J1351" s="177"/>
    </row>
    <row r="1352" spans="1:18" s="28" customFormat="1" ht="24.75" customHeight="1">
      <c r="A1352" s="139" t="s">
        <v>169</v>
      </c>
      <c r="B1352" s="149">
        <v>793</v>
      </c>
      <c r="C1352" s="84" t="s">
        <v>70</v>
      </c>
      <c r="D1352" s="84" t="s">
        <v>69</v>
      </c>
      <c r="E1352" s="84" t="s">
        <v>233</v>
      </c>
      <c r="F1352" s="168"/>
      <c r="G1352" s="87">
        <f t="shared" ref="G1352:I1356" si="342">G1353</f>
        <v>98000</v>
      </c>
      <c r="H1352" s="87">
        <f t="shared" si="342"/>
        <v>0</v>
      </c>
      <c r="I1352" s="87">
        <f t="shared" si="342"/>
        <v>0</v>
      </c>
      <c r="J1352" s="177"/>
      <c r="K1352" s="204"/>
      <c r="L1352" s="204"/>
      <c r="M1352" s="204"/>
      <c r="N1352" s="204"/>
      <c r="O1352" s="204"/>
      <c r="P1352" s="204"/>
      <c r="Q1352" s="204"/>
      <c r="R1352" s="204"/>
    </row>
    <row r="1353" spans="1:18" ht="25.5">
      <c r="A1353" s="139" t="s">
        <v>169</v>
      </c>
      <c r="B1353" s="149">
        <v>793</v>
      </c>
      <c r="C1353" s="84" t="s">
        <v>70</v>
      </c>
      <c r="D1353" s="84" t="s">
        <v>69</v>
      </c>
      <c r="E1353" s="84" t="s">
        <v>275</v>
      </c>
      <c r="F1353" s="149"/>
      <c r="G1353" s="87">
        <f>G1356+G1354</f>
        <v>98000</v>
      </c>
      <c r="H1353" s="87">
        <f>H1356</f>
        <v>0</v>
      </c>
      <c r="I1353" s="87">
        <f>I1356</f>
        <v>0</v>
      </c>
      <c r="J1353" s="177"/>
    </row>
    <row r="1354" spans="1:18" ht="25.5">
      <c r="A1354" s="82" t="s">
        <v>323</v>
      </c>
      <c r="B1354" s="149">
        <v>793</v>
      </c>
      <c r="C1354" s="84" t="s">
        <v>70</v>
      </c>
      <c r="D1354" s="84" t="s">
        <v>69</v>
      </c>
      <c r="E1354" s="84" t="s">
        <v>275</v>
      </c>
      <c r="F1354" s="84" t="s">
        <v>37</v>
      </c>
      <c r="G1354" s="87">
        <f>G1355</f>
        <v>28000</v>
      </c>
      <c r="H1354" s="87"/>
      <c r="I1354" s="87"/>
      <c r="J1354" s="177"/>
    </row>
    <row r="1355" spans="1:18" ht="25.5">
      <c r="A1355" s="82" t="s">
        <v>38</v>
      </c>
      <c r="B1355" s="149">
        <v>793</v>
      </c>
      <c r="C1355" s="84" t="s">
        <v>70</v>
      </c>
      <c r="D1355" s="84" t="s">
        <v>69</v>
      </c>
      <c r="E1355" s="84" t="s">
        <v>275</v>
      </c>
      <c r="F1355" s="84" t="s">
        <v>39</v>
      </c>
      <c r="G1355" s="87">
        <v>28000</v>
      </c>
      <c r="H1355" s="87"/>
      <c r="I1355" s="87"/>
      <c r="J1355" s="177"/>
    </row>
    <row r="1356" spans="1:18">
      <c r="A1356" s="82" t="s">
        <v>156</v>
      </c>
      <c r="B1356" s="149">
        <v>793</v>
      </c>
      <c r="C1356" s="84" t="s">
        <v>70</v>
      </c>
      <c r="D1356" s="84" t="s">
        <v>69</v>
      </c>
      <c r="E1356" s="84" t="s">
        <v>275</v>
      </c>
      <c r="F1356" s="84" t="s">
        <v>157</v>
      </c>
      <c r="G1356" s="87">
        <f t="shared" si="342"/>
        <v>70000</v>
      </c>
      <c r="H1356" s="87">
        <f t="shared" si="342"/>
        <v>0</v>
      </c>
      <c r="I1356" s="87">
        <f t="shared" si="342"/>
        <v>0</v>
      </c>
      <c r="J1356" s="177"/>
    </row>
    <row r="1357" spans="1:18">
      <c r="A1357" s="82" t="s">
        <v>178</v>
      </c>
      <c r="B1357" s="149">
        <v>793</v>
      </c>
      <c r="C1357" s="84" t="s">
        <v>70</v>
      </c>
      <c r="D1357" s="84" t="s">
        <v>69</v>
      </c>
      <c r="E1357" s="84" t="s">
        <v>275</v>
      </c>
      <c r="F1357" s="84" t="s">
        <v>179</v>
      </c>
      <c r="G1357" s="87">
        <v>70000</v>
      </c>
      <c r="H1357" s="87"/>
      <c r="I1357" s="87"/>
      <c r="J1357" s="177"/>
    </row>
    <row r="1358" spans="1:18" s="22" customFormat="1" ht="25.5">
      <c r="A1358" s="154" t="s">
        <v>335</v>
      </c>
      <c r="B1358" s="155">
        <v>793</v>
      </c>
      <c r="C1358" s="156" t="s">
        <v>70</v>
      </c>
      <c r="D1358" s="156" t="s">
        <v>309</v>
      </c>
      <c r="E1358" s="156"/>
      <c r="F1358" s="156"/>
      <c r="G1358" s="157">
        <f>G1359+G1369+G1373</f>
        <v>347290</v>
      </c>
      <c r="H1358" s="157">
        <f t="shared" ref="H1358:I1358" si="343">H1359+H1369</f>
        <v>238000</v>
      </c>
      <c r="I1358" s="157">
        <f t="shared" si="343"/>
        <v>228000</v>
      </c>
      <c r="J1358" s="196"/>
      <c r="K1358" s="207"/>
      <c r="L1358" s="207"/>
      <c r="M1358" s="207"/>
      <c r="N1358" s="207"/>
      <c r="O1358" s="207"/>
      <c r="P1358" s="207"/>
      <c r="Q1358" s="207"/>
      <c r="R1358" s="207"/>
    </row>
    <row r="1359" spans="1:18" ht="51">
      <c r="A1359" s="82" t="s">
        <v>471</v>
      </c>
      <c r="B1359" s="149">
        <v>793</v>
      </c>
      <c r="C1359" s="84" t="s">
        <v>70</v>
      </c>
      <c r="D1359" s="84" t="s">
        <v>309</v>
      </c>
      <c r="E1359" s="84" t="s">
        <v>254</v>
      </c>
      <c r="F1359" s="84"/>
      <c r="G1359" s="87">
        <f>G1360+G1363+G1366</f>
        <v>186600</v>
      </c>
      <c r="H1359" s="87">
        <f t="shared" ref="H1359:I1359" si="344">H1360+H1363+H1366</f>
        <v>110000</v>
      </c>
      <c r="I1359" s="87">
        <f t="shared" si="344"/>
        <v>105000</v>
      </c>
      <c r="J1359" s="177"/>
    </row>
    <row r="1360" spans="1:18" ht="63.75" customHeight="1">
      <c r="A1360" s="82" t="s">
        <v>519</v>
      </c>
      <c r="B1360" s="149">
        <v>793</v>
      </c>
      <c r="C1360" s="84" t="s">
        <v>70</v>
      </c>
      <c r="D1360" s="84" t="s">
        <v>309</v>
      </c>
      <c r="E1360" s="84" t="s">
        <v>255</v>
      </c>
      <c r="F1360" s="84"/>
      <c r="G1360" s="87">
        <f t="shared" ref="G1360:I1361" si="345">G1361</f>
        <v>166600</v>
      </c>
      <c r="H1360" s="87">
        <f t="shared" si="345"/>
        <v>105000</v>
      </c>
      <c r="I1360" s="87">
        <f t="shared" si="345"/>
        <v>105000</v>
      </c>
      <c r="J1360" s="177"/>
    </row>
    <row r="1361" spans="1:10" ht="25.5">
      <c r="A1361" s="82" t="s">
        <v>456</v>
      </c>
      <c r="B1361" s="149">
        <v>793</v>
      </c>
      <c r="C1361" s="84" t="s">
        <v>70</v>
      </c>
      <c r="D1361" s="84" t="s">
        <v>309</v>
      </c>
      <c r="E1361" s="84" t="s">
        <v>255</v>
      </c>
      <c r="F1361" s="84" t="s">
        <v>37</v>
      </c>
      <c r="G1361" s="87">
        <f t="shared" si="345"/>
        <v>166600</v>
      </c>
      <c r="H1361" s="87">
        <f t="shared" si="345"/>
        <v>105000</v>
      </c>
      <c r="I1361" s="87">
        <f t="shared" si="345"/>
        <v>105000</v>
      </c>
      <c r="J1361" s="177"/>
    </row>
    <row r="1362" spans="1:10" ht="30.75" customHeight="1">
      <c r="A1362" s="82" t="s">
        <v>38</v>
      </c>
      <c r="B1362" s="149">
        <v>793</v>
      </c>
      <c r="C1362" s="84" t="s">
        <v>70</v>
      </c>
      <c r="D1362" s="84" t="s">
        <v>309</v>
      </c>
      <c r="E1362" s="84" t="s">
        <v>255</v>
      </c>
      <c r="F1362" s="84" t="s">
        <v>39</v>
      </c>
      <c r="G1362" s="87">
        <f>100000+66600</f>
        <v>166600</v>
      </c>
      <c r="H1362" s="87">
        <f>100000+5000</f>
        <v>105000</v>
      </c>
      <c r="I1362" s="87">
        <f>100000+5000</f>
        <v>105000</v>
      </c>
      <c r="J1362" s="177"/>
    </row>
    <row r="1363" spans="1:10" ht="51">
      <c r="A1363" s="82" t="s">
        <v>416</v>
      </c>
      <c r="B1363" s="149">
        <v>793</v>
      </c>
      <c r="C1363" s="84" t="s">
        <v>70</v>
      </c>
      <c r="D1363" s="84" t="s">
        <v>309</v>
      </c>
      <c r="E1363" s="84" t="s">
        <v>415</v>
      </c>
      <c r="F1363" s="84"/>
      <c r="G1363" s="87">
        <f>G1364</f>
        <v>20000</v>
      </c>
      <c r="H1363" s="87">
        <f t="shared" ref="H1363:I1363" si="346">H1364</f>
        <v>5000</v>
      </c>
      <c r="I1363" s="87">
        <f t="shared" si="346"/>
        <v>0</v>
      </c>
      <c r="J1363" s="177"/>
    </row>
    <row r="1364" spans="1:10" ht="25.5">
      <c r="A1364" s="82" t="s">
        <v>38</v>
      </c>
      <c r="B1364" s="149">
        <v>793</v>
      </c>
      <c r="C1364" s="84" t="s">
        <v>70</v>
      </c>
      <c r="D1364" s="84" t="s">
        <v>309</v>
      </c>
      <c r="E1364" s="84" t="s">
        <v>415</v>
      </c>
      <c r="F1364" s="84" t="s">
        <v>37</v>
      </c>
      <c r="G1364" s="87">
        <f>G1365</f>
        <v>20000</v>
      </c>
      <c r="H1364" s="87">
        <f t="shared" ref="H1364:I1364" si="347">H1365</f>
        <v>5000</v>
      </c>
      <c r="I1364" s="87">
        <f t="shared" si="347"/>
        <v>0</v>
      </c>
      <c r="J1364" s="177"/>
    </row>
    <row r="1365" spans="1:10" ht="25.5">
      <c r="A1365" s="82" t="s">
        <v>38</v>
      </c>
      <c r="B1365" s="149">
        <v>793</v>
      </c>
      <c r="C1365" s="84" t="s">
        <v>70</v>
      </c>
      <c r="D1365" s="84" t="s">
        <v>309</v>
      </c>
      <c r="E1365" s="84" t="s">
        <v>415</v>
      </c>
      <c r="F1365" s="84" t="s">
        <v>39</v>
      </c>
      <c r="G1365" s="87">
        <v>20000</v>
      </c>
      <c r="H1365" s="85">
        <v>5000</v>
      </c>
      <c r="I1365" s="85">
        <f>5000-5000</f>
        <v>0</v>
      </c>
      <c r="J1365" s="178"/>
    </row>
    <row r="1366" spans="1:10" ht="46.5" hidden="1" customHeight="1">
      <c r="A1366" s="285" t="s">
        <v>499</v>
      </c>
      <c r="B1366" s="149">
        <v>793</v>
      </c>
      <c r="C1366" s="84" t="s">
        <v>70</v>
      </c>
      <c r="D1366" s="84" t="s">
        <v>309</v>
      </c>
      <c r="E1366" s="84" t="s">
        <v>784</v>
      </c>
      <c r="F1366" s="84"/>
      <c r="G1366" s="87">
        <f>G1367</f>
        <v>0</v>
      </c>
      <c r="H1366" s="87">
        <f t="shared" ref="H1366:I1366" si="348">H1367</f>
        <v>0</v>
      </c>
      <c r="I1366" s="87">
        <f t="shared" si="348"/>
        <v>0</v>
      </c>
      <c r="J1366" s="177"/>
    </row>
    <row r="1367" spans="1:10" ht="25.5" hidden="1" customHeight="1">
      <c r="A1367" s="82" t="s">
        <v>323</v>
      </c>
      <c r="B1367" s="149">
        <v>793</v>
      </c>
      <c r="C1367" s="84" t="s">
        <v>70</v>
      </c>
      <c r="D1367" s="84" t="s">
        <v>309</v>
      </c>
      <c r="E1367" s="84" t="s">
        <v>784</v>
      </c>
      <c r="F1367" s="84" t="s">
        <v>37</v>
      </c>
      <c r="G1367" s="87">
        <f>G1368</f>
        <v>0</v>
      </c>
      <c r="H1367" s="87">
        <f>H1368</f>
        <v>0</v>
      </c>
      <c r="I1367" s="87">
        <f>I1368</f>
        <v>0</v>
      </c>
      <c r="J1367" s="177"/>
    </row>
    <row r="1368" spans="1:10" ht="25.5" hidden="1" customHeight="1">
      <c r="A1368" s="82" t="s">
        <v>38</v>
      </c>
      <c r="B1368" s="149">
        <v>793</v>
      </c>
      <c r="C1368" s="84" t="s">
        <v>70</v>
      </c>
      <c r="D1368" s="84" t="s">
        <v>309</v>
      </c>
      <c r="E1368" s="84" t="s">
        <v>784</v>
      </c>
      <c r="F1368" s="84" t="s">
        <v>39</v>
      </c>
      <c r="G1368" s="87"/>
      <c r="H1368" s="87"/>
      <c r="I1368" s="87"/>
      <c r="J1368" s="177"/>
    </row>
    <row r="1369" spans="1:10" ht="38.25">
      <c r="A1369" s="82" t="s">
        <v>483</v>
      </c>
      <c r="B1369" s="149">
        <v>793</v>
      </c>
      <c r="C1369" s="84" t="s">
        <v>70</v>
      </c>
      <c r="D1369" s="84" t="s">
        <v>309</v>
      </c>
      <c r="E1369" s="84" t="s">
        <v>256</v>
      </c>
      <c r="F1369" s="84"/>
      <c r="G1369" s="87">
        <f t="shared" ref="G1369:I1371" si="349">G1370</f>
        <v>123000</v>
      </c>
      <c r="H1369" s="87">
        <f t="shared" si="349"/>
        <v>128000</v>
      </c>
      <c r="I1369" s="87">
        <f t="shared" si="349"/>
        <v>123000</v>
      </c>
      <c r="J1369" s="177"/>
    </row>
    <row r="1370" spans="1:10" ht="38.25">
      <c r="A1370" s="82" t="s">
        <v>336</v>
      </c>
      <c r="B1370" s="149">
        <v>793</v>
      </c>
      <c r="C1370" s="84" t="s">
        <v>70</v>
      </c>
      <c r="D1370" s="84" t="s">
        <v>309</v>
      </c>
      <c r="E1370" s="84" t="s">
        <v>257</v>
      </c>
      <c r="F1370" s="84"/>
      <c r="G1370" s="87">
        <f t="shared" si="349"/>
        <v>123000</v>
      </c>
      <c r="H1370" s="87">
        <f t="shared" si="349"/>
        <v>128000</v>
      </c>
      <c r="I1370" s="87">
        <f t="shared" si="349"/>
        <v>123000</v>
      </c>
      <c r="J1370" s="177"/>
    </row>
    <row r="1371" spans="1:10" ht="25.5">
      <c r="A1371" s="82" t="s">
        <v>456</v>
      </c>
      <c r="B1371" s="149">
        <v>793</v>
      </c>
      <c r="C1371" s="84" t="s">
        <v>70</v>
      </c>
      <c r="D1371" s="84" t="s">
        <v>309</v>
      </c>
      <c r="E1371" s="84" t="s">
        <v>257</v>
      </c>
      <c r="F1371" s="84" t="s">
        <v>37</v>
      </c>
      <c r="G1371" s="87">
        <f t="shared" si="349"/>
        <v>123000</v>
      </c>
      <c r="H1371" s="87">
        <f t="shared" si="349"/>
        <v>128000</v>
      </c>
      <c r="I1371" s="87">
        <f t="shared" si="349"/>
        <v>123000</v>
      </c>
      <c r="J1371" s="177"/>
    </row>
    <row r="1372" spans="1:10" ht="31.5" customHeight="1">
      <c r="A1372" s="82" t="s">
        <v>38</v>
      </c>
      <c r="B1372" s="149">
        <v>793</v>
      </c>
      <c r="C1372" s="84" t="s">
        <v>70</v>
      </c>
      <c r="D1372" s="84" t="s">
        <v>309</v>
      </c>
      <c r="E1372" s="84" t="s">
        <v>257</v>
      </c>
      <c r="F1372" s="84" t="s">
        <v>39</v>
      </c>
      <c r="G1372" s="87">
        <v>123000</v>
      </c>
      <c r="H1372" s="87">
        <v>128000</v>
      </c>
      <c r="I1372" s="87">
        <v>123000</v>
      </c>
      <c r="J1372" s="177"/>
    </row>
    <row r="1373" spans="1:10" ht="28.5" customHeight="1">
      <c r="A1373" s="158" t="s">
        <v>169</v>
      </c>
      <c r="B1373" s="149">
        <v>793</v>
      </c>
      <c r="C1373" s="84" t="s">
        <v>70</v>
      </c>
      <c r="D1373" s="84" t="s">
        <v>309</v>
      </c>
      <c r="E1373" s="84" t="s">
        <v>233</v>
      </c>
      <c r="F1373" s="84"/>
      <c r="G1373" s="87">
        <f>G1374</f>
        <v>37690</v>
      </c>
      <c r="H1373" s="87">
        <f t="shared" ref="H1373:I1373" si="350">H1375</f>
        <v>0</v>
      </c>
      <c r="I1373" s="87">
        <f t="shared" si="350"/>
        <v>0</v>
      </c>
      <c r="J1373" s="177"/>
    </row>
    <row r="1374" spans="1:10" ht="28.5" customHeight="1">
      <c r="A1374" s="139" t="s">
        <v>169</v>
      </c>
      <c r="B1374" s="149">
        <v>793</v>
      </c>
      <c r="C1374" s="84" t="s">
        <v>70</v>
      </c>
      <c r="D1374" s="84" t="s">
        <v>309</v>
      </c>
      <c r="E1374" s="84" t="s">
        <v>275</v>
      </c>
      <c r="F1374" s="84"/>
      <c r="G1374" s="87">
        <f>G1375</f>
        <v>37690</v>
      </c>
      <c r="H1374" s="87"/>
      <c r="I1374" s="87"/>
      <c r="J1374" s="177"/>
    </row>
    <row r="1375" spans="1:10" ht="25.5">
      <c r="A1375" s="82" t="s">
        <v>323</v>
      </c>
      <c r="B1375" s="149">
        <v>793</v>
      </c>
      <c r="C1375" s="84" t="s">
        <v>70</v>
      </c>
      <c r="D1375" s="84" t="s">
        <v>309</v>
      </c>
      <c r="E1375" s="84" t="s">
        <v>275</v>
      </c>
      <c r="F1375" s="84" t="s">
        <v>37</v>
      </c>
      <c r="G1375" s="87">
        <f>G1376</f>
        <v>37690</v>
      </c>
      <c r="H1375" s="87">
        <f>H1376</f>
        <v>0</v>
      </c>
      <c r="I1375" s="87">
        <f>I1376</f>
        <v>0</v>
      </c>
      <c r="J1375" s="177"/>
    </row>
    <row r="1376" spans="1:10" ht="25.5">
      <c r="A1376" s="82" t="s">
        <v>38</v>
      </c>
      <c r="B1376" s="149">
        <v>793</v>
      </c>
      <c r="C1376" s="84" t="s">
        <v>70</v>
      </c>
      <c r="D1376" s="84" t="s">
        <v>309</v>
      </c>
      <c r="E1376" s="84" t="s">
        <v>275</v>
      </c>
      <c r="F1376" s="84" t="s">
        <v>39</v>
      </c>
      <c r="G1376" s="87">
        <v>37690</v>
      </c>
      <c r="H1376" s="87"/>
      <c r="I1376" s="87"/>
      <c r="J1376" s="177"/>
    </row>
    <row r="1377" spans="1:18">
      <c r="A1377" s="268" t="s">
        <v>86</v>
      </c>
      <c r="B1377" s="269">
        <v>793</v>
      </c>
      <c r="C1377" s="270" t="s">
        <v>54</v>
      </c>
      <c r="D1377" s="270"/>
      <c r="E1377" s="270"/>
      <c r="F1377" s="270"/>
      <c r="G1377" s="267">
        <f>G1383+G1443+G1398+G1378</f>
        <v>52760228.289999999</v>
      </c>
      <c r="H1377" s="267">
        <f>H1383+H1443+H1398+H1378</f>
        <v>37763908</v>
      </c>
      <c r="I1377" s="267">
        <f>I1383+I1443+I1398+I1378</f>
        <v>39178801</v>
      </c>
      <c r="J1377" s="191"/>
      <c r="K1377" s="191"/>
      <c r="L1377" s="191"/>
      <c r="M1377" s="191"/>
      <c r="N1377" s="191"/>
      <c r="O1377" s="191"/>
      <c r="P1377" s="209"/>
      <c r="Q1377" s="209"/>
    </row>
    <row r="1378" spans="1:18" hidden="1">
      <c r="A1378" s="278" t="s">
        <v>790</v>
      </c>
      <c r="B1378" s="83">
        <v>793</v>
      </c>
      <c r="C1378" s="147" t="s">
        <v>54</v>
      </c>
      <c r="D1378" s="147" t="s">
        <v>173</v>
      </c>
      <c r="E1378" s="270"/>
      <c r="F1378" s="270"/>
      <c r="G1378" s="93">
        <f>G1380</f>
        <v>0</v>
      </c>
      <c r="H1378" s="93">
        <f t="shared" ref="H1378:I1378" si="351">H1380</f>
        <v>0</v>
      </c>
      <c r="I1378" s="93">
        <f t="shared" si="351"/>
        <v>0</v>
      </c>
      <c r="J1378" s="195"/>
    </row>
    <row r="1379" spans="1:18" ht="30" hidden="1" customHeight="1">
      <c r="A1379" s="139" t="s">
        <v>714</v>
      </c>
      <c r="B1379" s="149">
        <v>793</v>
      </c>
      <c r="C1379" s="84" t="s">
        <v>54</v>
      </c>
      <c r="D1379" s="84" t="s">
        <v>88</v>
      </c>
      <c r="E1379" s="149" t="s">
        <v>242</v>
      </c>
      <c r="F1379" s="149"/>
      <c r="G1379" s="87">
        <f>G1380</f>
        <v>0</v>
      </c>
      <c r="H1379" s="87">
        <f t="shared" ref="H1379:I1379" si="352">H1380</f>
        <v>0</v>
      </c>
      <c r="I1379" s="87">
        <f t="shared" si="352"/>
        <v>0</v>
      </c>
      <c r="J1379" s="177"/>
    </row>
    <row r="1380" spans="1:18" ht="40.5" hidden="1" customHeight="1">
      <c r="A1380" s="82" t="s">
        <v>789</v>
      </c>
      <c r="B1380" s="149">
        <v>793</v>
      </c>
      <c r="C1380" s="84" t="s">
        <v>54</v>
      </c>
      <c r="D1380" s="84" t="s">
        <v>173</v>
      </c>
      <c r="E1380" s="149" t="s">
        <v>642</v>
      </c>
      <c r="F1380" s="149"/>
      <c r="G1380" s="87">
        <f>G1381</f>
        <v>0</v>
      </c>
      <c r="H1380" s="87">
        <f>H1382</f>
        <v>0</v>
      </c>
      <c r="I1380" s="87">
        <f>I1382</f>
        <v>0</v>
      </c>
      <c r="J1380" s="177"/>
    </row>
    <row r="1381" spans="1:18" hidden="1">
      <c r="A1381" s="82" t="s">
        <v>63</v>
      </c>
      <c r="B1381" s="149">
        <v>793</v>
      </c>
      <c r="C1381" s="84" t="s">
        <v>54</v>
      </c>
      <c r="D1381" s="84" t="s">
        <v>173</v>
      </c>
      <c r="E1381" s="149" t="s">
        <v>642</v>
      </c>
      <c r="F1381" s="149">
        <v>800</v>
      </c>
      <c r="G1381" s="87">
        <f t="shared" ref="G1381:I1381" si="353">G1382</f>
        <v>0</v>
      </c>
      <c r="H1381" s="87">
        <f t="shared" si="353"/>
        <v>0</v>
      </c>
      <c r="I1381" s="87">
        <f t="shared" si="353"/>
        <v>0</v>
      </c>
      <c r="J1381" s="177"/>
    </row>
    <row r="1382" spans="1:18" ht="48" hidden="1" customHeight="1">
      <c r="A1382" s="82" t="s">
        <v>432</v>
      </c>
      <c r="B1382" s="149">
        <v>793</v>
      </c>
      <c r="C1382" s="84" t="s">
        <v>54</v>
      </c>
      <c r="D1382" s="84" t="s">
        <v>173</v>
      </c>
      <c r="E1382" s="149" t="s">
        <v>642</v>
      </c>
      <c r="F1382" s="149">
        <v>810</v>
      </c>
      <c r="G1382" s="87"/>
      <c r="H1382" s="85">
        <v>0</v>
      </c>
      <c r="I1382" s="85">
        <v>0</v>
      </c>
      <c r="J1382" s="178"/>
    </row>
    <row r="1383" spans="1:18" s="46" customFormat="1" ht="16.5" customHeight="1">
      <c r="A1383" s="82" t="s">
        <v>342</v>
      </c>
      <c r="B1383" s="149">
        <v>793</v>
      </c>
      <c r="C1383" s="84" t="s">
        <v>54</v>
      </c>
      <c r="D1383" s="84" t="s">
        <v>44</v>
      </c>
      <c r="E1383" s="84"/>
      <c r="F1383" s="84"/>
      <c r="G1383" s="87">
        <f>G1385</f>
        <v>7056128.1399999997</v>
      </c>
      <c r="H1383" s="87">
        <f>H1385</f>
        <v>1929435</v>
      </c>
      <c r="I1383" s="87">
        <f>I1385</f>
        <v>1929435</v>
      </c>
      <c r="J1383" s="177"/>
      <c r="K1383" s="222"/>
      <c r="L1383" s="222"/>
      <c r="M1383" s="222"/>
      <c r="N1383" s="222"/>
      <c r="O1383" s="222"/>
      <c r="P1383" s="222"/>
      <c r="Q1383" s="222"/>
      <c r="R1383" s="222"/>
    </row>
    <row r="1384" spans="1:18" s="18" customFormat="1" ht="27" customHeight="1">
      <c r="A1384" s="82" t="s">
        <v>489</v>
      </c>
      <c r="B1384" s="149">
        <v>793</v>
      </c>
      <c r="C1384" s="84" t="s">
        <v>54</v>
      </c>
      <c r="D1384" s="84" t="s">
        <v>44</v>
      </c>
      <c r="E1384" s="84" t="s">
        <v>234</v>
      </c>
      <c r="F1384" s="84"/>
      <c r="G1384" s="87">
        <f>G1385</f>
        <v>7056128.1399999997</v>
      </c>
      <c r="H1384" s="87">
        <f t="shared" ref="H1384:I1384" si="354">H1385</f>
        <v>1929435</v>
      </c>
      <c r="I1384" s="87">
        <f t="shared" si="354"/>
        <v>1929435</v>
      </c>
      <c r="J1384" s="177"/>
      <c r="K1384" s="200"/>
      <c r="L1384" s="200"/>
      <c r="M1384" s="200"/>
      <c r="N1384" s="200"/>
      <c r="O1384" s="200"/>
      <c r="P1384" s="200"/>
      <c r="Q1384" s="200"/>
      <c r="R1384" s="200"/>
    </row>
    <row r="1385" spans="1:18" s="46" customFormat="1" ht="18" customHeight="1">
      <c r="A1385" s="82" t="s">
        <v>343</v>
      </c>
      <c r="B1385" s="149">
        <v>793</v>
      </c>
      <c r="C1385" s="84" t="s">
        <v>54</v>
      </c>
      <c r="D1385" s="84" t="s">
        <v>44</v>
      </c>
      <c r="E1385" s="84" t="s">
        <v>97</v>
      </c>
      <c r="F1385" s="84"/>
      <c r="G1385" s="87">
        <f>G1386+G1389+G1392+G1395</f>
        <v>7056128.1399999997</v>
      </c>
      <c r="H1385" s="87">
        <f t="shared" ref="H1385:I1385" si="355">H1386</f>
        <v>1929435</v>
      </c>
      <c r="I1385" s="87">
        <f t="shared" si="355"/>
        <v>1929435</v>
      </c>
      <c r="J1385" s="177"/>
      <c r="K1385" s="222"/>
      <c r="L1385" s="222"/>
      <c r="M1385" s="222"/>
      <c r="N1385" s="222"/>
      <c r="O1385" s="222"/>
      <c r="P1385" s="222"/>
      <c r="Q1385" s="222"/>
      <c r="R1385" s="222"/>
    </row>
    <row r="1386" spans="1:18" s="46" customFormat="1" ht="26.25" customHeight="1">
      <c r="A1386" s="82" t="s">
        <v>338</v>
      </c>
      <c r="B1386" s="149">
        <v>793</v>
      </c>
      <c r="C1386" s="84" t="s">
        <v>54</v>
      </c>
      <c r="D1386" s="84" t="s">
        <v>44</v>
      </c>
      <c r="E1386" s="84" t="s">
        <v>337</v>
      </c>
      <c r="F1386" s="84"/>
      <c r="G1386" s="87">
        <f t="shared" ref="G1386:I1393" si="356">G1387</f>
        <v>1719320.76</v>
      </c>
      <c r="H1386" s="87">
        <f t="shared" si="356"/>
        <v>1929435</v>
      </c>
      <c r="I1386" s="87">
        <f t="shared" si="356"/>
        <v>1929435</v>
      </c>
      <c r="J1386" s="177"/>
      <c r="K1386" s="222"/>
      <c r="L1386" s="222"/>
      <c r="M1386" s="222"/>
      <c r="N1386" s="222"/>
      <c r="O1386" s="222"/>
      <c r="P1386" s="222"/>
      <c r="Q1386" s="222"/>
      <c r="R1386" s="222"/>
    </row>
    <row r="1387" spans="1:18" s="46" customFormat="1" ht="27.75" customHeight="1">
      <c r="A1387" s="82" t="s">
        <v>456</v>
      </c>
      <c r="B1387" s="149">
        <v>793</v>
      </c>
      <c r="C1387" s="84" t="s">
        <v>54</v>
      </c>
      <c r="D1387" s="84" t="s">
        <v>44</v>
      </c>
      <c r="E1387" s="84" t="s">
        <v>337</v>
      </c>
      <c r="F1387" s="84" t="s">
        <v>37</v>
      </c>
      <c r="G1387" s="87">
        <f t="shared" si="356"/>
        <v>1719320.76</v>
      </c>
      <c r="H1387" s="87">
        <f t="shared" si="356"/>
        <v>1929435</v>
      </c>
      <c r="I1387" s="87">
        <f t="shared" si="356"/>
        <v>1929435</v>
      </c>
      <c r="J1387" s="177"/>
      <c r="K1387" s="222"/>
      <c r="L1387" s="222"/>
      <c r="M1387" s="222"/>
      <c r="N1387" s="222"/>
      <c r="O1387" s="222"/>
      <c r="P1387" s="222"/>
      <c r="Q1387" s="222"/>
      <c r="R1387" s="222"/>
    </row>
    <row r="1388" spans="1:18" s="46" customFormat="1" ht="31.5" customHeight="1">
      <c r="A1388" s="82" t="s">
        <v>38</v>
      </c>
      <c r="B1388" s="149">
        <v>793</v>
      </c>
      <c r="C1388" s="84" t="s">
        <v>54</v>
      </c>
      <c r="D1388" s="84" t="s">
        <v>44</v>
      </c>
      <c r="E1388" s="84" t="s">
        <v>337</v>
      </c>
      <c r="F1388" s="84" t="s">
        <v>39</v>
      </c>
      <c r="G1388" s="87">
        <f>1929435-1067361.47+857247.23</f>
        <v>1719320.76</v>
      </c>
      <c r="H1388" s="87">
        <v>1929435</v>
      </c>
      <c r="I1388" s="87">
        <v>1929435</v>
      </c>
      <c r="J1388" s="177"/>
      <c r="K1388" s="222"/>
      <c r="L1388" s="222"/>
      <c r="M1388" s="222"/>
      <c r="N1388" s="222"/>
      <c r="O1388" s="222"/>
      <c r="P1388" s="222"/>
      <c r="Q1388" s="222"/>
      <c r="R1388" s="222"/>
    </row>
    <row r="1389" spans="1:18" s="46" customFormat="1" ht="75" hidden="1" customHeight="1">
      <c r="A1389" s="82" t="s">
        <v>708</v>
      </c>
      <c r="B1389" s="149">
        <v>793</v>
      </c>
      <c r="C1389" s="84" t="s">
        <v>54</v>
      </c>
      <c r="D1389" s="84" t="s">
        <v>44</v>
      </c>
      <c r="E1389" s="84" t="s">
        <v>707</v>
      </c>
      <c r="F1389" s="84"/>
      <c r="G1389" s="87">
        <f t="shared" si="356"/>
        <v>0</v>
      </c>
      <c r="H1389" s="87">
        <f t="shared" si="356"/>
        <v>0</v>
      </c>
      <c r="I1389" s="87">
        <f t="shared" si="356"/>
        <v>0</v>
      </c>
      <c r="J1389" s="177"/>
      <c r="K1389" s="222"/>
      <c r="L1389" s="222"/>
      <c r="M1389" s="222"/>
      <c r="N1389" s="222"/>
      <c r="O1389" s="222"/>
      <c r="P1389" s="222"/>
      <c r="Q1389" s="222"/>
      <c r="R1389" s="222"/>
    </row>
    <row r="1390" spans="1:18" s="46" customFormat="1" ht="27.75" hidden="1" customHeight="1">
      <c r="A1390" s="82" t="s">
        <v>456</v>
      </c>
      <c r="B1390" s="149">
        <v>793</v>
      </c>
      <c r="C1390" s="84" t="s">
        <v>54</v>
      </c>
      <c r="D1390" s="84" t="s">
        <v>44</v>
      </c>
      <c r="E1390" s="84" t="s">
        <v>707</v>
      </c>
      <c r="F1390" s="84" t="s">
        <v>64</v>
      </c>
      <c r="G1390" s="87">
        <f t="shared" si="356"/>
        <v>0</v>
      </c>
      <c r="H1390" s="87">
        <f t="shared" si="356"/>
        <v>0</v>
      </c>
      <c r="I1390" s="87">
        <f t="shared" si="356"/>
        <v>0</v>
      </c>
      <c r="J1390" s="177"/>
      <c r="K1390" s="222"/>
      <c r="L1390" s="222"/>
      <c r="M1390" s="222"/>
      <c r="N1390" s="222"/>
      <c r="O1390" s="222"/>
      <c r="P1390" s="222"/>
      <c r="Q1390" s="222"/>
      <c r="R1390" s="222"/>
    </row>
    <row r="1391" spans="1:18" s="46" customFormat="1" ht="31.5" hidden="1" customHeight="1">
      <c r="A1391" s="82" t="s">
        <v>38</v>
      </c>
      <c r="B1391" s="149">
        <v>793</v>
      </c>
      <c r="C1391" s="84" t="s">
        <v>54</v>
      </c>
      <c r="D1391" s="84" t="s">
        <v>44</v>
      </c>
      <c r="E1391" s="84" t="s">
        <v>707</v>
      </c>
      <c r="F1391" s="84" t="s">
        <v>341</v>
      </c>
      <c r="G1391" s="87"/>
      <c r="H1391" s="87"/>
      <c r="I1391" s="87"/>
      <c r="J1391" s="177"/>
      <c r="K1391" s="222"/>
      <c r="L1391" s="222"/>
      <c r="M1391" s="222"/>
      <c r="N1391" s="222"/>
      <c r="O1391" s="222"/>
      <c r="P1391" s="222"/>
      <c r="Q1391" s="222"/>
      <c r="R1391" s="222"/>
    </row>
    <row r="1392" spans="1:18" s="46" customFormat="1" ht="75" hidden="1" customHeight="1">
      <c r="A1392" s="82" t="s">
        <v>783</v>
      </c>
      <c r="B1392" s="149">
        <v>793</v>
      </c>
      <c r="C1392" s="84" t="s">
        <v>54</v>
      </c>
      <c r="D1392" s="84" t="s">
        <v>44</v>
      </c>
      <c r="E1392" s="84" t="s">
        <v>782</v>
      </c>
      <c r="F1392" s="84"/>
      <c r="G1392" s="87">
        <f t="shared" si="356"/>
        <v>0</v>
      </c>
      <c r="H1392" s="87">
        <f t="shared" si="356"/>
        <v>0</v>
      </c>
      <c r="I1392" s="87">
        <f t="shared" si="356"/>
        <v>0</v>
      </c>
      <c r="J1392" s="177"/>
      <c r="K1392" s="222"/>
      <c r="L1392" s="222"/>
      <c r="M1392" s="222"/>
      <c r="N1392" s="222"/>
      <c r="O1392" s="222"/>
      <c r="P1392" s="222"/>
      <c r="Q1392" s="222"/>
      <c r="R1392" s="222"/>
    </row>
    <row r="1393" spans="1:18" s="46" customFormat="1" ht="27.75" hidden="1" customHeight="1">
      <c r="A1393" s="82" t="s">
        <v>456</v>
      </c>
      <c r="B1393" s="149">
        <v>793</v>
      </c>
      <c r="C1393" s="84" t="s">
        <v>54</v>
      </c>
      <c r="D1393" s="84" t="s">
        <v>44</v>
      </c>
      <c r="E1393" s="84" t="s">
        <v>782</v>
      </c>
      <c r="F1393" s="84" t="s">
        <v>37</v>
      </c>
      <c r="G1393" s="87">
        <f t="shared" si="356"/>
        <v>0</v>
      </c>
      <c r="H1393" s="87">
        <f t="shared" si="356"/>
        <v>0</v>
      </c>
      <c r="I1393" s="87">
        <f t="shared" si="356"/>
        <v>0</v>
      </c>
      <c r="J1393" s="177"/>
      <c r="K1393" s="222"/>
      <c r="L1393" s="222"/>
      <c r="M1393" s="222"/>
      <c r="N1393" s="222"/>
      <c r="O1393" s="222"/>
      <c r="P1393" s="222"/>
      <c r="Q1393" s="222"/>
      <c r="R1393" s="222"/>
    </row>
    <row r="1394" spans="1:18" s="46" customFormat="1" ht="31.5" hidden="1" customHeight="1">
      <c r="A1394" s="82" t="s">
        <v>38</v>
      </c>
      <c r="B1394" s="149">
        <v>793</v>
      </c>
      <c r="C1394" s="84" t="s">
        <v>54</v>
      </c>
      <c r="D1394" s="84" t="s">
        <v>44</v>
      </c>
      <c r="E1394" s="84" t="s">
        <v>782</v>
      </c>
      <c r="F1394" s="84" t="s">
        <v>39</v>
      </c>
      <c r="G1394" s="87"/>
      <c r="H1394" s="87"/>
      <c r="I1394" s="87"/>
      <c r="J1394" s="177"/>
      <c r="K1394" s="222"/>
      <c r="L1394" s="222"/>
      <c r="M1394" s="222"/>
      <c r="N1394" s="222"/>
      <c r="O1394" s="222"/>
      <c r="P1394" s="222"/>
      <c r="Q1394" s="222"/>
      <c r="R1394" s="222"/>
    </row>
    <row r="1395" spans="1:18" s="46" customFormat="1" ht="42" customHeight="1">
      <c r="A1395" s="82" t="s">
        <v>1061</v>
      </c>
      <c r="B1395" s="149">
        <v>793</v>
      </c>
      <c r="C1395" s="84" t="s">
        <v>54</v>
      </c>
      <c r="D1395" s="84" t="s">
        <v>44</v>
      </c>
      <c r="E1395" s="84" t="s">
        <v>1062</v>
      </c>
      <c r="F1395" s="84"/>
      <c r="G1395" s="87">
        <f>G1396</f>
        <v>5336807.38</v>
      </c>
      <c r="H1395" s="87"/>
      <c r="I1395" s="87"/>
      <c r="J1395" s="177"/>
      <c r="K1395" s="222"/>
      <c r="L1395" s="222"/>
      <c r="M1395" s="222"/>
      <c r="N1395" s="222"/>
      <c r="O1395" s="222"/>
      <c r="P1395" s="222"/>
      <c r="Q1395" s="222"/>
      <c r="R1395" s="222"/>
    </row>
    <row r="1396" spans="1:18" s="46" customFormat="1" ht="31.5" customHeight="1">
      <c r="A1396" s="82" t="s">
        <v>456</v>
      </c>
      <c r="B1396" s="149">
        <v>793</v>
      </c>
      <c r="C1396" s="84" t="s">
        <v>54</v>
      </c>
      <c r="D1396" s="84" t="s">
        <v>44</v>
      </c>
      <c r="E1396" s="84" t="s">
        <v>1062</v>
      </c>
      <c r="F1396" s="84" t="s">
        <v>37</v>
      </c>
      <c r="G1396" s="87">
        <f>G1397</f>
        <v>5336807.38</v>
      </c>
      <c r="H1396" s="87"/>
      <c r="I1396" s="87"/>
      <c r="J1396" s="177"/>
      <c r="K1396" s="222"/>
      <c r="L1396" s="222"/>
      <c r="M1396" s="222"/>
      <c r="N1396" s="222"/>
      <c r="O1396" s="222"/>
      <c r="P1396" s="222"/>
      <c r="Q1396" s="222"/>
      <c r="R1396" s="222"/>
    </row>
    <row r="1397" spans="1:18" s="46" customFormat="1" ht="31.5" customHeight="1">
      <c r="A1397" s="82" t="s">
        <v>38</v>
      </c>
      <c r="B1397" s="149">
        <v>793</v>
      </c>
      <c r="C1397" s="84" t="s">
        <v>54</v>
      </c>
      <c r="D1397" s="84" t="s">
        <v>44</v>
      </c>
      <c r="E1397" s="84" t="s">
        <v>1062</v>
      </c>
      <c r="F1397" s="84" t="s">
        <v>39</v>
      </c>
      <c r="G1397" s="87">
        <v>5336807.38</v>
      </c>
      <c r="H1397" s="87"/>
      <c r="I1397" s="87"/>
      <c r="J1397" s="177"/>
      <c r="K1397" s="222"/>
      <c r="L1397" s="222"/>
      <c r="M1397" s="222"/>
      <c r="N1397" s="222"/>
      <c r="O1397" s="222"/>
      <c r="P1397" s="222"/>
      <c r="Q1397" s="222"/>
      <c r="R1397" s="222"/>
    </row>
    <row r="1398" spans="1:18" ht="19.5" customHeight="1">
      <c r="A1398" s="82" t="s">
        <v>172</v>
      </c>
      <c r="B1398" s="149">
        <v>793</v>
      </c>
      <c r="C1398" s="84" t="s">
        <v>54</v>
      </c>
      <c r="D1398" s="84" t="s">
        <v>123</v>
      </c>
      <c r="E1398" s="84"/>
      <c r="F1398" s="84"/>
      <c r="G1398" s="70">
        <f>G1431+G1399+G1435</f>
        <v>44096617.710000001</v>
      </c>
      <c r="H1398" s="87">
        <f>H1431+H1399+H1435</f>
        <v>34849551</v>
      </c>
      <c r="I1398" s="87">
        <f>I1431+I1399+I1435</f>
        <v>36266998</v>
      </c>
      <c r="J1398" s="177"/>
    </row>
    <row r="1399" spans="1:18" s="18" customFormat="1" ht="27" customHeight="1">
      <c r="A1399" s="82" t="s">
        <v>489</v>
      </c>
      <c r="B1399" s="149">
        <v>793</v>
      </c>
      <c r="C1399" s="84" t="s">
        <v>54</v>
      </c>
      <c r="D1399" s="84" t="s">
        <v>123</v>
      </c>
      <c r="E1399" s="84" t="s">
        <v>234</v>
      </c>
      <c r="F1399" s="84"/>
      <c r="G1399" s="87">
        <f>G1400+G1417+G1413+G1427+G1423</f>
        <v>43324617.710000001</v>
      </c>
      <c r="H1399" s="87">
        <f>H1400+H1417</f>
        <v>34786551</v>
      </c>
      <c r="I1399" s="87">
        <f>I1400+I1417</f>
        <v>36203998</v>
      </c>
      <c r="J1399" s="177"/>
      <c r="K1399" s="177"/>
      <c r="L1399" s="177"/>
      <c r="M1399" s="177"/>
      <c r="N1399" s="177"/>
      <c r="O1399" s="177"/>
      <c r="P1399" s="200"/>
      <c r="Q1399" s="215"/>
      <c r="R1399" s="200"/>
    </row>
    <row r="1400" spans="1:18" s="18" customFormat="1" ht="86.25" customHeight="1">
      <c r="A1400" s="82" t="s">
        <v>904</v>
      </c>
      <c r="B1400" s="149">
        <v>793</v>
      </c>
      <c r="C1400" s="84" t="s">
        <v>54</v>
      </c>
      <c r="D1400" s="84" t="s">
        <v>123</v>
      </c>
      <c r="E1400" s="84" t="s">
        <v>101</v>
      </c>
      <c r="F1400" s="84"/>
      <c r="G1400" s="87">
        <f>G1401+G1409+G1404+G1410</f>
        <v>28645069.710000001</v>
      </c>
      <c r="H1400" s="87">
        <f t="shared" ref="H1400:I1400" si="357">H1401</f>
        <v>28468393</v>
      </c>
      <c r="I1400" s="87">
        <f t="shared" si="357"/>
        <v>29744261</v>
      </c>
      <c r="J1400" s="177"/>
      <c r="K1400" s="200"/>
      <c r="L1400" s="200"/>
      <c r="M1400" s="200"/>
      <c r="N1400" s="200"/>
      <c r="O1400" s="200"/>
      <c r="P1400" s="200"/>
      <c r="Q1400" s="200"/>
      <c r="R1400" s="200"/>
    </row>
    <row r="1401" spans="1:18" s="18" customFormat="1" ht="76.5" customHeight="1">
      <c r="A1401" s="133" t="s">
        <v>1030</v>
      </c>
      <c r="B1401" s="149">
        <v>793</v>
      </c>
      <c r="C1401" s="84" t="s">
        <v>54</v>
      </c>
      <c r="D1401" s="84" t="s">
        <v>123</v>
      </c>
      <c r="E1401" s="84" t="s">
        <v>908</v>
      </c>
      <c r="F1401" s="84"/>
      <c r="G1401" s="87">
        <f t="shared" ref="G1401:I1408" si="358">G1402</f>
        <v>26096069.710000001</v>
      </c>
      <c r="H1401" s="87">
        <f t="shared" si="358"/>
        <v>28468393</v>
      </c>
      <c r="I1401" s="87">
        <f t="shared" si="358"/>
        <v>29744261</v>
      </c>
      <c r="J1401" s="177"/>
      <c r="K1401" s="200"/>
      <c r="L1401" s="200"/>
      <c r="M1401" s="200"/>
      <c r="N1401" s="200"/>
      <c r="O1401" s="200"/>
      <c r="P1401" s="200"/>
      <c r="Q1401" s="200"/>
      <c r="R1401" s="200"/>
    </row>
    <row r="1402" spans="1:18" s="18" customFormat="1" ht="15" customHeight="1">
      <c r="A1402" s="82" t="s">
        <v>323</v>
      </c>
      <c r="B1402" s="149">
        <v>793</v>
      </c>
      <c r="C1402" s="84" t="s">
        <v>54</v>
      </c>
      <c r="D1402" s="84" t="s">
        <v>123</v>
      </c>
      <c r="E1402" s="84" t="s">
        <v>908</v>
      </c>
      <c r="F1402" s="84" t="s">
        <v>37</v>
      </c>
      <c r="G1402" s="87">
        <f t="shared" si="358"/>
        <v>26096069.710000001</v>
      </c>
      <c r="H1402" s="87">
        <f t="shared" si="358"/>
        <v>28468393</v>
      </c>
      <c r="I1402" s="87">
        <f t="shared" si="358"/>
        <v>29744261</v>
      </c>
      <c r="J1402" s="177"/>
      <c r="K1402" s="200"/>
      <c r="L1402" s="200"/>
      <c r="M1402" s="200"/>
      <c r="N1402" s="200"/>
      <c r="O1402" s="200"/>
      <c r="P1402" s="200"/>
      <c r="Q1402" s="200"/>
      <c r="R1402" s="200"/>
    </row>
    <row r="1403" spans="1:18" s="18" customFormat="1" ht="32.25" customHeight="1">
      <c r="A1403" s="82" t="s">
        <v>38</v>
      </c>
      <c r="B1403" s="149">
        <v>793</v>
      </c>
      <c r="C1403" s="84" t="s">
        <v>54</v>
      </c>
      <c r="D1403" s="84" t="s">
        <v>123</v>
      </c>
      <c r="E1403" s="84" t="s">
        <v>908</v>
      </c>
      <c r="F1403" s="84" t="s">
        <v>39</v>
      </c>
      <c r="G1403" s="87">
        <f>25132443.71+350000+613626</f>
        <v>26096069.710000001</v>
      </c>
      <c r="H1403" s="87">
        <f>28784301-315908</f>
        <v>28468393</v>
      </c>
      <c r="I1403" s="87">
        <f>30067248-322987</f>
        <v>29744261</v>
      </c>
      <c r="J1403" s="177"/>
      <c r="K1403" s="200"/>
      <c r="L1403" s="200"/>
      <c r="M1403" s="200"/>
      <c r="N1403" s="200"/>
      <c r="O1403" s="200"/>
      <c r="P1403" s="200"/>
      <c r="Q1403" s="200"/>
      <c r="R1403" s="200"/>
    </row>
    <row r="1404" spans="1:18" s="18" customFormat="1" ht="42.6" customHeight="1">
      <c r="A1404" s="133" t="s">
        <v>1033</v>
      </c>
      <c r="B1404" s="149">
        <v>793</v>
      </c>
      <c r="C1404" s="84" t="s">
        <v>54</v>
      </c>
      <c r="D1404" s="84" t="s">
        <v>123</v>
      </c>
      <c r="E1404" s="84" t="s">
        <v>1031</v>
      </c>
      <c r="F1404" s="84"/>
      <c r="G1404" s="87">
        <f>G1405</f>
        <v>49000</v>
      </c>
      <c r="H1404" s="87"/>
      <c r="I1404" s="87"/>
      <c r="J1404" s="177"/>
      <c r="K1404" s="200"/>
      <c r="L1404" s="200"/>
      <c r="M1404" s="200"/>
      <c r="N1404" s="200"/>
      <c r="O1404" s="200"/>
      <c r="P1404" s="200"/>
      <c r="Q1404" s="200"/>
      <c r="R1404" s="200"/>
    </row>
    <row r="1405" spans="1:18" s="18" customFormat="1" ht="40.5" customHeight="1">
      <c r="A1405" s="82" t="s">
        <v>38</v>
      </c>
      <c r="B1405" s="149">
        <v>793</v>
      </c>
      <c r="C1405" s="84" t="s">
        <v>54</v>
      </c>
      <c r="D1405" s="84" t="s">
        <v>123</v>
      </c>
      <c r="E1405" s="84" t="s">
        <v>1031</v>
      </c>
      <c r="F1405" s="84" t="s">
        <v>39</v>
      </c>
      <c r="G1405" s="87">
        <v>49000</v>
      </c>
      <c r="H1405" s="87"/>
      <c r="I1405" s="87"/>
      <c r="J1405" s="177"/>
      <c r="K1405" s="200"/>
      <c r="L1405" s="200"/>
      <c r="M1405" s="200"/>
      <c r="N1405" s="200"/>
      <c r="O1405" s="200"/>
      <c r="P1405" s="200"/>
      <c r="Q1405" s="200"/>
      <c r="R1405" s="200"/>
    </row>
    <row r="1406" spans="1:18" s="18" customFormat="1" ht="38.450000000000003" hidden="1" customHeight="1">
      <c r="A1406" s="82"/>
      <c r="B1406" s="149"/>
      <c r="C1406" s="84"/>
      <c r="D1406" s="84"/>
      <c r="E1406" s="84"/>
      <c r="F1406" s="84"/>
      <c r="G1406" s="87"/>
      <c r="H1406" s="87"/>
      <c r="I1406" s="87"/>
      <c r="J1406" s="177"/>
      <c r="K1406" s="200"/>
      <c r="L1406" s="200"/>
      <c r="M1406" s="200"/>
      <c r="N1406" s="200"/>
      <c r="O1406" s="200"/>
      <c r="P1406" s="200"/>
      <c r="Q1406" s="200"/>
      <c r="R1406" s="200"/>
    </row>
    <row r="1407" spans="1:18" s="18" customFormat="1" ht="76.5" hidden="1" customHeight="1">
      <c r="A1407" s="133" t="s">
        <v>1029</v>
      </c>
      <c r="B1407" s="149">
        <v>793</v>
      </c>
      <c r="C1407" s="84" t="s">
        <v>54</v>
      </c>
      <c r="D1407" s="84" t="s">
        <v>123</v>
      </c>
      <c r="E1407" s="84" t="s">
        <v>1015</v>
      </c>
      <c r="F1407" s="84"/>
      <c r="G1407" s="87">
        <f t="shared" si="358"/>
        <v>0</v>
      </c>
      <c r="H1407" s="87">
        <f t="shared" si="358"/>
        <v>0</v>
      </c>
      <c r="I1407" s="87">
        <f t="shared" si="358"/>
        <v>0</v>
      </c>
      <c r="J1407" s="177"/>
      <c r="K1407" s="200"/>
      <c r="L1407" s="200"/>
      <c r="M1407" s="200"/>
      <c r="N1407" s="200"/>
      <c r="O1407" s="200"/>
      <c r="P1407" s="200"/>
      <c r="Q1407" s="200"/>
      <c r="R1407" s="200"/>
    </row>
    <row r="1408" spans="1:18" s="18" customFormat="1" ht="15" hidden="1" customHeight="1">
      <c r="A1408" s="82" t="s">
        <v>323</v>
      </c>
      <c r="B1408" s="149">
        <v>793</v>
      </c>
      <c r="C1408" s="84" t="s">
        <v>54</v>
      </c>
      <c r="D1408" s="84" t="s">
        <v>123</v>
      </c>
      <c r="E1408" s="84" t="s">
        <v>1015</v>
      </c>
      <c r="F1408" s="84" t="s">
        <v>37</v>
      </c>
      <c r="G1408" s="87">
        <f t="shared" si="358"/>
        <v>0</v>
      </c>
      <c r="H1408" s="87">
        <f t="shared" si="358"/>
        <v>0</v>
      </c>
      <c r="I1408" s="87">
        <f t="shared" si="358"/>
        <v>0</v>
      </c>
      <c r="J1408" s="177"/>
      <c r="K1408" s="200"/>
      <c r="L1408" s="200"/>
      <c r="M1408" s="200"/>
      <c r="N1408" s="200"/>
      <c r="O1408" s="200"/>
      <c r="P1408" s="200"/>
      <c r="Q1408" s="200"/>
      <c r="R1408" s="200"/>
    </row>
    <row r="1409" spans="1:18" s="18" customFormat="1" ht="32.25" hidden="1" customHeight="1">
      <c r="A1409" s="82" t="s">
        <v>38</v>
      </c>
      <c r="B1409" s="149">
        <v>793</v>
      </c>
      <c r="C1409" s="84" t="s">
        <v>54</v>
      </c>
      <c r="D1409" s="84" t="s">
        <v>123</v>
      </c>
      <c r="E1409" s="84" t="s">
        <v>1015</v>
      </c>
      <c r="F1409" s="84" t="s">
        <v>39</v>
      </c>
      <c r="G1409" s="87"/>
      <c r="H1409" s="87"/>
      <c r="I1409" s="87"/>
      <c r="J1409" s="177"/>
      <c r="K1409" s="200"/>
      <c r="L1409" s="200"/>
      <c r="M1409" s="200"/>
      <c r="N1409" s="200"/>
      <c r="O1409" s="200"/>
      <c r="P1409" s="200"/>
      <c r="Q1409" s="200"/>
      <c r="R1409" s="200"/>
    </row>
    <row r="1410" spans="1:18" s="311" customFormat="1" ht="46.5" customHeight="1">
      <c r="A1410" s="82" t="s">
        <v>1103</v>
      </c>
      <c r="B1410" s="149">
        <v>793</v>
      </c>
      <c r="C1410" s="84" t="s">
        <v>54</v>
      </c>
      <c r="D1410" s="84" t="s">
        <v>123</v>
      </c>
      <c r="E1410" s="84" t="s">
        <v>1105</v>
      </c>
      <c r="F1410" s="84"/>
      <c r="G1410" s="87">
        <f>G1411</f>
        <v>2500000</v>
      </c>
      <c r="H1410" s="87"/>
      <c r="I1410" s="87"/>
      <c r="J1410" s="177"/>
      <c r="K1410" s="200"/>
      <c r="L1410" s="200"/>
      <c r="M1410" s="200"/>
      <c r="N1410" s="200"/>
      <c r="O1410" s="200"/>
      <c r="P1410" s="200"/>
      <c r="Q1410" s="200"/>
      <c r="R1410" s="200"/>
    </row>
    <row r="1411" spans="1:18" s="311" customFormat="1" ht="27.75" customHeight="1">
      <c r="A1411" s="82" t="s">
        <v>323</v>
      </c>
      <c r="B1411" s="149">
        <v>793</v>
      </c>
      <c r="C1411" s="84" t="s">
        <v>54</v>
      </c>
      <c r="D1411" s="84" t="s">
        <v>123</v>
      </c>
      <c r="E1411" s="84" t="s">
        <v>1105</v>
      </c>
      <c r="F1411" s="84" t="s">
        <v>37</v>
      </c>
      <c r="G1411" s="87">
        <f>G1412</f>
        <v>2500000</v>
      </c>
      <c r="H1411" s="87">
        <f>H1412</f>
        <v>0</v>
      </c>
      <c r="I1411" s="87">
        <f>I1412</f>
        <v>0</v>
      </c>
      <c r="J1411" s="177"/>
      <c r="K1411" s="200"/>
      <c r="L1411" s="200"/>
      <c r="M1411" s="200"/>
      <c r="N1411" s="200"/>
      <c r="O1411" s="200"/>
      <c r="P1411" s="200"/>
      <c r="Q1411" s="200"/>
      <c r="R1411" s="200"/>
    </row>
    <row r="1412" spans="1:18" s="311" customFormat="1" ht="31.5" customHeight="1">
      <c r="A1412" s="82" t="s">
        <v>38</v>
      </c>
      <c r="B1412" s="149">
        <v>793</v>
      </c>
      <c r="C1412" s="84" t="s">
        <v>54</v>
      </c>
      <c r="D1412" s="84" t="s">
        <v>123</v>
      </c>
      <c r="E1412" s="84" t="s">
        <v>1105</v>
      </c>
      <c r="F1412" s="84" t="s">
        <v>39</v>
      </c>
      <c r="G1412" s="87">
        <v>2500000</v>
      </c>
      <c r="H1412" s="87">
        <v>0</v>
      </c>
      <c r="I1412" s="87">
        <v>0</v>
      </c>
      <c r="J1412" s="177"/>
      <c r="K1412" s="200"/>
      <c r="L1412" s="200"/>
      <c r="M1412" s="200"/>
      <c r="N1412" s="200"/>
      <c r="O1412" s="200"/>
      <c r="P1412" s="200"/>
      <c r="Q1412" s="200"/>
      <c r="R1412" s="200"/>
    </row>
    <row r="1413" spans="1:18" s="18" customFormat="1" ht="95.25" customHeight="1">
      <c r="A1413" s="82" t="s">
        <v>994</v>
      </c>
      <c r="B1413" s="149">
        <v>793</v>
      </c>
      <c r="C1413" s="84" t="s">
        <v>54</v>
      </c>
      <c r="D1413" s="84" t="s">
        <v>123</v>
      </c>
      <c r="E1413" s="84" t="s">
        <v>995</v>
      </c>
      <c r="F1413" s="84"/>
      <c r="G1413" s="87">
        <f>G1414</f>
        <v>0</v>
      </c>
      <c r="H1413" s="87">
        <f t="shared" ref="G1413:I1414" si="359">H1414</f>
        <v>0</v>
      </c>
      <c r="I1413" s="87">
        <f t="shared" si="359"/>
        <v>0</v>
      </c>
      <c r="J1413" s="177"/>
      <c r="K1413" s="200"/>
      <c r="L1413" s="200"/>
      <c r="M1413" s="200"/>
      <c r="N1413" s="200"/>
      <c r="O1413" s="200"/>
      <c r="P1413" s="200"/>
      <c r="Q1413" s="200"/>
      <c r="R1413" s="200"/>
    </row>
    <row r="1414" spans="1:18" s="18" customFormat="1" ht="95.25" customHeight="1">
      <c r="A1414" s="82" t="s">
        <v>967</v>
      </c>
      <c r="B1414" s="149">
        <v>793</v>
      </c>
      <c r="C1414" s="84" t="s">
        <v>54</v>
      </c>
      <c r="D1414" s="84" t="s">
        <v>123</v>
      </c>
      <c r="E1414" s="84" t="s">
        <v>993</v>
      </c>
      <c r="F1414" s="84"/>
      <c r="G1414" s="87">
        <f t="shared" si="359"/>
        <v>0</v>
      </c>
      <c r="H1414" s="87">
        <f t="shared" si="359"/>
        <v>0</v>
      </c>
      <c r="I1414" s="87">
        <f t="shared" si="359"/>
        <v>0</v>
      </c>
      <c r="J1414" s="177"/>
      <c r="K1414" s="200"/>
      <c r="L1414" s="200"/>
      <c r="M1414" s="200"/>
      <c r="N1414" s="200"/>
      <c r="O1414" s="200"/>
      <c r="P1414" s="200"/>
      <c r="Q1414" s="200"/>
      <c r="R1414" s="200"/>
    </row>
    <row r="1415" spans="1:18" s="18" customFormat="1" ht="27.75" customHeight="1">
      <c r="A1415" s="82" t="s">
        <v>96</v>
      </c>
      <c r="B1415" s="149">
        <v>793</v>
      </c>
      <c r="C1415" s="84" t="s">
        <v>54</v>
      </c>
      <c r="D1415" s="84" t="s">
        <v>123</v>
      </c>
      <c r="E1415" s="84" t="s">
        <v>993</v>
      </c>
      <c r="F1415" s="84" t="s">
        <v>348</v>
      </c>
      <c r="G1415" s="87">
        <f>G1416</f>
        <v>0</v>
      </c>
      <c r="H1415" s="87">
        <f t="shared" ref="H1415:I1415" si="360">H1416</f>
        <v>0</v>
      </c>
      <c r="I1415" s="87">
        <f t="shared" si="360"/>
        <v>0</v>
      </c>
      <c r="J1415" s="177"/>
      <c r="K1415" s="200"/>
      <c r="L1415" s="200"/>
      <c r="M1415" s="200"/>
      <c r="N1415" s="200"/>
      <c r="O1415" s="200"/>
      <c r="P1415" s="200"/>
      <c r="Q1415" s="200"/>
      <c r="R1415" s="200"/>
    </row>
    <row r="1416" spans="1:18" s="18" customFormat="1" ht="15" customHeight="1">
      <c r="A1416" s="82" t="s">
        <v>349</v>
      </c>
      <c r="B1416" s="149">
        <v>793</v>
      </c>
      <c r="C1416" s="84" t="s">
        <v>54</v>
      </c>
      <c r="D1416" s="84" t="s">
        <v>123</v>
      </c>
      <c r="E1416" s="84" t="s">
        <v>993</v>
      </c>
      <c r="F1416" s="84" t="s">
        <v>350</v>
      </c>
      <c r="G1416" s="87">
        <f>4563626-350000-2500000-1713626</f>
        <v>0</v>
      </c>
      <c r="H1416" s="87">
        <v>0</v>
      </c>
      <c r="I1416" s="87">
        <v>0</v>
      </c>
      <c r="J1416" s="177"/>
      <c r="K1416" s="200"/>
      <c r="L1416" s="200"/>
      <c r="M1416" s="200"/>
      <c r="N1416" s="200"/>
      <c r="O1416" s="200"/>
      <c r="P1416" s="200"/>
      <c r="Q1416" s="200"/>
      <c r="R1416" s="200"/>
    </row>
    <row r="1417" spans="1:18" s="18" customFormat="1" ht="70.5" customHeight="1">
      <c r="A1417" s="82" t="s">
        <v>907</v>
      </c>
      <c r="B1417" s="149">
        <v>793</v>
      </c>
      <c r="C1417" s="84" t="s">
        <v>54</v>
      </c>
      <c r="D1417" s="84" t="s">
        <v>123</v>
      </c>
      <c r="E1417" s="84" t="s">
        <v>105</v>
      </c>
      <c r="F1417" s="84"/>
      <c r="G1417" s="87">
        <f>G1418</f>
        <v>6178948</v>
      </c>
      <c r="H1417" s="87">
        <f t="shared" ref="H1417:I1417" si="361">H1418</f>
        <v>6318158</v>
      </c>
      <c r="I1417" s="87">
        <f t="shared" si="361"/>
        <v>6459737</v>
      </c>
      <c r="J1417" s="177"/>
      <c r="K1417" s="200"/>
      <c r="L1417" s="200"/>
      <c r="M1417" s="200"/>
      <c r="N1417" s="200"/>
      <c r="O1417" s="200"/>
      <c r="P1417" s="200"/>
      <c r="Q1417" s="200"/>
      <c r="R1417" s="200"/>
    </row>
    <row r="1418" spans="1:18" s="18" customFormat="1" ht="104.25" customHeight="1">
      <c r="A1418" s="142" t="s">
        <v>905</v>
      </c>
      <c r="B1418" s="149">
        <v>793</v>
      </c>
      <c r="C1418" s="84" t="s">
        <v>54</v>
      </c>
      <c r="D1418" s="84" t="s">
        <v>123</v>
      </c>
      <c r="E1418" s="84" t="s">
        <v>906</v>
      </c>
      <c r="F1418" s="84"/>
      <c r="G1418" s="87">
        <f>G1419+G1421</f>
        <v>6178948</v>
      </c>
      <c r="H1418" s="87">
        <f t="shared" ref="H1418:I1418" si="362">H1419+H1421</f>
        <v>6318158</v>
      </c>
      <c r="I1418" s="87">
        <f t="shared" si="362"/>
        <v>6459737</v>
      </c>
      <c r="J1418" s="177"/>
      <c r="K1418" s="200"/>
      <c r="L1418" s="200"/>
      <c r="M1418" s="200"/>
      <c r="N1418" s="200"/>
      <c r="O1418" s="200"/>
      <c r="P1418" s="200"/>
      <c r="Q1418" s="200"/>
      <c r="R1418" s="200"/>
    </row>
    <row r="1419" spans="1:18" s="18" customFormat="1" ht="24.75" customHeight="1">
      <c r="A1419" s="82" t="s">
        <v>323</v>
      </c>
      <c r="B1419" s="149">
        <v>793</v>
      </c>
      <c r="C1419" s="84" t="s">
        <v>54</v>
      </c>
      <c r="D1419" s="84" t="s">
        <v>123</v>
      </c>
      <c r="E1419" s="84" t="s">
        <v>906</v>
      </c>
      <c r="F1419" s="84" t="s">
        <v>37</v>
      </c>
      <c r="G1419" s="87">
        <f t="shared" ref="G1419:I1419" si="363">G1420</f>
        <v>6178948</v>
      </c>
      <c r="H1419" s="87">
        <f t="shared" si="363"/>
        <v>6318158</v>
      </c>
      <c r="I1419" s="87">
        <f t="shared" si="363"/>
        <v>6459737</v>
      </c>
      <c r="J1419" s="177"/>
      <c r="K1419" s="200"/>
      <c r="L1419" s="200"/>
      <c r="M1419" s="200"/>
      <c r="N1419" s="200"/>
      <c r="O1419" s="200"/>
      <c r="P1419" s="200"/>
      <c r="Q1419" s="200"/>
      <c r="R1419" s="200"/>
    </row>
    <row r="1420" spans="1:18" s="18" customFormat="1" ht="30.75" customHeight="1">
      <c r="A1420" s="82" t="s">
        <v>38</v>
      </c>
      <c r="B1420" s="149">
        <v>793</v>
      </c>
      <c r="C1420" s="84" t="s">
        <v>54</v>
      </c>
      <c r="D1420" s="84" t="s">
        <v>123</v>
      </c>
      <c r="E1420" s="84" t="s">
        <v>906</v>
      </c>
      <c r="F1420" s="84" t="s">
        <v>39</v>
      </c>
      <c r="G1420" s="87">
        <f>5870000+308948</f>
        <v>6178948</v>
      </c>
      <c r="H1420" s="87">
        <f>6002250+315908</f>
        <v>6318158</v>
      </c>
      <c r="I1420" s="87">
        <f>6136750+322987</f>
        <v>6459737</v>
      </c>
      <c r="J1420" s="177"/>
      <c r="K1420" s="200"/>
      <c r="L1420" s="200"/>
      <c r="M1420" s="200"/>
      <c r="N1420" s="200"/>
      <c r="O1420" s="200"/>
      <c r="P1420" s="200"/>
      <c r="Q1420" s="200"/>
      <c r="R1420" s="200"/>
    </row>
    <row r="1421" spans="1:18" s="90" customFormat="1" ht="22.5" hidden="1" customHeight="1">
      <c r="A1421" s="82" t="s">
        <v>156</v>
      </c>
      <c r="B1421" s="149">
        <v>793</v>
      </c>
      <c r="C1421" s="84" t="s">
        <v>54</v>
      </c>
      <c r="D1421" s="84" t="s">
        <v>123</v>
      </c>
      <c r="E1421" s="84" t="s">
        <v>623</v>
      </c>
      <c r="F1421" s="84" t="s">
        <v>157</v>
      </c>
      <c r="G1421" s="87">
        <f>G1422</f>
        <v>0</v>
      </c>
      <c r="H1421" s="87">
        <f t="shared" ref="H1421:I1421" si="364">H1422</f>
        <v>0</v>
      </c>
      <c r="I1421" s="87">
        <f t="shared" si="364"/>
        <v>0</v>
      </c>
      <c r="J1421" s="177"/>
      <c r="K1421" s="186"/>
      <c r="L1421" s="186"/>
      <c r="M1421" s="186"/>
      <c r="N1421" s="186"/>
      <c r="O1421" s="186"/>
      <c r="P1421" s="186"/>
      <c r="Q1421" s="186"/>
      <c r="R1421" s="186"/>
    </row>
    <row r="1422" spans="1:18" s="90" customFormat="1" ht="16.5" hidden="1" customHeight="1">
      <c r="A1422" s="82" t="s">
        <v>178</v>
      </c>
      <c r="B1422" s="149">
        <v>793</v>
      </c>
      <c r="C1422" s="84" t="s">
        <v>54</v>
      </c>
      <c r="D1422" s="84" t="s">
        <v>123</v>
      </c>
      <c r="E1422" s="84" t="s">
        <v>623</v>
      </c>
      <c r="F1422" s="84" t="s">
        <v>179</v>
      </c>
      <c r="G1422" s="87"/>
      <c r="H1422" s="127"/>
      <c r="I1422" s="127"/>
      <c r="J1422" s="198"/>
      <c r="K1422" s="186"/>
      <c r="L1422" s="186"/>
      <c r="M1422" s="186"/>
      <c r="N1422" s="186"/>
      <c r="O1422" s="186"/>
      <c r="P1422" s="186"/>
      <c r="Q1422" s="186"/>
      <c r="R1422" s="186"/>
    </row>
    <row r="1423" spans="1:18" s="90" customFormat="1" ht="64.900000000000006" customHeight="1">
      <c r="A1423" s="82" t="s">
        <v>1023</v>
      </c>
      <c r="B1423" s="149">
        <v>793</v>
      </c>
      <c r="C1423" s="84" t="s">
        <v>54</v>
      </c>
      <c r="D1423" s="84" t="s">
        <v>123</v>
      </c>
      <c r="E1423" s="84" t="s">
        <v>1140</v>
      </c>
      <c r="F1423" s="84"/>
      <c r="G1423" s="87">
        <f>G1424</f>
        <v>6800600</v>
      </c>
      <c r="H1423" s="127"/>
      <c r="I1423" s="127"/>
      <c r="J1423" s="198"/>
      <c r="K1423" s="186"/>
      <c r="L1423" s="186"/>
      <c r="M1423" s="186"/>
      <c r="N1423" s="186"/>
      <c r="O1423" s="186"/>
      <c r="P1423" s="186"/>
      <c r="Q1423" s="186"/>
      <c r="R1423" s="186"/>
    </row>
    <row r="1424" spans="1:18" s="90" customFormat="1" ht="31.5" customHeight="1">
      <c r="A1424" s="82" t="s">
        <v>1024</v>
      </c>
      <c r="B1424" s="149">
        <v>793</v>
      </c>
      <c r="C1424" s="84" t="s">
        <v>54</v>
      </c>
      <c r="D1424" s="84" t="s">
        <v>123</v>
      </c>
      <c r="E1424" s="84" t="s">
        <v>1141</v>
      </c>
      <c r="F1424" s="84"/>
      <c r="G1424" s="87">
        <f>G1425</f>
        <v>6800600</v>
      </c>
      <c r="H1424" s="127"/>
      <c r="I1424" s="127"/>
      <c r="J1424" s="198"/>
      <c r="K1424" s="186"/>
      <c r="L1424" s="186"/>
      <c r="M1424" s="186"/>
      <c r="N1424" s="186"/>
      <c r="O1424" s="186"/>
      <c r="P1424" s="186"/>
      <c r="Q1424" s="186"/>
      <c r="R1424" s="186"/>
    </row>
    <row r="1425" spans="1:18" s="90" customFormat="1" ht="25.5" customHeight="1">
      <c r="A1425" s="82" t="s">
        <v>323</v>
      </c>
      <c r="B1425" s="149">
        <v>793</v>
      </c>
      <c r="C1425" s="84" t="s">
        <v>54</v>
      </c>
      <c r="D1425" s="84" t="s">
        <v>123</v>
      </c>
      <c r="E1425" s="84" t="s">
        <v>1141</v>
      </c>
      <c r="F1425" s="84" t="s">
        <v>37</v>
      </c>
      <c r="G1425" s="87">
        <f>G1426</f>
        <v>6800600</v>
      </c>
      <c r="H1425" s="127"/>
      <c r="I1425" s="127"/>
      <c r="J1425" s="198"/>
      <c r="K1425" s="186"/>
      <c r="L1425" s="186"/>
      <c r="M1425" s="186"/>
      <c r="N1425" s="186"/>
      <c r="O1425" s="186"/>
      <c r="P1425" s="186"/>
      <c r="Q1425" s="186"/>
      <c r="R1425" s="186"/>
    </row>
    <row r="1426" spans="1:18" s="90" customFormat="1" ht="33.75" customHeight="1">
      <c r="A1426" s="82" t="s">
        <v>38</v>
      </c>
      <c r="B1426" s="149">
        <v>793</v>
      </c>
      <c r="C1426" s="84" t="s">
        <v>54</v>
      </c>
      <c r="D1426" s="84" t="s">
        <v>123</v>
      </c>
      <c r="E1426" s="84" t="s">
        <v>1141</v>
      </c>
      <c r="F1426" s="84" t="s">
        <v>39</v>
      </c>
      <c r="G1426" s="87">
        <f>4200600+1100000+1500000</f>
        <v>6800600</v>
      </c>
      <c r="H1426" s="127"/>
      <c r="I1426" s="127"/>
      <c r="J1426" s="198"/>
      <c r="K1426" s="186"/>
      <c r="L1426" s="186"/>
      <c r="M1426" s="186"/>
      <c r="N1426" s="186"/>
      <c r="O1426" s="186"/>
      <c r="P1426" s="186"/>
      <c r="Q1426" s="186"/>
      <c r="R1426" s="186"/>
    </row>
    <row r="1427" spans="1:18" s="90" customFormat="1" ht="31.9" customHeight="1">
      <c r="A1427" s="82" t="s">
        <v>1034</v>
      </c>
      <c r="B1427" s="149">
        <v>793</v>
      </c>
      <c r="C1427" s="84" t="s">
        <v>54</v>
      </c>
      <c r="D1427" s="84" t="s">
        <v>123</v>
      </c>
      <c r="E1427" s="84" t="s">
        <v>1142</v>
      </c>
      <c r="F1427" s="84"/>
      <c r="G1427" s="87">
        <f>G1428</f>
        <v>1700000</v>
      </c>
      <c r="H1427" s="127"/>
      <c r="I1427" s="127"/>
      <c r="J1427" s="198"/>
      <c r="K1427" s="186"/>
      <c r="L1427" s="186"/>
      <c r="M1427" s="186"/>
      <c r="N1427" s="186"/>
      <c r="O1427" s="186"/>
      <c r="P1427" s="186"/>
      <c r="Q1427" s="186"/>
      <c r="R1427" s="186"/>
    </row>
    <row r="1428" spans="1:18" s="90" customFormat="1" ht="32.450000000000003" customHeight="1">
      <c r="A1428" s="82" t="s">
        <v>1022</v>
      </c>
      <c r="B1428" s="149">
        <v>793</v>
      </c>
      <c r="C1428" s="84" t="s">
        <v>54</v>
      </c>
      <c r="D1428" s="84" t="s">
        <v>123</v>
      </c>
      <c r="E1428" s="84" t="s">
        <v>1143</v>
      </c>
      <c r="F1428" s="84"/>
      <c r="G1428" s="87">
        <f>G1429</f>
        <v>1700000</v>
      </c>
      <c r="H1428" s="127"/>
      <c r="I1428" s="127"/>
      <c r="J1428" s="198"/>
      <c r="K1428" s="186"/>
      <c r="L1428" s="186"/>
      <c r="M1428" s="186"/>
      <c r="N1428" s="186"/>
      <c r="O1428" s="186"/>
      <c r="P1428" s="186"/>
      <c r="Q1428" s="186"/>
      <c r="R1428" s="186"/>
    </row>
    <row r="1429" spans="1:18" s="90" customFormat="1" ht="32.450000000000003" customHeight="1">
      <c r="A1429" s="82" t="s">
        <v>323</v>
      </c>
      <c r="B1429" s="149">
        <v>793</v>
      </c>
      <c r="C1429" s="84" t="s">
        <v>54</v>
      </c>
      <c r="D1429" s="84" t="s">
        <v>123</v>
      </c>
      <c r="E1429" s="84" t="s">
        <v>1143</v>
      </c>
      <c r="F1429" s="84" t="s">
        <v>37</v>
      </c>
      <c r="G1429" s="87">
        <f>G1430</f>
        <v>1700000</v>
      </c>
      <c r="H1429" s="127"/>
      <c r="I1429" s="127"/>
      <c r="J1429" s="198"/>
      <c r="K1429" s="186"/>
      <c r="L1429" s="186"/>
      <c r="M1429" s="186"/>
      <c r="N1429" s="186"/>
      <c r="O1429" s="186"/>
      <c r="P1429" s="186"/>
      <c r="Q1429" s="186"/>
      <c r="R1429" s="186"/>
    </row>
    <row r="1430" spans="1:18" s="90" customFormat="1" ht="26.45" customHeight="1">
      <c r="A1430" s="82" t="s">
        <v>38</v>
      </c>
      <c r="B1430" s="149">
        <v>793</v>
      </c>
      <c r="C1430" s="84" t="s">
        <v>54</v>
      </c>
      <c r="D1430" s="84" t="s">
        <v>123</v>
      </c>
      <c r="E1430" s="84" t="s">
        <v>1143</v>
      </c>
      <c r="F1430" s="84" t="s">
        <v>39</v>
      </c>
      <c r="G1430" s="87">
        <v>1700000</v>
      </c>
      <c r="H1430" s="127"/>
      <c r="I1430" s="127"/>
      <c r="J1430" s="198"/>
      <c r="K1430" s="186"/>
      <c r="L1430" s="186"/>
      <c r="M1430" s="186"/>
      <c r="N1430" s="186"/>
      <c r="O1430" s="186"/>
      <c r="P1430" s="186"/>
      <c r="Q1430" s="186"/>
      <c r="R1430" s="186"/>
    </row>
    <row r="1431" spans="1:18" ht="47.25" customHeight="1">
      <c r="A1431" s="82" t="s">
        <v>459</v>
      </c>
      <c r="B1431" s="149">
        <v>793</v>
      </c>
      <c r="C1431" s="84" t="s">
        <v>54</v>
      </c>
      <c r="D1431" s="84" t="s">
        <v>123</v>
      </c>
      <c r="E1431" s="84" t="s">
        <v>458</v>
      </c>
      <c r="F1431" s="84"/>
      <c r="G1431" s="87">
        <f>G1432</f>
        <v>22000</v>
      </c>
      <c r="H1431" s="87">
        <f t="shared" ref="H1431:I1431" si="365">H1432</f>
        <v>63000</v>
      </c>
      <c r="I1431" s="87">
        <f t="shared" si="365"/>
        <v>63000</v>
      </c>
      <c r="J1431" s="177"/>
    </row>
    <row r="1432" spans="1:18" ht="33.75" customHeight="1">
      <c r="A1432" s="82" t="s">
        <v>457</v>
      </c>
      <c r="B1432" s="149">
        <v>793</v>
      </c>
      <c r="C1432" s="84" t="s">
        <v>54</v>
      </c>
      <c r="D1432" s="84" t="s">
        <v>123</v>
      </c>
      <c r="E1432" s="84" t="s">
        <v>455</v>
      </c>
      <c r="F1432" s="84"/>
      <c r="G1432" s="87">
        <f>G1433</f>
        <v>22000</v>
      </c>
      <c r="H1432" s="87">
        <f t="shared" ref="H1432:I1432" si="366">H1433</f>
        <v>63000</v>
      </c>
      <c r="I1432" s="87">
        <f t="shared" si="366"/>
        <v>63000</v>
      </c>
      <c r="J1432" s="177"/>
    </row>
    <row r="1433" spans="1:18" ht="30.75" customHeight="1">
      <c r="A1433" s="82" t="s">
        <v>456</v>
      </c>
      <c r="B1433" s="149">
        <v>793</v>
      </c>
      <c r="C1433" s="84" t="s">
        <v>54</v>
      </c>
      <c r="D1433" s="84" t="s">
        <v>123</v>
      </c>
      <c r="E1433" s="84" t="s">
        <v>455</v>
      </c>
      <c r="F1433" s="84" t="s">
        <v>37</v>
      </c>
      <c r="G1433" s="87">
        <f>G1434</f>
        <v>22000</v>
      </c>
      <c r="H1433" s="87">
        <f t="shared" ref="H1433:I1433" si="367">H1434</f>
        <v>63000</v>
      </c>
      <c r="I1433" s="87">
        <f t="shared" si="367"/>
        <v>63000</v>
      </c>
      <c r="J1433" s="177"/>
    </row>
    <row r="1434" spans="1:18" ht="33" customHeight="1">
      <c r="A1434" s="82" t="s">
        <v>38</v>
      </c>
      <c r="B1434" s="149">
        <v>793</v>
      </c>
      <c r="C1434" s="84" t="s">
        <v>54</v>
      </c>
      <c r="D1434" s="84" t="s">
        <v>123</v>
      </c>
      <c r="E1434" s="84" t="s">
        <v>455</v>
      </c>
      <c r="F1434" s="84" t="s">
        <v>39</v>
      </c>
      <c r="G1434" s="87">
        <f>63000-41000</f>
        <v>22000</v>
      </c>
      <c r="H1434" s="87">
        <v>63000</v>
      </c>
      <c r="I1434" s="87">
        <v>63000</v>
      </c>
      <c r="J1434" s="177"/>
    </row>
    <row r="1435" spans="1:18" s="18" customFormat="1" ht="32.25" customHeight="1">
      <c r="A1435" s="82" t="s">
        <v>518</v>
      </c>
      <c r="B1435" s="149">
        <v>793</v>
      </c>
      <c r="C1435" s="84" t="s">
        <v>54</v>
      </c>
      <c r="D1435" s="84" t="s">
        <v>123</v>
      </c>
      <c r="E1435" s="84" t="s">
        <v>202</v>
      </c>
      <c r="F1435" s="84"/>
      <c r="G1435" s="87">
        <f>G1439+G1436</f>
        <v>750000</v>
      </c>
      <c r="H1435" s="87">
        <f t="shared" ref="H1435:I1435" si="368">H1440</f>
        <v>0</v>
      </c>
      <c r="I1435" s="87">
        <f t="shared" si="368"/>
        <v>0</v>
      </c>
      <c r="J1435" s="177"/>
      <c r="K1435" s="200"/>
      <c r="L1435" s="200"/>
      <c r="M1435" s="200"/>
      <c r="N1435" s="200"/>
      <c r="O1435" s="200"/>
      <c r="P1435" s="200"/>
      <c r="Q1435" s="200"/>
      <c r="R1435" s="200"/>
    </row>
    <row r="1436" spans="1:18" s="18" customFormat="1" ht="70.5" customHeight="1">
      <c r="A1436" s="82" t="s">
        <v>793</v>
      </c>
      <c r="B1436" s="149">
        <v>793</v>
      </c>
      <c r="C1436" s="84" t="s">
        <v>54</v>
      </c>
      <c r="D1436" s="84" t="s">
        <v>123</v>
      </c>
      <c r="E1436" s="84" t="s">
        <v>418</v>
      </c>
      <c r="F1436" s="84"/>
      <c r="G1436" s="87">
        <f t="shared" ref="G1436:I1437" si="369">G1437</f>
        <v>750000</v>
      </c>
      <c r="H1436" s="87">
        <f t="shared" si="369"/>
        <v>0</v>
      </c>
      <c r="I1436" s="87">
        <f t="shared" si="369"/>
        <v>0</v>
      </c>
      <c r="J1436" s="177"/>
      <c r="K1436" s="200"/>
      <c r="L1436" s="200"/>
      <c r="M1436" s="200"/>
      <c r="N1436" s="200"/>
      <c r="O1436" s="200"/>
      <c r="P1436" s="200"/>
      <c r="Q1436" s="200"/>
      <c r="R1436" s="200"/>
    </row>
    <row r="1437" spans="1:18" s="18" customFormat="1" ht="39" customHeight="1">
      <c r="A1437" s="82" t="s">
        <v>96</v>
      </c>
      <c r="B1437" s="149">
        <v>793</v>
      </c>
      <c r="C1437" s="84" t="s">
        <v>54</v>
      </c>
      <c r="D1437" s="84" t="s">
        <v>123</v>
      </c>
      <c r="E1437" s="84" t="s">
        <v>418</v>
      </c>
      <c r="F1437" s="84" t="s">
        <v>348</v>
      </c>
      <c r="G1437" s="87">
        <f t="shared" si="369"/>
        <v>750000</v>
      </c>
      <c r="H1437" s="87">
        <f t="shared" si="369"/>
        <v>0</v>
      </c>
      <c r="I1437" s="87">
        <f t="shared" si="369"/>
        <v>0</v>
      </c>
      <c r="J1437" s="177"/>
      <c r="K1437" s="200"/>
      <c r="L1437" s="200"/>
      <c r="M1437" s="200"/>
      <c r="N1437" s="200"/>
      <c r="O1437" s="200"/>
      <c r="P1437" s="200"/>
      <c r="Q1437" s="200"/>
      <c r="R1437" s="200"/>
    </row>
    <row r="1438" spans="1:18" s="18" customFormat="1" ht="15.75" customHeight="1">
      <c r="A1438" s="82" t="s">
        <v>349</v>
      </c>
      <c r="B1438" s="149">
        <v>793</v>
      </c>
      <c r="C1438" s="84" t="s">
        <v>54</v>
      </c>
      <c r="D1438" s="84" t="s">
        <v>123</v>
      </c>
      <c r="E1438" s="84" t="s">
        <v>418</v>
      </c>
      <c r="F1438" s="84" t="s">
        <v>350</v>
      </c>
      <c r="G1438" s="87">
        <v>750000</v>
      </c>
      <c r="H1438" s="87">
        <v>0</v>
      </c>
      <c r="I1438" s="87">
        <v>0</v>
      </c>
      <c r="J1438" s="177"/>
      <c r="K1438" s="200"/>
      <c r="L1438" s="200"/>
      <c r="M1438" s="200"/>
      <c r="N1438" s="200"/>
      <c r="O1438" s="200"/>
      <c r="P1438" s="200"/>
      <c r="Q1438" s="200"/>
      <c r="R1438" s="200"/>
    </row>
    <row r="1439" spans="1:18" s="18" customFormat="1" ht="32.25" hidden="1" customHeight="1">
      <c r="A1439" s="82" t="s">
        <v>948</v>
      </c>
      <c r="B1439" s="149">
        <v>793</v>
      </c>
      <c r="C1439" s="84" t="s">
        <v>54</v>
      </c>
      <c r="D1439" s="84" t="s">
        <v>123</v>
      </c>
      <c r="E1439" s="84" t="s">
        <v>947</v>
      </c>
      <c r="F1439" s="84"/>
      <c r="G1439" s="87">
        <f>G1440</f>
        <v>0</v>
      </c>
      <c r="H1439" s="87">
        <f t="shared" ref="H1439:I1439" si="370">H1440</f>
        <v>0</v>
      </c>
      <c r="I1439" s="87">
        <f t="shared" si="370"/>
        <v>0</v>
      </c>
      <c r="J1439" s="177"/>
      <c r="K1439" s="200"/>
      <c r="L1439" s="200"/>
      <c r="M1439" s="200"/>
      <c r="N1439" s="200"/>
      <c r="O1439" s="200"/>
      <c r="P1439" s="200"/>
      <c r="Q1439" s="200"/>
      <c r="R1439" s="200"/>
    </row>
    <row r="1440" spans="1:18" s="18" customFormat="1" ht="70.5" hidden="1" customHeight="1">
      <c r="A1440" s="82" t="s">
        <v>949</v>
      </c>
      <c r="B1440" s="149">
        <v>793</v>
      </c>
      <c r="C1440" s="84" t="s">
        <v>54</v>
      </c>
      <c r="D1440" s="84" t="s">
        <v>123</v>
      </c>
      <c r="E1440" s="84" t="s">
        <v>950</v>
      </c>
      <c r="F1440" s="84"/>
      <c r="G1440" s="87">
        <f t="shared" ref="G1440:I1441" si="371">G1441</f>
        <v>0</v>
      </c>
      <c r="H1440" s="87">
        <f t="shared" si="371"/>
        <v>0</v>
      </c>
      <c r="I1440" s="87">
        <f t="shared" si="371"/>
        <v>0</v>
      </c>
      <c r="J1440" s="177"/>
      <c r="K1440" s="200"/>
      <c r="L1440" s="200"/>
      <c r="M1440" s="200"/>
      <c r="N1440" s="200"/>
      <c r="O1440" s="200"/>
      <c r="P1440" s="200"/>
      <c r="Q1440" s="200"/>
      <c r="R1440" s="200"/>
    </row>
    <row r="1441" spans="1:18" s="18" customFormat="1" ht="39" hidden="1" customHeight="1">
      <c r="A1441" s="82" t="s">
        <v>96</v>
      </c>
      <c r="B1441" s="149">
        <v>793</v>
      </c>
      <c r="C1441" s="84" t="s">
        <v>54</v>
      </c>
      <c r="D1441" s="84" t="s">
        <v>123</v>
      </c>
      <c r="E1441" s="84" t="s">
        <v>950</v>
      </c>
      <c r="F1441" s="84" t="s">
        <v>348</v>
      </c>
      <c r="G1441" s="87">
        <f t="shared" si="371"/>
        <v>0</v>
      </c>
      <c r="H1441" s="87">
        <f t="shared" si="371"/>
        <v>0</v>
      </c>
      <c r="I1441" s="87">
        <f t="shared" si="371"/>
        <v>0</v>
      </c>
      <c r="J1441" s="177"/>
      <c r="K1441" s="200"/>
      <c r="L1441" s="200"/>
      <c r="M1441" s="200"/>
      <c r="N1441" s="200"/>
      <c r="O1441" s="200"/>
      <c r="P1441" s="200"/>
      <c r="Q1441" s="200"/>
      <c r="R1441" s="200"/>
    </row>
    <row r="1442" spans="1:18" s="18" customFormat="1" ht="15.75" hidden="1" customHeight="1">
      <c r="A1442" s="82" t="s">
        <v>349</v>
      </c>
      <c r="B1442" s="149">
        <v>793</v>
      </c>
      <c r="C1442" s="84" t="s">
        <v>54</v>
      </c>
      <c r="D1442" s="84" t="s">
        <v>123</v>
      </c>
      <c r="E1442" s="84" t="s">
        <v>950</v>
      </c>
      <c r="F1442" s="84" t="s">
        <v>350</v>
      </c>
      <c r="G1442" s="87"/>
      <c r="H1442" s="87">
        <v>0</v>
      </c>
      <c r="I1442" s="87">
        <v>0</v>
      </c>
      <c r="J1442" s="177"/>
      <c r="K1442" s="200"/>
      <c r="L1442" s="200"/>
      <c r="M1442" s="200"/>
      <c r="N1442" s="200"/>
      <c r="O1442" s="200"/>
      <c r="P1442" s="200"/>
      <c r="Q1442" s="200"/>
      <c r="R1442" s="200"/>
    </row>
    <row r="1443" spans="1:18" ht="18.75" customHeight="1">
      <c r="A1443" s="82" t="s">
        <v>87</v>
      </c>
      <c r="B1443" s="149">
        <v>793</v>
      </c>
      <c r="C1443" s="84" t="s">
        <v>54</v>
      </c>
      <c r="D1443" s="84" t="s">
        <v>88</v>
      </c>
      <c r="E1443" s="84"/>
      <c r="F1443" s="149"/>
      <c r="G1443" s="87">
        <f>G1444+G1461+G1479+G1475</f>
        <v>1607482.44</v>
      </c>
      <c r="H1443" s="87">
        <f t="shared" ref="H1443:I1443" si="372">H1444+H1461+H1479+H1475</f>
        <v>984922</v>
      </c>
      <c r="I1443" s="87">
        <f t="shared" si="372"/>
        <v>982368</v>
      </c>
      <c r="J1443" s="177"/>
      <c r="K1443" s="177"/>
      <c r="L1443" s="177"/>
      <c r="M1443" s="177"/>
      <c r="N1443" s="177"/>
      <c r="O1443" s="177"/>
    </row>
    <row r="1444" spans="1:18" ht="16.5" customHeight="1">
      <c r="A1444" s="139" t="s">
        <v>714</v>
      </c>
      <c r="B1444" s="149">
        <v>793</v>
      </c>
      <c r="C1444" s="84" t="s">
        <v>54</v>
      </c>
      <c r="D1444" s="84" t="s">
        <v>88</v>
      </c>
      <c r="E1444" s="149" t="s">
        <v>242</v>
      </c>
      <c r="F1444" s="149"/>
      <c r="G1444" s="87">
        <f>G1448+G1445+G1458+G1451</f>
        <v>1148715</v>
      </c>
      <c r="H1444" s="87">
        <f>H1448+H1445+H1458+H1451</f>
        <v>934922</v>
      </c>
      <c r="I1444" s="87">
        <f>I1448+I1445+I1458+I1451</f>
        <v>932368</v>
      </c>
      <c r="J1444" s="177"/>
    </row>
    <row r="1445" spans="1:18" ht="27" customHeight="1">
      <c r="A1445" s="82" t="s">
        <v>344</v>
      </c>
      <c r="B1445" s="149">
        <v>793</v>
      </c>
      <c r="C1445" s="84" t="s">
        <v>54</v>
      </c>
      <c r="D1445" s="84" t="s">
        <v>88</v>
      </c>
      <c r="E1445" s="149" t="s">
        <v>396</v>
      </c>
      <c r="F1445" s="149"/>
      <c r="G1445" s="87">
        <f t="shared" ref="G1445:I1446" si="373">G1446</f>
        <v>414715</v>
      </c>
      <c r="H1445" s="87">
        <f t="shared" si="373"/>
        <v>234922</v>
      </c>
      <c r="I1445" s="87">
        <f t="shared" si="373"/>
        <v>232368</v>
      </c>
      <c r="J1445" s="177"/>
    </row>
    <row r="1446" spans="1:18">
      <c r="A1446" s="82" t="s">
        <v>63</v>
      </c>
      <c r="B1446" s="149">
        <v>793</v>
      </c>
      <c r="C1446" s="84" t="s">
        <v>54</v>
      </c>
      <c r="D1446" s="84" t="s">
        <v>88</v>
      </c>
      <c r="E1446" s="149" t="s">
        <v>396</v>
      </c>
      <c r="F1446" s="149">
        <v>800</v>
      </c>
      <c r="G1446" s="87">
        <f t="shared" si="373"/>
        <v>414715</v>
      </c>
      <c r="H1446" s="87">
        <f t="shared" si="373"/>
        <v>234922</v>
      </c>
      <c r="I1446" s="87">
        <f t="shared" si="373"/>
        <v>232368</v>
      </c>
      <c r="J1446" s="177"/>
    </row>
    <row r="1447" spans="1:18" ht="39" customHeight="1">
      <c r="A1447" s="82" t="s">
        <v>340</v>
      </c>
      <c r="B1447" s="149">
        <v>793</v>
      </c>
      <c r="C1447" s="84" t="s">
        <v>54</v>
      </c>
      <c r="D1447" s="84" t="s">
        <v>88</v>
      </c>
      <c r="E1447" s="149" t="s">
        <v>396</v>
      </c>
      <c r="F1447" s="149">
        <v>810</v>
      </c>
      <c r="G1447" s="87">
        <v>414715</v>
      </c>
      <c r="H1447" s="87">
        <v>234922</v>
      </c>
      <c r="I1447" s="87">
        <v>232368</v>
      </c>
      <c r="J1447" s="177"/>
    </row>
    <row r="1448" spans="1:18" ht="47.25" customHeight="1">
      <c r="A1448" s="82" t="s">
        <v>345</v>
      </c>
      <c r="B1448" s="149">
        <v>793</v>
      </c>
      <c r="C1448" s="84" t="s">
        <v>54</v>
      </c>
      <c r="D1448" s="84" t="s">
        <v>88</v>
      </c>
      <c r="E1448" s="149" t="s">
        <v>258</v>
      </c>
      <c r="F1448" s="149"/>
      <c r="G1448" s="87">
        <f>G1449</f>
        <v>700000</v>
      </c>
      <c r="H1448" s="87">
        <f t="shared" ref="H1448:I1448" si="374">H1449</f>
        <v>700000</v>
      </c>
      <c r="I1448" s="87">
        <f t="shared" si="374"/>
        <v>700000</v>
      </c>
      <c r="J1448" s="177"/>
      <c r="K1448" s="1"/>
      <c r="L1448" s="1"/>
      <c r="M1448" s="1"/>
      <c r="N1448" s="1"/>
      <c r="O1448" s="1"/>
      <c r="P1448" s="1"/>
      <c r="Q1448" s="1"/>
      <c r="R1448" s="1"/>
    </row>
    <row r="1449" spans="1:18">
      <c r="A1449" s="82" t="s">
        <v>63</v>
      </c>
      <c r="B1449" s="149">
        <v>793</v>
      </c>
      <c r="C1449" s="84" t="s">
        <v>54</v>
      </c>
      <c r="D1449" s="84" t="s">
        <v>88</v>
      </c>
      <c r="E1449" s="149" t="s">
        <v>258</v>
      </c>
      <c r="F1449" s="149">
        <v>800</v>
      </c>
      <c r="G1449" s="87">
        <f t="shared" ref="G1449:I1449" si="375">G1450</f>
        <v>700000</v>
      </c>
      <c r="H1449" s="87">
        <f t="shared" si="375"/>
        <v>700000</v>
      </c>
      <c r="I1449" s="87">
        <f t="shared" si="375"/>
        <v>700000</v>
      </c>
      <c r="J1449" s="177"/>
      <c r="K1449" s="1"/>
      <c r="L1449" s="1"/>
      <c r="M1449" s="1"/>
      <c r="N1449" s="1"/>
      <c r="O1449" s="1"/>
      <c r="P1449" s="1"/>
      <c r="Q1449" s="1"/>
      <c r="R1449" s="1"/>
    </row>
    <row r="1450" spans="1:18" ht="45" customHeight="1">
      <c r="A1450" s="82" t="s">
        <v>340</v>
      </c>
      <c r="B1450" s="149">
        <v>793</v>
      </c>
      <c r="C1450" s="84" t="s">
        <v>54</v>
      </c>
      <c r="D1450" s="84" t="s">
        <v>88</v>
      </c>
      <c r="E1450" s="149" t="s">
        <v>258</v>
      </c>
      <c r="F1450" s="149">
        <v>810</v>
      </c>
      <c r="G1450" s="87">
        <v>700000</v>
      </c>
      <c r="H1450" s="87">
        <v>700000</v>
      </c>
      <c r="I1450" s="87">
        <v>700000</v>
      </c>
      <c r="J1450" s="177"/>
      <c r="K1450" s="1"/>
      <c r="L1450" s="1"/>
      <c r="M1450" s="1"/>
      <c r="N1450" s="1"/>
      <c r="O1450" s="1"/>
      <c r="P1450" s="1"/>
      <c r="Q1450" s="1"/>
      <c r="R1450" s="1"/>
    </row>
    <row r="1451" spans="1:18" ht="40.5" customHeight="1">
      <c r="A1451" s="82" t="s">
        <v>959</v>
      </c>
      <c r="B1451" s="149">
        <v>793</v>
      </c>
      <c r="C1451" s="84" t="s">
        <v>54</v>
      </c>
      <c r="D1451" s="84" t="s">
        <v>88</v>
      </c>
      <c r="E1451" s="149" t="s">
        <v>958</v>
      </c>
      <c r="F1451" s="149"/>
      <c r="G1451" s="87">
        <f>G1452+G1454+G1456</f>
        <v>34000</v>
      </c>
      <c r="H1451" s="87">
        <f>H1452+H1454</f>
        <v>0</v>
      </c>
      <c r="I1451" s="87">
        <f>I1452+I1454</f>
        <v>0</v>
      </c>
      <c r="J1451" s="177"/>
      <c r="K1451" s="1"/>
      <c r="L1451" s="1"/>
      <c r="M1451" s="1"/>
      <c r="N1451" s="1"/>
      <c r="O1451" s="1"/>
      <c r="P1451" s="1"/>
      <c r="Q1451" s="1"/>
      <c r="R1451" s="1"/>
    </row>
    <row r="1452" spans="1:18" ht="25.5">
      <c r="A1452" s="82" t="s">
        <v>323</v>
      </c>
      <c r="B1452" s="149">
        <v>793</v>
      </c>
      <c r="C1452" s="84" t="s">
        <v>54</v>
      </c>
      <c r="D1452" s="84" t="s">
        <v>88</v>
      </c>
      <c r="E1452" s="149" t="s">
        <v>958</v>
      </c>
      <c r="F1452" s="149">
        <v>200</v>
      </c>
      <c r="G1452" s="87">
        <f t="shared" ref="G1452:I1452" si="376">G1453</f>
        <v>34000</v>
      </c>
      <c r="H1452" s="87">
        <f t="shared" si="376"/>
        <v>0</v>
      </c>
      <c r="I1452" s="87">
        <f t="shared" si="376"/>
        <v>0</v>
      </c>
      <c r="J1452" s="177"/>
      <c r="K1452" s="1"/>
      <c r="L1452" s="1"/>
      <c r="M1452" s="1"/>
      <c r="N1452" s="1"/>
      <c r="O1452" s="1"/>
      <c r="P1452" s="1"/>
      <c r="Q1452" s="1"/>
      <c r="R1452" s="1"/>
    </row>
    <row r="1453" spans="1:18" ht="31.5" customHeight="1">
      <c r="A1453" s="82" t="s">
        <v>38</v>
      </c>
      <c r="B1453" s="149">
        <v>793</v>
      </c>
      <c r="C1453" s="84" t="s">
        <v>54</v>
      </c>
      <c r="D1453" s="84" t="s">
        <v>88</v>
      </c>
      <c r="E1453" s="149" t="s">
        <v>958</v>
      </c>
      <c r="F1453" s="149">
        <v>240</v>
      </c>
      <c r="G1453" s="87">
        <f>50000-16000</f>
        <v>34000</v>
      </c>
      <c r="H1453" s="85">
        <v>0</v>
      </c>
      <c r="I1453" s="85">
        <v>0</v>
      </c>
      <c r="J1453" s="178"/>
      <c r="K1453" s="1"/>
      <c r="L1453" s="1"/>
      <c r="M1453" s="1"/>
      <c r="N1453" s="1"/>
      <c r="O1453" s="1"/>
      <c r="P1453" s="1"/>
      <c r="Q1453" s="1"/>
      <c r="R1453" s="1"/>
    </row>
    <row r="1454" spans="1:18" ht="24.75" hidden="1" customHeight="1">
      <c r="A1454" s="82" t="s">
        <v>156</v>
      </c>
      <c r="B1454" s="149">
        <v>793</v>
      </c>
      <c r="C1454" s="84" t="s">
        <v>54</v>
      </c>
      <c r="D1454" s="84" t="s">
        <v>88</v>
      </c>
      <c r="E1454" s="149" t="s">
        <v>642</v>
      </c>
      <c r="F1454" s="149">
        <v>500</v>
      </c>
      <c r="G1454" s="87">
        <f>G1455</f>
        <v>0</v>
      </c>
      <c r="H1454" s="87">
        <f>H1455</f>
        <v>0</v>
      </c>
      <c r="I1454" s="87">
        <f>I1455</f>
        <v>0</v>
      </c>
      <c r="J1454" s="177"/>
      <c r="K1454" s="1"/>
      <c r="L1454" s="1"/>
      <c r="M1454" s="1"/>
      <c r="N1454" s="1"/>
      <c r="O1454" s="1"/>
      <c r="P1454" s="1"/>
      <c r="Q1454" s="1"/>
      <c r="R1454" s="1"/>
    </row>
    <row r="1455" spans="1:18" ht="21.75" hidden="1" customHeight="1">
      <c r="A1455" s="82" t="s">
        <v>170</v>
      </c>
      <c r="B1455" s="149">
        <v>793</v>
      </c>
      <c r="C1455" s="84" t="s">
        <v>54</v>
      </c>
      <c r="D1455" s="84" t="s">
        <v>88</v>
      </c>
      <c r="E1455" s="149" t="s">
        <v>642</v>
      </c>
      <c r="F1455" s="149">
        <v>520</v>
      </c>
      <c r="G1455" s="286"/>
      <c r="H1455" s="85"/>
      <c r="I1455" s="85"/>
      <c r="J1455" s="178"/>
      <c r="K1455" s="1"/>
      <c r="L1455" s="1"/>
      <c r="M1455" s="1"/>
      <c r="N1455" s="1"/>
      <c r="O1455" s="1"/>
      <c r="P1455" s="1"/>
      <c r="Q1455" s="1"/>
      <c r="R1455" s="1"/>
    </row>
    <row r="1456" spans="1:18" ht="21" hidden="1" customHeight="1">
      <c r="A1456" s="82" t="s">
        <v>63</v>
      </c>
      <c r="B1456" s="149">
        <v>793</v>
      </c>
      <c r="C1456" s="84" t="s">
        <v>54</v>
      </c>
      <c r="D1456" s="84" t="s">
        <v>88</v>
      </c>
      <c r="E1456" s="149" t="s">
        <v>642</v>
      </c>
      <c r="F1456" s="149">
        <v>800</v>
      </c>
      <c r="G1456" s="286">
        <f>G1457</f>
        <v>0</v>
      </c>
      <c r="H1456" s="85"/>
      <c r="I1456" s="85"/>
      <c r="J1456" s="178"/>
      <c r="K1456" s="1"/>
      <c r="L1456" s="1"/>
      <c r="M1456" s="1"/>
      <c r="N1456" s="1"/>
      <c r="O1456" s="1"/>
      <c r="P1456" s="1"/>
      <c r="Q1456" s="1"/>
      <c r="R1456" s="1"/>
    </row>
    <row r="1457" spans="1:18" ht="20.25" hidden="1" customHeight="1">
      <c r="A1457" s="82" t="s">
        <v>180</v>
      </c>
      <c r="B1457" s="149">
        <v>793</v>
      </c>
      <c r="C1457" s="84" t="s">
        <v>54</v>
      </c>
      <c r="D1457" s="84" t="s">
        <v>88</v>
      </c>
      <c r="E1457" s="149" t="s">
        <v>642</v>
      </c>
      <c r="F1457" s="149">
        <v>870</v>
      </c>
      <c r="G1457" s="286">
        <f>50000-50000</f>
        <v>0</v>
      </c>
      <c r="H1457" s="85"/>
      <c r="I1457" s="85"/>
      <c r="J1457" s="178"/>
      <c r="K1457" s="1"/>
      <c r="L1457" s="1"/>
      <c r="M1457" s="1"/>
      <c r="N1457" s="1"/>
      <c r="O1457" s="1"/>
      <c r="P1457" s="1"/>
      <c r="Q1457" s="1"/>
      <c r="R1457" s="1"/>
    </row>
    <row r="1458" spans="1:18" ht="65.25" hidden="1" customHeight="1">
      <c r="A1458" s="82" t="s">
        <v>604</v>
      </c>
      <c r="B1458" s="149">
        <v>793</v>
      </c>
      <c r="C1458" s="84" t="s">
        <v>54</v>
      </c>
      <c r="D1458" s="84" t="s">
        <v>88</v>
      </c>
      <c r="E1458" s="149" t="s">
        <v>453</v>
      </c>
      <c r="F1458" s="149"/>
      <c r="G1458" s="87">
        <f>G1459</f>
        <v>0</v>
      </c>
      <c r="H1458" s="87">
        <f t="shared" ref="H1458:I1458" si="377">H1459</f>
        <v>0</v>
      </c>
      <c r="I1458" s="87">
        <f t="shared" si="377"/>
        <v>0</v>
      </c>
      <c r="J1458" s="177"/>
      <c r="K1458" s="1"/>
      <c r="L1458" s="1"/>
      <c r="M1458" s="1"/>
      <c r="N1458" s="1"/>
      <c r="O1458" s="1"/>
      <c r="P1458" s="1"/>
      <c r="Q1458" s="1"/>
      <c r="R1458" s="1"/>
    </row>
    <row r="1459" spans="1:18" ht="20.25" hidden="1" customHeight="1">
      <c r="A1459" s="82" t="s">
        <v>63</v>
      </c>
      <c r="B1459" s="149">
        <v>793</v>
      </c>
      <c r="C1459" s="84" t="s">
        <v>54</v>
      </c>
      <c r="D1459" s="84" t="s">
        <v>88</v>
      </c>
      <c r="E1459" s="149" t="s">
        <v>453</v>
      </c>
      <c r="F1459" s="149">
        <v>800</v>
      </c>
      <c r="G1459" s="87">
        <f>G1460</f>
        <v>0</v>
      </c>
      <c r="H1459" s="87">
        <f t="shared" ref="H1459:I1459" si="378">H1460</f>
        <v>0</v>
      </c>
      <c r="I1459" s="87">
        <f t="shared" si="378"/>
        <v>0</v>
      </c>
      <c r="J1459" s="177"/>
      <c r="K1459" s="1"/>
      <c r="L1459" s="1"/>
      <c r="M1459" s="1"/>
      <c r="N1459" s="1"/>
      <c r="O1459" s="1"/>
      <c r="P1459" s="1"/>
      <c r="Q1459" s="1"/>
      <c r="R1459" s="1"/>
    </row>
    <row r="1460" spans="1:18" ht="38.25" hidden="1" customHeight="1">
      <c r="A1460" s="82" t="s">
        <v>340</v>
      </c>
      <c r="B1460" s="149">
        <v>793</v>
      </c>
      <c r="C1460" s="84" t="s">
        <v>54</v>
      </c>
      <c r="D1460" s="84" t="s">
        <v>88</v>
      </c>
      <c r="E1460" s="149" t="s">
        <v>453</v>
      </c>
      <c r="F1460" s="149">
        <v>810</v>
      </c>
      <c r="G1460" s="87"/>
      <c r="H1460" s="87">
        <v>0</v>
      </c>
      <c r="I1460" s="87">
        <v>0</v>
      </c>
      <c r="J1460" s="177"/>
      <c r="K1460" s="1"/>
      <c r="L1460" s="1"/>
      <c r="M1460" s="1"/>
      <c r="N1460" s="1"/>
      <c r="O1460" s="1"/>
      <c r="P1460" s="1"/>
      <c r="Q1460" s="1"/>
      <c r="R1460" s="1"/>
    </row>
    <row r="1461" spans="1:18" ht="36" customHeight="1">
      <c r="A1461" s="82" t="s">
        <v>476</v>
      </c>
      <c r="B1461" s="149">
        <v>793</v>
      </c>
      <c r="C1461" s="84" t="s">
        <v>54</v>
      </c>
      <c r="D1461" s="84" t="s">
        <v>88</v>
      </c>
      <c r="E1461" s="149" t="s">
        <v>259</v>
      </c>
      <c r="F1461" s="149"/>
      <c r="G1461" s="87">
        <f>G1462</f>
        <v>50000</v>
      </c>
      <c r="H1461" s="87">
        <f>H1462</f>
        <v>50000</v>
      </c>
      <c r="I1461" s="87">
        <f>I1462</f>
        <v>50000</v>
      </c>
      <c r="J1461" s="177"/>
      <c r="K1461" s="1"/>
      <c r="L1461" s="1"/>
      <c r="M1461" s="1"/>
      <c r="N1461" s="1"/>
      <c r="O1461" s="1"/>
      <c r="P1461" s="1"/>
      <c r="Q1461" s="1"/>
      <c r="R1461" s="1"/>
    </row>
    <row r="1462" spans="1:18" ht="39" customHeight="1">
      <c r="A1462" s="82" t="s">
        <v>369</v>
      </c>
      <c r="B1462" s="149">
        <v>793</v>
      </c>
      <c r="C1462" s="84" t="s">
        <v>54</v>
      </c>
      <c r="D1462" s="84" t="s">
        <v>88</v>
      </c>
      <c r="E1462" s="149" t="s">
        <v>260</v>
      </c>
      <c r="F1462" s="149"/>
      <c r="G1462" s="87">
        <f>G1463</f>
        <v>50000</v>
      </c>
      <c r="H1462" s="87">
        <f t="shared" ref="H1462:I1462" si="379">H1463</f>
        <v>50000</v>
      </c>
      <c r="I1462" s="87">
        <f t="shared" si="379"/>
        <v>50000</v>
      </c>
      <c r="J1462" s="177"/>
      <c r="K1462" s="1"/>
      <c r="L1462" s="1"/>
      <c r="M1462" s="1"/>
      <c r="N1462" s="1"/>
      <c r="O1462" s="1"/>
      <c r="P1462" s="1"/>
      <c r="Q1462" s="1"/>
      <c r="R1462" s="1"/>
    </row>
    <row r="1463" spans="1:18" ht="17.25" customHeight="1">
      <c r="A1463" s="82" t="s">
        <v>323</v>
      </c>
      <c r="B1463" s="149">
        <v>793</v>
      </c>
      <c r="C1463" s="84" t="s">
        <v>54</v>
      </c>
      <c r="D1463" s="84" t="s">
        <v>88</v>
      </c>
      <c r="E1463" s="149" t="s">
        <v>260</v>
      </c>
      <c r="F1463" s="149">
        <v>200</v>
      </c>
      <c r="G1463" s="87">
        <f>G1464</f>
        <v>50000</v>
      </c>
      <c r="H1463" s="87">
        <f>H1464</f>
        <v>50000</v>
      </c>
      <c r="I1463" s="87">
        <f>I1464</f>
        <v>50000</v>
      </c>
      <c r="J1463" s="177"/>
      <c r="K1463" s="1"/>
      <c r="L1463" s="1"/>
      <c r="M1463" s="1"/>
      <c r="N1463" s="1"/>
      <c r="O1463" s="1"/>
      <c r="P1463" s="1"/>
      <c r="Q1463" s="1"/>
      <c r="R1463" s="1"/>
    </row>
    <row r="1464" spans="1:18" ht="27.75" customHeight="1">
      <c r="A1464" s="82" t="s">
        <v>38</v>
      </c>
      <c r="B1464" s="149">
        <v>793</v>
      </c>
      <c r="C1464" s="84" t="s">
        <v>54</v>
      </c>
      <c r="D1464" s="84" t="s">
        <v>88</v>
      </c>
      <c r="E1464" s="149" t="s">
        <v>260</v>
      </c>
      <c r="F1464" s="149">
        <v>240</v>
      </c>
      <c r="G1464" s="87">
        <v>50000</v>
      </c>
      <c r="H1464" s="87">
        <v>50000</v>
      </c>
      <c r="I1464" s="87">
        <v>50000</v>
      </c>
      <c r="J1464" s="177"/>
    </row>
    <row r="1465" spans="1:18" ht="15" hidden="1" customHeight="1">
      <c r="A1465" s="134" t="s">
        <v>346</v>
      </c>
      <c r="B1465" s="259">
        <v>793</v>
      </c>
      <c r="C1465" s="270" t="s">
        <v>173</v>
      </c>
      <c r="D1465" s="270"/>
      <c r="E1465" s="270"/>
      <c r="F1465" s="270"/>
      <c r="G1465" s="267">
        <f>G1466</f>
        <v>0</v>
      </c>
      <c r="H1465" s="267">
        <f t="shared" ref="H1465:I1465" si="380">H1466</f>
        <v>0</v>
      </c>
      <c r="I1465" s="267">
        <f t="shared" si="380"/>
        <v>0</v>
      </c>
      <c r="J1465" s="191"/>
    </row>
    <row r="1466" spans="1:18" s="22" customFormat="1" ht="17.25" hidden="1" customHeight="1">
      <c r="A1466" s="82" t="s">
        <v>284</v>
      </c>
      <c r="B1466" s="149">
        <v>793</v>
      </c>
      <c r="C1466" s="84" t="s">
        <v>173</v>
      </c>
      <c r="D1466" s="84" t="s">
        <v>70</v>
      </c>
      <c r="E1466" s="84"/>
      <c r="F1466" s="84"/>
      <c r="G1466" s="87">
        <f>G1467+G1471</f>
        <v>0</v>
      </c>
      <c r="H1466" s="87">
        <f t="shared" ref="H1466:I1466" si="381">H1467+H1471</f>
        <v>0</v>
      </c>
      <c r="I1466" s="87">
        <f t="shared" si="381"/>
        <v>0</v>
      </c>
      <c r="J1466" s="177"/>
      <c r="K1466" s="207"/>
      <c r="L1466" s="207"/>
      <c r="M1466" s="207"/>
      <c r="N1466" s="207"/>
      <c r="O1466" s="207"/>
      <c r="P1466" s="207"/>
      <c r="Q1466" s="207"/>
      <c r="R1466" s="207"/>
    </row>
    <row r="1467" spans="1:18" s="22" customFormat="1" ht="53.25" hidden="1" customHeight="1">
      <c r="A1467" s="82" t="s">
        <v>494</v>
      </c>
      <c r="B1467" s="149">
        <v>793</v>
      </c>
      <c r="C1467" s="84" t="s">
        <v>173</v>
      </c>
      <c r="D1467" s="84" t="s">
        <v>70</v>
      </c>
      <c r="E1467" s="84" t="s">
        <v>295</v>
      </c>
      <c r="F1467" s="156"/>
      <c r="G1467" s="87">
        <f t="shared" ref="G1467:I1469" si="382">G1468</f>
        <v>0</v>
      </c>
      <c r="H1467" s="87">
        <f t="shared" si="382"/>
        <v>0</v>
      </c>
      <c r="I1467" s="87">
        <f t="shared" si="382"/>
        <v>0</v>
      </c>
      <c r="J1467" s="177"/>
      <c r="K1467" s="207"/>
      <c r="L1467" s="207"/>
      <c r="M1467" s="207"/>
      <c r="N1467" s="207"/>
      <c r="O1467" s="207"/>
      <c r="P1467" s="207"/>
      <c r="Q1467" s="207"/>
      <c r="R1467" s="207"/>
    </row>
    <row r="1468" spans="1:18" s="46" customFormat="1" ht="17.25" hidden="1" customHeight="1">
      <c r="A1468" s="82" t="s">
        <v>381</v>
      </c>
      <c r="B1468" s="149">
        <v>793</v>
      </c>
      <c r="C1468" s="84" t="s">
        <v>173</v>
      </c>
      <c r="D1468" s="84" t="s">
        <v>70</v>
      </c>
      <c r="E1468" s="84" t="s">
        <v>380</v>
      </c>
      <c r="F1468" s="84"/>
      <c r="G1468" s="87">
        <f t="shared" si="382"/>
        <v>0</v>
      </c>
      <c r="H1468" s="87">
        <f t="shared" si="382"/>
        <v>0</v>
      </c>
      <c r="I1468" s="87">
        <f t="shared" si="382"/>
        <v>0</v>
      </c>
      <c r="J1468" s="177"/>
      <c r="K1468" s="222"/>
      <c r="L1468" s="222"/>
      <c r="M1468" s="222"/>
      <c r="N1468" s="222"/>
      <c r="O1468" s="222"/>
      <c r="P1468" s="222"/>
      <c r="Q1468" s="222"/>
      <c r="R1468" s="222"/>
    </row>
    <row r="1469" spans="1:18" s="46" customFormat="1" ht="17.25" hidden="1" customHeight="1">
      <c r="A1469" s="82" t="s">
        <v>323</v>
      </c>
      <c r="B1469" s="149">
        <v>793</v>
      </c>
      <c r="C1469" s="84" t="s">
        <v>173</v>
      </c>
      <c r="D1469" s="84" t="s">
        <v>70</v>
      </c>
      <c r="E1469" s="84" t="s">
        <v>380</v>
      </c>
      <c r="F1469" s="84" t="s">
        <v>37</v>
      </c>
      <c r="G1469" s="87">
        <f t="shared" si="382"/>
        <v>0</v>
      </c>
      <c r="H1469" s="87">
        <f t="shared" si="382"/>
        <v>0</v>
      </c>
      <c r="I1469" s="87">
        <f t="shared" si="382"/>
        <v>0</v>
      </c>
      <c r="J1469" s="177"/>
      <c r="K1469" s="222"/>
      <c r="L1469" s="222"/>
      <c r="M1469" s="222"/>
      <c r="N1469" s="222"/>
      <c r="O1469" s="222"/>
      <c r="P1469" s="222"/>
      <c r="Q1469" s="222"/>
      <c r="R1469" s="222"/>
    </row>
    <row r="1470" spans="1:18" s="46" customFormat="1" ht="31.5" hidden="1" customHeight="1">
      <c r="A1470" s="82" t="s">
        <v>38</v>
      </c>
      <c r="B1470" s="149">
        <v>793</v>
      </c>
      <c r="C1470" s="84" t="s">
        <v>173</v>
      </c>
      <c r="D1470" s="84" t="s">
        <v>70</v>
      </c>
      <c r="E1470" s="84" t="s">
        <v>380</v>
      </c>
      <c r="F1470" s="84" t="s">
        <v>39</v>
      </c>
      <c r="G1470" s="87"/>
      <c r="H1470" s="87"/>
      <c r="I1470" s="87"/>
      <c r="J1470" s="177"/>
      <c r="K1470" s="222"/>
      <c r="L1470" s="222"/>
      <c r="M1470" s="222"/>
      <c r="N1470" s="222"/>
      <c r="O1470" s="222"/>
      <c r="P1470" s="222"/>
      <c r="Q1470" s="222"/>
      <c r="R1470" s="222"/>
    </row>
    <row r="1471" spans="1:18" ht="30.75" hidden="1" customHeight="1">
      <c r="A1471" s="82" t="s">
        <v>474</v>
      </c>
      <c r="B1471" s="149">
        <v>793</v>
      </c>
      <c r="C1471" s="84" t="s">
        <v>173</v>
      </c>
      <c r="D1471" s="84" t="s">
        <v>70</v>
      </c>
      <c r="E1471" s="84" t="s">
        <v>262</v>
      </c>
      <c r="F1471" s="84"/>
      <c r="G1471" s="87">
        <f>G1472</f>
        <v>0</v>
      </c>
      <c r="H1471" s="87">
        <v>0</v>
      </c>
      <c r="I1471" s="87">
        <v>0</v>
      </c>
      <c r="J1471" s="177"/>
    </row>
    <row r="1472" spans="1:18" ht="21.75" hidden="1" customHeight="1">
      <c r="A1472" s="133" t="s">
        <v>515</v>
      </c>
      <c r="B1472" s="149">
        <v>793</v>
      </c>
      <c r="C1472" s="84" t="s">
        <v>173</v>
      </c>
      <c r="D1472" s="84" t="s">
        <v>70</v>
      </c>
      <c r="E1472" s="84" t="s">
        <v>520</v>
      </c>
      <c r="F1472" s="84"/>
      <c r="G1472" s="87">
        <f>G1473</f>
        <v>0</v>
      </c>
      <c r="H1472" s="87">
        <v>0</v>
      </c>
      <c r="I1472" s="87">
        <v>0</v>
      </c>
      <c r="J1472" s="177"/>
    </row>
    <row r="1473" spans="1:18" ht="21" hidden="1" customHeight="1">
      <c r="A1473" s="82" t="s">
        <v>156</v>
      </c>
      <c r="B1473" s="149">
        <v>793</v>
      </c>
      <c r="C1473" s="84" t="s">
        <v>173</v>
      </c>
      <c r="D1473" s="84" t="s">
        <v>70</v>
      </c>
      <c r="E1473" s="84" t="s">
        <v>520</v>
      </c>
      <c r="F1473" s="84" t="s">
        <v>157</v>
      </c>
      <c r="G1473" s="87">
        <f>G1474</f>
        <v>0</v>
      </c>
      <c r="H1473" s="87">
        <v>0</v>
      </c>
      <c r="I1473" s="87">
        <v>0</v>
      </c>
      <c r="J1473" s="177"/>
    </row>
    <row r="1474" spans="1:18" ht="1.5" customHeight="1">
      <c r="A1474" s="82" t="s">
        <v>170</v>
      </c>
      <c r="B1474" s="149">
        <v>793</v>
      </c>
      <c r="C1474" s="84" t="s">
        <v>173</v>
      </c>
      <c r="D1474" s="84" t="s">
        <v>70</v>
      </c>
      <c r="E1474" s="84" t="s">
        <v>520</v>
      </c>
      <c r="F1474" s="84" t="s">
        <v>171</v>
      </c>
      <c r="G1474" s="87"/>
      <c r="H1474" s="87">
        <v>0</v>
      </c>
      <c r="I1474" s="87">
        <v>0</v>
      </c>
      <c r="J1474" s="177"/>
    </row>
    <row r="1475" spans="1:18" ht="36" customHeight="1">
      <c r="A1475" s="82" t="s">
        <v>840</v>
      </c>
      <c r="B1475" s="149">
        <v>793</v>
      </c>
      <c r="C1475" s="84" t="s">
        <v>54</v>
      </c>
      <c r="D1475" s="84" t="s">
        <v>88</v>
      </c>
      <c r="E1475" s="149" t="s">
        <v>841</v>
      </c>
      <c r="F1475" s="149"/>
      <c r="G1475" s="87">
        <f>G1476</f>
        <v>363450</v>
      </c>
      <c r="H1475" s="87">
        <f>H1476</f>
        <v>0</v>
      </c>
      <c r="I1475" s="87">
        <f>I1476</f>
        <v>0</v>
      </c>
      <c r="J1475" s="177"/>
    </row>
    <row r="1476" spans="1:18" ht="39" customHeight="1">
      <c r="A1476" s="82" t="s">
        <v>843</v>
      </c>
      <c r="B1476" s="149">
        <v>793</v>
      </c>
      <c r="C1476" s="84" t="s">
        <v>54</v>
      </c>
      <c r="D1476" s="84" t="s">
        <v>88</v>
      </c>
      <c r="E1476" s="149" t="s">
        <v>842</v>
      </c>
      <c r="F1476" s="149"/>
      <c r="G1476" s="87">
        <f>G1477</f>
        <v>363450</v>
      </c>
      <c r="H1476" s="87">
        <f t="shared" ref="H1476:I1476" si="383">H1477</f>
        <v>0</v>
      </c>
      <c r="I1476" s="87">
        <f t="shared" si="383"/>
        <v>0</v>
      </c>
      <c r="J1476" s="177"/>
    </row>
    <row r="1477" spans="1:18" ht="17.25" customHeight="1">
      <c r="A1477" s="82" t="s">
        <v>323</v>
      </c>
      <c r="B1477" s="149">
        <v>793</v>
      </c>
      <c r="C1477" s="84" t="s">
        <v>54</v>
      </c>
      <c r="D1477" s="84" t="s">
        <v>88</v>
      </c>
      <c r="E1477" s="149" t="s">
        <v>842</v>
      </c>
      <c r="F1477" s="149">
        <v>200</v>
      </c>
      <c r="G1477" s="87">
        <f>G1478</f>
        <v>363450</v>
      </c>
      <c r="H1477" s="87">
        <f>H1478</f>
        <v>0</v>
      </c>
      <c r="I1477" s="87">
        <f>I1478</f>
        <v>0</v>
      </c>
      <c r="J1477" s="177"/>
    </row>
    <row r="1478" spans="1:18" ht="27.75" customHeight="1">
      <c r="A1478" s="82" t="s">
        <v>38</v>
      </c>
      <c r="B1478" s="149">
        <v>793</v>
      </c>
      <c r="C1478" s="84" t="s">
        <v>54</v>
      </c>
      <c r="D1478" s="84" t="s">
        <v>88</v>
      </c>
      <c r="E1478" s="149" t="s">
        <v>842</v>
      </c>
      <c r="F1478" s="149">
        <v>240</v>
      </c>
      <c r="G1478" s="87">
        <v>363450</v>
      </c>
      <c r="H1478" s="87">
        <v>0</v>
      </c>
      <c r="I1478" s="87">
        <v>0</v>
      </c>
      <c r="J1478" s="177"/>
    </row>
    <row r="1479" spans="1:18" s="28" customFormat="1" ht="24.75" customHeight="1">
      <c r="A1479" s="139" t="s">
        <v>169</v>
      </c>
      <c r="B1479" s="149">
        <v>793</v>
      </c>
      <c r="C1479" s="84" t="s">
        <v>54</v>
      </c>
      <c r="D1479" s="84" t="s">
        <v>88</v>
      </c>
      <c r="E1479" s="84" t="s">
        <v>233</v>
      </c>
      <c r="F1479" s="168"/>
      <c r="G1479" s="87">
        <f t="shared" ref="G1479:I1483" si="384">G1480</f>
        <v>45317.440000000002</v>
      </c>
      <c r="H1479" s="87">
        <f t="shared" si="384"/>
        <v>0</v>
      </c>
      <c r="I1479" s="87">
        <f t="shared" si="384"/>
        <v>0</v>
      </c>
      <c r="J1479" s="177"/>
      <c r="K1479" s="204"/>
      <c r="L1479" s="204"/>
      <c r="M1479" s="204"/>
      <c r="N1479" s="204"/>
      <c r="O1479" s="204"/>
      <c r="P1479" s="204"/>
      <c r="Q1479" s="204"/>
      <c r="R1479" s="204"/>
    </row>
    <row r="1480" spans="1:18" ht="25.5">
      <c r="A1480" s="139" t="s">
        <v>169</v>
      </c>
      <c r="B1480" s="149">
        <v>793</v>
      </c>
      <c r="C1480" s="84" t="s">
        <v>54</v>
      </c>
      <c r="D1480" s="84" t="s">
        <v>88</v>
      </c>
      <c r="E1480" s="84" t="s">
        <v>275</v>
      </c>
      <c r="F1480" s="149"/>
      <c r="G1480" s="87">
        <f>G1483+G1481</f>
        <v>45317.440000000002</v>
      </c>
      <c r="H1480" s="87">
        <f>H1483</f>
        <v>0</v>
      </c>
      <c r="I1480" s="87">
        <f>I1483</f>
        <v>0</v>
      </c>
      <c r="J1480" s="177"/>
    </row>
    <row r="1481" spans="1:18" ht="17.25" customHeight="1">
      <c r="A1481" s="82" t="s">
        <v>323</v>
      </c>
      <c r="B1481" s="149">
        <v>793</v>
      </c>
      <c r="C1481" s="84" t="s">
        <v>54</v>
      </c>
      <c r="D1481" s="84" t="s">
        <v>88</v>
      </c>
      <c r="E1481" s="149" t="s">
        <v>275</v>
      </c>
      <c r="F1481" s="149">
        <v>200</v>
      </c>
      <c r="G1481" s="87">
        <f>G1482</f>
        <v>35000</v>
      </c>
      <c r="H1481" s="87">
        <f>H1482</f>
        <v>0</v>
      </c>
      <c r="I1481" s="87">
        <f>I1482</f>
        <v>0</v>
      </c>
      <c r="J1481" s="177"/>
    </row>
    <row r="1482" spans="1:18" ht="27.75" customHeight="1">
      <c r="A1482" s="82" t="s">
        <v>38</v>
      </c>
      <c r="B1482" s="149">
        <v>793</v>
      </c>
      <c r="C1482" s="84" t="s">
        <v>54</v>
      </c>
      <c r="D1482" s="84" t="s">
        <v>88</v>
      </c>
      <c r="E1482" s="149" t="s">
        <v>275</v>
      </c>
      <c r="F1482" s="149">
        <v>240</v>
      </c>
      <c r="G1482" s="87">
        <v>35000</v>
      </c>
      <c r="H1482" s="87">
        <v>0</v>
      </c>
      <c r="I1482" s="87">
        <v>0</v>
      </c>
      <c r="J1482" s="177"/>
    </row>
    <row r="1483" spans="1:18">
      <c r="A1483" s="82" t="s">
        <v>156</v>
      </c>
      <c r="B1483" s="149">
        <v>793</v>
      </c>
      <c r="C1483" s="84" t="s">
        <v>54</v>
      </c>
      <c r="D1483" s="84" t="s">
        <v>88</v>
      </c>
      <c r="E1483" s="84" t="s">
        <v>275</v>
      </c>
      <c r="F1483" s="84" t="s">
        <v>157</v>
      </c>
      <c r="G1483" s="87">
        <f t="shared" si="384"/>
        <v>10317.44</v>
      </c>
      <c r="H1483" s="87">
        <f t="shared" si="384"/>
        <v>0</v>
      </c>
      <c r="I1483" s="87">
        <f t="shared" si="384"/>
        <v>0</v>
      </c>
      <c r="J1483" s="177"/>
    </row>
    <row r="1484" spans="1:18">
      <c r="A1484" s="82" t="s">
        <v>178</v>
      </c>
      <c r="B1484" s="149">
        <v>793</v>
      </c>
      <c r="C1484" s="84" t="s">
        <v>54</v>
      </c>
      <c r="D1484" s="84" t="s">
        <v>88</v>
      </c>
      <c r="E1484" s="84" t="s">
        <v>275</v>
      </c>
      <c r="F1484" s="84" t="s">
        <v>179</v>
      </c>
      <c r="G1484" s="87">
        <v>10317.44</v>
      </c>
      <c r="H1484" s="87"/>
      <c r="I1484" s="87"/>
      <c r="J1484" s="177"/>
    </row>
    <row r="1485" spans="1:18">
      <c r="A1485" s="134" t="s">
        <v>346</v>
      </c>
      <c r="B1485" s="273">
        <v>793</v>
      </c>
      <c r="C1485" s="270" t="s">
        <v>173</v>
      </c>
      <c r="D1485" s="270"/>
      <c r="E1485" s="270"/>
      <c r="F1485" s="270"/>
      <c r="G1485" s="267">
        <f>G1727+G1592+G1846+G1869+G1486+G1528+G1625</f>
        <v>82506108.25</v>
      </c>
      <c r="H1485" s="267">
        <f>H1727+H1592+H1846+H1869+H1486+H1528+H1625</f>
        <v>11685703.07</v>
      </c>
      <c r="I1485" s="267">
        <f>I1727+I1592+I1846+I1869+I1486+I1528+I1625</f>
        <v>205997024.25</v>
      </c>
      <c r="J1485" s="191"/>
      <c r="P1485" s="209"/>
      <c r="Q1485" s="209"/>
    </row>
    <row r="1486" spans="1:18">
      <c r="A1486" s="132" t="s">
        <v>174</v>
      </c>
      <c r="B1486" s="83">
        <v>793</v>
      </c>
      <c r="C1486" s="153" t="s">
        <v>173</v>
      </c>
      <c r="D1486" s="153" t="s">
        <v>19</v>
      </c>
      <c r="E1486" s="270"/>
      <c r="F1486" s="270"/>
      <c r="G1486" s="94">
        <f>G1487+G1504</f>
        <v>50407350</v>
      </c>
      <c r="H1486" s="94">
        <f t="shared" ref="H1486:I1486" si="385">H1487+H1504</f>
        <v>3800000</v>
      </c>
      <c r="I1486" s="94">
        <f t="shared" si="385"/>
        <v>201712224.15000001</v>
      </c>
      <c r="J1486" s="194"/>
      <c r="K1486" s="194"/>
      <c r="L1486" s="194"/>
      <c r="M1486" s="194"/>
      <c r="N1486" s="194"/>
      <c r="O1486" s="194"/>
    </row>
    <row r="1487" spans="1:18" ht="51">
      <c r="A1487" s="82" t="s">
        <v>494</v>
      </c>
      <c r="B1487" s="83">
        <v>793</v>
      </c>
      <c r="C1487" s="84" t="s">
        <v>173</v>
      </c>
      <c r="D1487" s="84" t="s">
        <v>19</v>
      </c>
      <c r="E1487" s="84" t="s">
        <v>295</v>
      </c>
      <c r="F1487" s="84"/>
      <c r="G1487" s="87">
        <f>G1490+G1494+G1497+G1503+G1498</f>
        <v>2353350</v>
      </c>
      <c r="H1487" s="87">
        <f t="shared" ref="H1487:I1487" si="386">H1490+H1494+H1497+H1503+H1498</f>
        <v>2000000</v>
      </c>
      <c r="I1487" s="87">
        <f t="shared" si="386"/>
        <v>2000000</v>
      </c>
      <c r="J1487" s="177"/>
    </row>
    <row r="1488" spans="1:18" s="18" customFormat="1" ht="20.25" hidden="1" customHeight="1">
      <c r="A1488" s="82" t="s">
        <v>85</v>
      </c>
      <c r="B1488" s="83">
        <v>793</v>
      </c>
      <c r="C1488" s="84" t="s">
        <v>173</v>
      </c>
      <c r="D1488" s="84" t="s">
        <v>19</v>
      </c>
      <c r="E1488" s="84" t="s">
        <v>84</v>
      </c>
      <c r="F1488" s="84"/>
      <c r="G1488" s="87">
        <f t="shared" ref="G1488:I1489" si="387">G1489</f>
        <v>0</v>
      </c>
      <c r="H1488" s="87">
        <f t="shared" si="387"/>
        <v>0</v>
      </c>
      <c r="I1488" s="87">
        <f t="shared" si="387"/>
        <v>0</v>
      </c>
      <c r="J1488" s="177"/>
      <c r="K1488" s="200"/>
      <c r="L1488" s="200"/>
      <c r="M1488" s="200"/>
      <c r="N1488" s="200"/>
      <c r="O1488" s="200"/>
      <c r="P1488" s="200"/>
      <c r="Q1488" s="200"/>
      <c r="R1488" s="200"/>
    </row>
    <row r="1489" spans="1:18" ht="30.75" hidden="1" customHeight="1">
      <c r="A1489" s="82" t="s">
        <v>36</v>
      </c>
      <c r="B1489" s="83">
        <v>793</v>
      </c>
      <c r="C1489" s="84" t="s">
        <v>173</v>
      </c>
      <c r="D1489" s="84" t="s">
        <v>19</v>
      </c>
      <c r="E1489" s="84" t="s">
        <v>84</v>
      </c>
      <c r="F1489" s="84" t="s">
        <v>37</v>
      </c>
      <c r="G1489" s="87">
        <f t="shared" si="387"/>
        <v>0</v>
      </c>
      <c r="H1489" s="87">
        <f t="shared" si="387"/>
        <v>0</v>
      </c>
      <c r="I1489" s="87">
        <f t="shared" si="387"/>
        <v>0</v>
      </c>
      <c r="J1489" s="177"/>
    </row>
    <row r="1490" spans="1:18" s="18" customFormat="1" ht="34.5" hidden="1" customHeight="1">
      <c r="A1490" s="82" t="s">
        <v>38</v>
      </c>
      <c r="B1490" s="83">
        <v>793</v>
      </c>
      <c r="C1490" s="84" t="s">
        <v>173</v>
      </c>
      <c r="D1490" s="84" t="s">
        <v>19</v>
      </c>
      <c r="E1490" s="84" t="s">
        <v>84</v>
      </c>
      <c r="F1490" s="84" t="s">
        <v>39</v>
      </c>
      <c r="G1490" s="87"/>
      <c r="H1490" s="87"/>
      <c r="I1490" s="87"/>
      <c r="J1490" s="177"/>
      <c r="K1490" s="200"/>
      <c r="L1490" s="200"/>
      <c r="M1490" s="200"/>
      <c r="N1490" s="200"/>
      <c r="O1490" s="200"/>
      <c r="P1490" s="200"/>
      <c r="Q1490" s="200"/>
      <c r="R1490" s="200"/>
    </row>
    <row r="1491" spans="1:18" s="3" customFormat="1" ht="52.5" hidden="1" customHeight="1">
      <c r="A1491" s="82"/>
      <c r="B1491" s="83"/>
      <c r="C1491" s="84"/>
      <c r="D1491" s="84"/>
      <c r="E1491" s="84"/>
      <c r="F1491" s="84"/>
      <c r="G1491" s="87"/>
      <c r="H1491" s="87"/>
      <c r="I1491" s="87"/>
      <c r="J1491" s="177"/>
      <c r="K1491" s="199"/>
      <c r="L1491" s="199"/>
      <c r="M1491" s="199"/>
      <c r="N1491" s="199"/>
      <c r="O1491" s="199"/>
      <c r="P1491" s="199"/>
      <c r="Q1491" s="199"/>
      <c r="R1491" s="199"/>
    </row>
    <row r="1492" spans="1:18" s="18" customFormat="1" ht="63" hidden="1" customHeight="1">
      <c r="A1492" s="82" t="s">
        <v>81</v>
      </c>
      <c r="B1492" s="83">
        <v>793</v>
      </c>
      <c r="C1492" s="84" t="s">
        <v>173</v>
      </c>
      <c r="D1492" s="84" t="s">
        <v>19</v>
      </c>
      <c r="E1492" s="84" t="s">
        <v>80</v>
      </c>
      <c r="F1492" s="84"/>
      <c r="G1492" s="87">
        <f t="shared" ref="G1492:I1493" si="388">G1493</f>
        <v>0</v>
      </c>
      <c r="H1492" s="87">
        <f t="shared" si="388"/>
        <v>0</v>
      </c>
      <c r="I1492" s="87">
        <f t="shared" si="388"/>
        <v>0</v>
      </c>
      <c r="J1492" s="177"/>
      <c r="K1492" s="200"/>
      <c r="L1492" s="200"/>
      <c r="M1492" s="200"/>
      <c r="N1492" s="200"/>
      <c r="O1492" s="200"/>
      <c r="P1492" s="200"/>
      <c r="Q1492" s="200"/>
      <c r="R1492" s="200"/>
    </row>
    <row r="1493" spans="1:18" ht="30.75" hidden="1" customHeight="1">
      <c r="A1493" s="82" t="s">
        <v>36</v>
      </c>
      <c r="B1493" s="83">
        <v>793</v>
      </c>
      <c r="C1493" s="84" t="s">
        <v>173</v>
      </c>
      <c r="D1493" s="84" t="s">
        <v>19</v>
      </c>
      <c r="E1493" s="84" t="s">
        <v>80</v>
      </c>
      <c r="F1493" s="84" t="s">
        <v>37</v>
      </c>
      <c r="G1493" s="87">
        <f t="shared" si="388"/>
        <v>0</v>
      </c>
      <c r="H1493" s="87">
        <f t="shared" si="388"/>
        <v>0</v>
      </c>
      <c r="I1493" s="87">
        <f t="shared" si="388"/>
        <v>0</v>
      </c>
      <c r="J1493" s="177"/>
    </row>
    <row r="1494" spans="1:18" s="18" customFormat="1" ht="34.5" hidden="1" customHeight="1">
      <c r="A1494" s="82" t="s">
        <v>38</v>
      </c>
      <c r="B1494" s="83">
        <v>793</v>
      </c>
      <c r="C1494" s="84" t="s">
        <v>173</v>
      </c>
      <c r="D1494" s="84" t="s">
        <v>19</v>
      </c>
      <c r="E1494" s="84" t="s">
        <v>80</v>
      </c>
      <c r="F1494" s="84" t="s">
        <v>39</v>
      </c>
      <c r="G1494" s="87"/>
      <c r="H1494" s="87"/>
      <c r="I1494" s="87"/>
      <c r="J1494" s="177"/>
      <c r="K1494" s="200"/>
      <c r="L1494" s="200"/>
      <c r="M1494" s="200"/>
      <c r="N1494" s="200"/>
      <c r="O1494" s="200"/>
      <c r="P1494" s="200"/>
      <c r="Q1494" s="200"/>
      <c r="R1494" s="200"/>
    </row>
    <row r="1495" spans="1:18" s="18" customFormat="1" ht="35.25" customHeight="1">
      <c r="A1495" s="82" t="s">
        <v>972</v>
      </c>
      <c r="B1495" s="83">
        <v>793</v>
      </c>
      <c r="C1495" s="84" t="s">
        <v>173</v>
      </c>
      <c r="D1495" s="84" t="s">
        <v>19</v>
      </c>
      <c r="E1495" s="84" t="s">
        <v>82</v>
      </c>
      <c r="F1495" s="84"/>
      <c r="G1495" s="87">
        <f t="shared" ref="G1495:I1499" si="389">G1496</f>
        <v>1353350</v>
      </c>
      <c r="H1495" s="87">
        <f t="shared" si="389"/>
        <v>1000000</v>
      </c>
      <c r="I1495" s="87">
        <f t="shared" si="389"/>
        <v>1000000</v>
      </c>
      <c r="J1495" s="177"/>
      <c r="K1495" s="200"/>
      <c r="L1495" s="200"/>
      <c r="M1495" s="200"/>
      <c r="N1495" s="200"/>
      <c r="O1495" s="200"/>
      <c r="P1495" s="200"/>
      <c r="Q1495" s="200"/>
      <c r="R1495" s="200"/>
    </row>
    <row r="1496" spans="1:18" ht="35.25" customHeight="1">
      <c r="A1496" s="82" t="s">
        <v>36</v>
      </c>
      <c r="B1496" s="83">
        <v>793</v>
      </c>
      <c r="C1496" s="84" t="s">
        <v>173</v>
      </c>
      <c r="D1496" s="84" t="s">
        <v>19</v>
      </c>
      <c r="E1496" s="84" t="s">
        <v>82</v>
      </c>
      <c r="F1496" s="84" t="s">
        <v>37</v>
      </c>
      <c r="G1496" s="87">
        <f t="shared" si="389"/>
        <v>1353350</v>
      </c>
      <c r="H1496" s="87">
        <f t="shared" si="389"/>
        <v>1000000</v>
      </c>
      <c r="I1496" s="87">
        <f t="shared" si="389"/>
        <v>1000000</v>
      </c>
      <c r="J1496" s="177"/>
    </row>
    <row r="1497" spans="1:18" s="18" customFormat="1" ht="35.25" customHeight="1">
      <c r="A1497" s="82" t="s">
        <v>38</v>
      </c>
      <c r="B1497" s="83">
        <v>793</v>
      </c>
      <c r="C1497" s="84" t="s">
        <v>173</v>
      </c>
      <c r="D1497" s="84" t="s">
        <v>19</v>
      </c>
      <c r="E1497" s="84" t="s">
        <v>82</v>
      </c>
      <c r="F1497" s="84" t="s">
        <v>39</v>
      </c>
      <c r="G1497" s="87">
        <f>2000000-125000-875000+353350</f>
        <v>1353350</v>
      </c>
      <c r="H1497" s="87">
        <v>1000000</v>
      </c>
      <c r="I1497" s="87">
        <v>1000000</v>
      </c>
      <c r="J1497" s="177"/>
      <c r="K1497" s="200"/>
      <c r="L1497" s="200"/>
      <c r="M1497" s="200"/>
      <c r="N1497" s="200"/>
      <c r="O1497" s="200"/>
      <c r="P1497" s="200"/>
      <c r="Q1497" s="200"/>
      <c r="R1497" s="200"/>
    </row>
    <row r="1498" spans="1:18" s="18" customFormat="1" ht="35.25" customHeight="1">
      <c r="A1498" s="82" t="s">
        <v>966</v>
      </c>
      <c r="B1498" s="83">
        <v>793</v>
      </c>
      <c r="C1498" s="84" t="s">
        <v>173</v>
      </c>
      <c r="D1498" s="84" t="s">
        <v>19</v>
      </c>
      <c r="E1498" s="84" t="s">
        <v>965</v>
      </c>
      <c r="F1498" s="84"/>
      <c r="G1498" s="87">
        <f t="shared" si="389"/>
        <v>875000</v>
      </c>
      <c r="H1498" s="87">
        <f t="shared" si="389"/>
        <v>875000</v>
      </c>
      <c r="I1498" s="87">
        <f t="shared" si="389"/>
        <v>875000</v>
      </c>
      <c r="J1498" s="177"/>
      <c r="K1498" s="200"/>
      <c r="L1498" s="200"/>
      <c r="M1498" s="200"/>
      <c r="N1498" s="200"/>
      <c r="O1498" s="200"/>
      <c r="P1498" s="200"/>
      <c r="Q1498" s="200"/>
      <c r="R1498" s="200"/>
    </row>
    <row r="1499" spans="1:18" ht="35.25" customHeight="1">
      <c r="A1499" s="82" t="s">
        <v>36</v>
      </c>
      <c r="B1499" s="83">
        <v>793</v>
      </c>
      <c r="C1499" s="84" t="s">
        <v>173</v>
      </c>
      <c r="D1499" s="84" t="s">
        <v>19</v>
      </c>
      <c r="E1499" s="84" t="s">
        <v>965</v>
      </c>
      <c r="F1499" s="84" t="s">
        <v>37</v>
      </c>
      <c r="G1499" s="87">
        <f t="shared" si="389"/>
        <v>875000</v>
      </c>
      <c r="H1499" s="87">
        <f t="shared" si="389"/>
        <v>875000</v>
      </c>
      <c r="I1499" s="87">
        <f t="shared" si="389"/>
        <v>875000</v>
      </c>
      <c r="J1499" s="177"/>
    </row>
    <row r="1500" spans="1:18" s="18" customFormat="1" ht="35.25" customHeight="1">
      <c r="A1500" s="82" t="s">
        <v>38</v>
      </c>
      <c r="B1500" s="83">
        <v>793</v>
      </c>
      <c r="C1500" s="84" t="s">
        <v>173</v>
      </c>
      <c r="D1500" s="84" t="s">
        <v>19</v>
      </c>
      <c r="E1500" s="84" t="s">
        <v>965</v>
      </c>
      <c r="F1500" s="84" t="s">
        <v>39</v>
      </c>
      <c r="G1500" s="87">
        <v>875000</v>
      </c>
      <c r="H1500" s="87">
        <v>875000</v>
      </c>
      <c r="I1500" s="87">
        <v>875000</v>
      </c>
      <c r="J1500" s="177"/>
      <c r="K1500" s="200"/>
      <c r="L1500" s="200"/>
      <c r="M1500" s="200"/>
      <c r="N1500" s="200"/>
      <c r="O1500" s="200"/>
      <c r="P1500" s="200"/>
      <c r="Q1500" s="200"/>
      <c r="R1500" s="200"/>
    </row>
    <row r="1501" spans="1:18" s="18" customFormat="1" ht="20.25" customHeight="1">
      <c r="A1501" s="82" t="s">
        <v>85</v>
      </c>
      <c r="B1501" s="83">
        <v>793</v>
      </c>
      <c r="C1501" s="84" t="s">
        <v>173</v>
      </c>
      <c r="D1501" s="84" t="s">
        <v>19</v>
      </c>
      <c r="E1501" s="84" t="s">
        <v>84</v>
      </c>
      <c r="F1501" s="84"/>
      <c r="G1501" s="87">
        <f t="shared" ref="G1501:I1502" si="390">G1502</f>
        <v>125000</v>
      </c>
      <c r="H1501" s="87">
        <f t="shared" si="390"/>
        <v>125000</v>
      </c>
      <c r="I1501" s="87">
        <f t="shared" si="390"/>
        <v>125000</v>
      </c>
      <c r="J1501" s="177"/>
      <c r="K1501" s="200"/>
      <c r="L1501" s="200"/>
      <c r="M1501" s="200"/>
      <c r="N1501" s="200"/>
      <c r="O1501" s="200"/>
      <c r="P1501" s="200"/>
      <c r="Q1501" s="200"/>
      <c r="R1501" s="200"/>
    </row>
    <row r="1502" spans="1:18" ht="30.75" customHeight="1">
      <c r="A1502" s="82" t="s">
        <v>36</v>
      </c>
      <c r="B1502" s="83">
        <v>793</v>
      </c>
      <c r="C1502" s="84" t="s">
        <v>173</v>
      </c>
      <c r="D1502" s="84" t="s">
        <v>19</v>
      </c>
      <c r="E1502" s="84" t="s">
        <v>84</v>
      </c>
      <c r="F1502" s="84" t="s">
        <v>37</v>
      </c>
      <c r="G1502" s="87">
        <f t="shared" si="390"/>
        <v>125000</v>
      </c>
      <c r="H1502" s="87">
        <f t="shared" si="390"/>
        <v>125000</v>
      </c>
      <c r="I1502" s="87">
        <f t="shared" si="390"/>
        <v>125000</v>
      </c>
      <c r="J1502" s="177"/>
    </row>
    <row r="1503" spans="1:18" s="18" customFormat="1" ht="34.5" customHeight="1">
      <c r="A1503" s="82" t="s">
        <v>38</v>
      </c>
      <c r="B1503" s="83">
        <v>793</v>
      </c>
      <c r="C1503" s="84" t="s">
        <v>173</v>
      </c>
      <c r="D1503" s="84" t="s">
        <v>19</v>
      </c>
      <c r="E1503" s="84" t="s">
        <v>84</v>
      </c>
      <c r="F1503" s="84" t="s">
        <v>39</v>
      </c>
      <c r="G1503" s="87">
        <v>125000</v>
      </c>
      <c r="H1503" s="87">
        <v>125000</v>
      </c>
      <c r="I1503" s="87">
        <v>125000</v>
      </c>
      <c r="J1503" s="177"/>
      <c r="K1503" s="200"/>
      <c r="L1503" s="200"/>
      <c r="M1503" s="200"/>
      <c r="N1503" s="200"/>
      <c r="O1503" s="200"/>
      <c r="P1503" s="200"/>
      <c r="Q1503" s="200"/>
      <c r="R1503" s="200"/>
    </row>
    <row r="1504" spans="1:18" s="18" customFormat="1" ht="51">
      <c r="A1504" s="82" t="s">
        <v>513</v>
      </c>
      <c r="B1504" s="83">
        <v>793</v>
      </c>
      <c r="C1504" s="153" t="s">
        <v>173</v>
      </c>
      <c r="D1504" s="153" t="s">
        <v>19</v>
      </c>
      <c r="E1504" s="84" t="s">
        <v>214</v>
      </c>
      <c r="F1504" s="84"/>
      <c r="G1504" s="87">
        <f>G1505+G1511+G1508+G1515+G1520+G1525</f>
        <v>48054000</v>
      </c>
      <c r="H1504" s="87">
        <f t="shared" ref="H1504:I1504" si="391">H1505+H1511+H1508+H1515+H1520+H1525</f>
        <v>1800000</v>
      </c>
      <c r="I1504" s="87">
        <f t="shared" si="391"/>
        <v>199712224.15000001</v>
      </c>
      <c r="J1504" s="177"/>
      <c r="K1504" s="200"/>
      <c r="L1504" s="200"/>
      <c r="M1504" s="200"/>
      <c r="N1504" s="200"/>
      <c r="O1504" s="200"/>
      <c r="P1504" s="200"/>
      <c r="Q1504" s="200"/>
      <c r="R1504" s="200"/>
    </row>
    <row r="1505" spans="1:18" s="18" customFormat="1" ht="89.25" hidden="1">
      <c r="A1505" s="82" t="s">
        <v>438</v>
      </c>
      <c r="B1505" s="83">
        <v>793</v>
      </c>
      <c r="C1505" s="153" t="s">
        <v>173</v>
      </c>
      <c r="D1505" s="153" t="s">
        <v>19</v>
      </c>
      <c r="E1505" s="84" t="s">
        <v>524</v>
      </c>
      <c r="F1505" s="84"/>
      <c r="G1505" s="87">
        <f>G1506</f>
        <v>0</v>
      </c>
      <c r="H1505" s="87">
        <f t="shared" ref="H1505:I1509" si="392">H1506</f>
        <v>0</v>
      </c>
      <c r="I1505" s="87">
        <f t="shared" si="392"/>
        <v>0</v>
      </c>
      <c r="J1505" s="177"/>
      <c r="K1505" s="200"/>
      <c r="L1505" s="200"/>
      <c r="M1505" s="200"/>
      <c r="N1505" s="200"/>
      <c r="O1505" s="200"/>
      <c r="P1505" s="200"/>
      <c r="Q1505" s="200"/>
      <c r="R1505" s="200"/>
    </row>
    <row r="1506" spans="1:18" s="18" customFormat="1" ht="23.25" hidden="1" customHeight="1">
      <c r="A1506" s="82" t="s">
        <v>63</v>
      </c>
      <c r="B1506" s="83">
        <v>793</v>
      </c>
      <c r="C1506" s="153" t="s">
        <v>173</v>
      </c>
      <c r="D1506" s="153" t="s">
        <v>19</v>
      </c>
      <c r="E1506" s="84" t="s">
        <v>524</v>
      </c>
      <c r="F1506" s="84" t="s">
        <v>64</v>
      </c>
      <c r="G1506" s="87">
        <f>G1507</f>
        <v>0</v>
      </c>
      <c r="H1506" s="87">
        <f t="shared" si="392"/>
        <v>0</v>
      </c>
      <c r="I1506" s="87">
        <f t="shared" si="392"/>
        <v>0</v>
      </c>
      <c r="J1506" s="177"/>
      <c r="K1506" s="200"/>
      <c r="L1506" s="200"/>
      <c r="M1506" s="200"/>
      <c r="N1506" s="200"/>
      <c r="O1506" s="200"/>
      <c r="P1506" s="200"/>
      <c r="Q1506" s="200"/>
      <c r="R1506" s="200"/>
    </row>
    <row r="1507" spans="1:18" s="18" customFormat="1" ht="20.25" hidden="1" customHeight="1">
      <c r="A1507" s="133" t="s">
        <v>144</v>
      </c>
      <c r="B1507" s="83">
        <v>793</v>
      </c>
      <c r="C1507" s="153" t="s">
        <v>173</v>
      </c>
      <c r="D1507" s="153" t="s">
        <v>19</v>
      </c>
      <c r="E1507" s="84" t="s">
        <v>524</v>
      </c>
      <c r="F1507" s="84" t="s">
        <v>67</v>
      </c>
      <c r="G1507" s="87"/>
      <c r="H1507" s="87"/>
      <c r="I1507" s="87"/>
      <c r="J1507" s="177"/>
      <c r="K1507" s="200"/>
      <c r="L1507" s="200"/>
      <c r="M1507" s="200"/>
      <c r="N1507" s="200"/>
      <c r="O1507" s="200"/>
      <c r="P1507" s="200"/>
      <c r="Q1507" s="200"/>
      <c r="R1507" s="200"/>
    </row>
    <row r="1508" spans="1:18" s="18" customFormat="1" ht="76.5" hidden="1">
      <c r="A1508" s="82" t="s">
        <v>439</v>
      </c>
      <c r="B1508" s="83">
        <v>793</v>
      </c>
      <c r="C1508" s="153" t="s">
        <v>173</v>
      </c>
      <c r="D1508" s="153" t="s">
        <v>19</v>
      </c>
      <c r="E1508" s="84" t="s">
        <v>525</v>
      </c>
      <c r="F1508" s="84"/>
      <c r="G1508" s="87">
        <f>G1509</f>
        <v>0</v>
      </c>
      <c r="H1508" s="87">
        <f t="shared" si="392"/>
        <v>0</v>
      </c>
      <c r="I1508" s="87">
        <f t="shared" si="392"/>
        <v>0</v>
      </c>
      <c r="J1508" s="177"/>
      <c r="K1508" s="200"/>
      <c r="L1508" s="200"/>
      <c r="M1508" s="200"/>
      <c r="N1508" s="200"/>
      <c r="O1508" s="200"/>
      <c r="P1508" s="200"/>
      <c r="Q1508" s="200"/>
      <c r="R1508" s="200"/>
    </row>
    <row r="1509" spans="1:18" s="18" customFormat="1" ht="22.5" hidden="1" customHeight="1">
      <c r="A1509" s="82" t="s">
        <v>63</v>
      </c>
      <c r="B1509" s="83">
        <v>793</v>
      </c>
      <c r="C1509" s="153" t="s">
        <v>173</v>
      </c>
      <c r="D1509" s="153" t="s">
        <v>19</v>
      </c>
      <c r="E1509" s="84" t="s">
        <v>525</v>
      </c>
      <c r="F1509" s="84" t="s">
        <v>64</v>
      </c>
      <c r="G1509" s="87">
        <f>G1510</f>
        <v>0</v>
      </c>
      <c r="H1509" s="87">
        <f t="shared" si="392"/>
        <v>0</v>
      </c>
      <c r="I1509" s="87">
        <f t="shared" si="392"/>
        <v>0</v>
      </c>
      <c r="J1509" s="177"/>
      <c r="K1509" s="200"/>
      <c r="L1509" s="200"/>
      <c r="M1509" s="200"/>
      <c r="N1509" s="200"/>
      <c r="O1509" s="200"/>
      <c r="P1509" s="200"/>
      <c r="Q1509" s="200"/>
      <c r="R1509" s="200"/>
    </row>
    <row r="1510" spans="1:18" s="18" customFormat="1" ht="17.25" hidden="1" customHeight="1">
      <c r="A1510" s="133" t="s">
        <v>144</v>
      </c>
      <c r="B1510" s="83">
        <v>793</v>
      </c>
      <c r="C1510" s="153" t="s">
        <v>173</v>
      </c>
      <c r="D1510" s="153" t="s">
        <v>19</v>
      </c>
      <c r="E1510" s="84" t="s">
        <v>525</v>
      </c>
      <c r="F1510" s="84" t="s">
        <v>67</v>
      </c>
      <c r="G1510" s="87"/>
      <c r="H1510" s="87"/>
      <c r="I1510" s="87"/>
      <c r="J1510" s="177"/>
      <c r="K1510" s="200"/>
      <c r="L1510" s="200"/>
      <c r="M1510" s="200"/>
      <c r="N1510" s="200"/>
      <c r="O1510" s="200"/>
      <c r="P1510" s="200"/>
      <c r="Q1510" s="200"/>
      <c r="R1510" s="200"/>
    </row>
    <row r="1511" spans="1:18" s="46" customFormat="1" ht="48.75" customHeight="1">
      <c r="A1511" s="82" t="s">
        <v>423</v>
      </c>
      <c r="B1511" s="83">
        <v>793</v>
      </c>
      <c r="C1511" s="153" t="s">
        <v>173</v>
      </c>
      <c r="D1511" s="153" t="s">
        <v>19</v>
      </c>
      <c r="E1511" s="84" t="s">
        <v>378</v>
      </c>
      <c r="F1511" s="84"/>
      <c r="G1511" s="87">
        <f>G1512</f>
        <v>4058000</v>
      </c>
      <c r="H1511" s="87">
        <f t="shared" ref="G1511:I1512" si="393">H1512</f>
        <v>1800000</v>
      </c>
      <c r="I1511" s="87">
        <f t="shared" si="393"/>
        <v>1800000</v>
      </c>
      <c r="J1511" s="177"/>
      <c r="K1511" s="222"/>
      <c r="L1511" s="222"/>
      <c r="M1511" s="222"/>
      <c r="N1511" s="222"/>
      <c r="O1511" s="222"/>
      <c r="P1511" s="222"/>
      <c r="Q1511" s="222"/>
      <c r="R1511" s="222"/>
    </row>
    <row r="1512" spans="1:18" s="46" customFormat="1" ht="21" customHeight="1">
      <c r="A1512" s="82" t="s">
        <v>323</v>
      </c>
      <c r="B1512" s="83">
        <v>793</v>
      </c>
      <c r="C1512" s="153" t="s">
        <v>173</v>
      </c>
      <c r="D1512" s="153" t="s">
        <v>19</v>
      </c>
      <c r="E1512" s="84" t="s">
        <v>378</v>
      </c>
      <c r="F1512" s="84" t="s">
        <v>37</v>
      </c>
      <c r="G1512" s="87">
        <f t="shared" si="393"/>
        <v>4058000</v>
      </c>
      <c r="H1512" s="87">
        <f t="shared" si="393"/>
        <v>1800000</v>
      </c>
      <c r="I1512" s="87">
        <f t="shared" si="393"/>
        <v>1800000</v>
      </c>
      <c r="J1512" s="177"/>
      <c r="K1512" s="222"/>
      <c r="L1512" s="222"/>
      <c r="M1512" s="222"/>
      <c r="N1512" s="222"/>
      <c r="O1512" s="222"/>
      <c r="P1512" s="222"/>
      <c r="Q1512" s="222"/>
      <c r="R1512" s="222"/>
    </row>
    <row r="1513" spans="1:18" s="46" customFormat="1" ht="28.5" customHeight="1">
      <c r="A1513" s="82" t="s">
        <v>38</v>
      </c>
      <c r="B1513" s="83">
        <v>793</v>
      </c>
      <c r="C1513" s="153" t="s">
        <v>173</v>
      </c>
      <c r="D1513" s="153" t="s">
        <v>19</v>
      </c>
      <c r="E1513" s="84" t="s">
        <v>378</v>
      </c>
      <c r="F1513" s="84" t="s">
        <v>39</v>
      </c>
      <c r="G1513" s="87">
        <f>1760000+1697500+600500</f>
        <v>4058000</v>
      </c>
      <c r="H1513" s="87">
        <v>1800000</v>
      </c>
      <c r="I1513" s="87">
        <v>1800000</v>
      </c>
      <c r="J1513" s="177"/>
      <c r="K1513" s="222"/>
      <c r="L1513" s="222"/>
      <c r="M1513" s="222"/>
      <c r="N1513" s="222"/>
      <c r="O1513" s="222"/>
      <c r="P1513" s="222"/>
      <c r="Q1513" s="222"/>
      <c r="R1513" s="222"/>
    </row>
    <row r="1514" spans="1:18" s="18" customFormat="1" hidden="1">
      <c r="A1514" s="82"/>
      <c r="B1514" s="83">
        <v>793</v>
      </c>
      <c r="C1514" s="153"/>
      <c r="D1514" s="153"/>
      <c r="E1514" s="84"/>
      <c r="F1514" s="84"/>
      <c r="G1514" s="87"/>
      <c r="H1514" s="87"/>
      <c r="I1514" s="87"/>
      <c r="J1514" s="177"/>
      <c r="K1514" s="200"/>
      <c r="L1514" s="200"/>
      <c r="M1514" s="200"/>
      <c r="N1514" s="200"/>
      <c r="O1514" s="200"/>
      <c r="P1514" s="200"/>
      <c r="Q1514" s="200"/>
      <c r="R1514" s="200"/>
    </row>
    <row r="1515" spans="1:18" s="18" customFormat="1" ht="89.25">
      <c r="A1515" s="82" t="s">
        <v>438</v>
      </c>
      <c r="B1515" s="83">
        <v>793</v>
      </c>
      <c r="C1515" s="153" t="s">
        <v>173</v>
      </c>
      <c r="D1515" s="153" t="s">
        <v>19</v>
      </c>
      <c r="E1515" s="84" t="s">
        <v>524</v>
      </c>
      <c r="F1515" s="84"/>
      <c r="G1515" s="87">
        <f>G1518+G1516</f>
        <v>43120000</v>
      </c>
      <c r="H1515" s="87">
        <f t="shared" ref="H1515:I1515" si="394">H1518+H1516</f>
        <v>0</v>
      </c>
      <c r="I1515" s="87">
        <f t="shared" si="394"/>
        <v>193987877.08000001</v>
      </c>
      <c r="J1515" s="177"/>
      <c r="K1515" s="200"/>
      <c r="L1515" s="200"/>
      <c r="M1515" s="200"/>
      <c r="N1515" s="200"/>
      <c r="O1515" s="200"/>
      <c r="P1515" s="200"/>
      <c r="Q1515" s="200"/>
      <c r="R1515" s="200"/>
    </row>
    <row r="1516" spans="1:18" s="18" customFormat="1" ht="35.25" customHeight="1">
      <c r="A1516" s="82" t="s">
        <v>96</v>
      </c>
      <c r="B1516" s="83">
        <v>793</v>
      </c>
      <c r="C1516" s="153" t="s">
        <v>173</v>
      </c>
      <c r="D1516" s="153" t="s">
        <v>19</v>
      </c>
      <c r="E1516" s="84" t="s">
        <v>524</v>
      </c>
      <c r="F1516" s="84" t="s">
        <v>348</v>
      </c>
      <c r="G1516" s="87">
        <f>G1517</f>
        <v>0</v>
      </c>
      <c r="H1516" s="87">
        <f t="shared" ref="H1516:I1523" si="395">H1517</f>
        <v>0</v>
      </c>
      <c r="I1516" s="87">
        <f t="shared" si="395"/>
        <v>0</v>
      </c>
      <c r="J1516" s="177"/>
      <c r="K1516" s="200"/>
      <c r="L1516" s="200"/>
      <c r="M1516" s="200"/>
      <c r="N1516" s="200"/>
      <c r="O1516" s="200"/>
      <c r="P1516" s="200"/>
      <c r="Q1516" s="200"/>
      <c r="R1516" s="200"/>
    </row>
    <row r="1517" spans="1:18" s="18" customFormat="1" ht="20.25" customHeight="1">
      <c r="A1517" s="133" t="s">
        <v>349</v>
      </c>
      <c r="B1517" s="83">
        <v>793</v>
      </c>
      <c r="C1517" s="153" t="s">
        <v>173</v>
      </c>
      <c r="D1517" s="153" t="s">
        <v>19</v>
      </c>
      <c r="E1517" s="84" t="s">
        <v>524</v>
      </c>
      <c r="F1517" s="84" t="s">
        <v>350</v>
      </c>
      <c r="G1517" s="87"/>
      <c r="H1517" s="87"/>
      <c r="I1517" s="87"/>
      <c r="J1517" s="177"/>
      <c r="K1517" s="200"/>
      <c r="L1517" s="200"/>
      <c r="M1517" s="200"/>
      <c r="N1517" s="200"/>
      <c r="O1517" s="200"/>
      <c r="P1517" s="200"/>
      <c r="Q1517" s="200"/>
      <c r="R1517" s="200"/>
    </row>
    <row r="1518" spans="1:18" s="18" customFormat="1" ht="23.25" customHeight="1">
      <c r="A1518" s="82" t="s">
        <v>63</v>
      </c>
      <c r="B1518" s="83">
        <v>793</v>
      </c>
      <c r="C1518" s="153" t="s">
        <v>173</v>
      </c>
      <c r="D1518" s="153" t="s">
        <v>19</v>
      </c>
      <c r="E1518" s="84" t="s">
        <v>524</v>
      </c>
      <c r="F1518" s="84" t="s">
        <v>64</v>
      </c>
      <c r="G1518" s="87">
        <f>G1519</f>
        <v>43120000</v>
      </c>
      <c r="H1518" s="87">
        <f t="shared" si="395"/>
        <v>0</v>
      </c>
      <c r="I1518" s="87">
        <f t="shared" si="395"/>
        <v>193987877.08000001</v>
      </c>
      <c r="J1518" s="177"/>
      <c r="K1518" s="200"/>
      <c r="L1518" s="200"/>
      <c r="M1518" s="200"/>
      <c r="N1518" s="200"/>
      <c r="O1518" s="200"/>
      <c r="P1518" s="200"/>
      <c r="Q1518" s="200"/>
      <c r="R1518" s="200"/>
    </row>
    <row r="1519" spans="1:18" s="18" customFormat="1" ht="20.25" customHeight="1">
      <c r="A1519" s="133" t="s">
        <v>144</v>
      </c>
      <c r="B1519" s="83">
        <v>793</v>
      </c>
      <c r="C1519" s="153" t="s">
        <v>173</v>
      </c>
      <c r="D1519" s="153" t="s">
        <v>19</v>
      </c>
      <c r="E1519" s="84" t="s">
        <v>524</v>
      </c>
      <c r="F1519" s="84" t="s">
        <v>67</v>
      </c>
      <c r="G1519" s="87">
        <v>43120000</v>
      </c>
      <c r="H1519" s="87">
        <v>0</v>
      </c>
      <c r="I1519" s="87">
        <v>193987877.08000001</v>
      </c>
      <c r="J1519" s="177"/>
      <c r="K1519" s="200"/>
      <c r="L1519" s="200"/>
      <c r="M1519" s="200"/>
      <c r="N1519" s="200"/>
      <c r="O1519" s="200"/>
      <c r="P1519" s="200"/>
      <c r="Q1519" s="200"/>
      <c r="R1519" s="200"/>
    </row>
    <row r="1520" spans="1:18" s="18" customFormat="1" ht="87.75" customHeight="1">
      <c r="A1520" s="82" t="s">
        <v>439</v>
      </c>
      <c r="B1520" s="83">
        <v>793</v>
      </c>
      <c r="C1520" s="153" t="s">
        <v>173</v>
      </c>
      <c r="D1520" s="153" t="s">
        <v>19</v>
      </c>
      <c r="E1520" s="84" t="s">
        <v>525</v>
      </c>
      <c r="F1520" s="84"/>
      <c r="G1520" s="87">
        <f>G1523+G1521</f>
        <v>836000</v>
      </c>
      <c r="H1520" s="87">
        <f t="shared" ref="H1520:I1520" si="396">H1523+H1521</f>
        <v>0</v>
      </c>
      <c r="I1520" s="87">
        <f t="shared" si="396"/>
        <v>3924347.07</v>
      </c>
      <c r="J1520" s="177"/>
      <c r="K1520" s="200"/>
      <c r="L1520" s="200"/>
      <c r="M1520" s="200"/>
      <c r="N1520" s="200"/>
      <c r="O1520" s="200"/>
      <c r="P1520" s="200"/>
      <c r="Q1520" s="200"/>
      <c r="R1520" s="200"/>
    </row>
    <row r="1521" spans="1:18" s="18" customFormat="1" ht="23.25" hidden="1" customHeight="1">
      <c r="A1521" s="82" t="s">
        <v>96</v>
      </c>
      <c r="B1521" s="83">
        <v>793</v>
      </c>
      <c r="C1521" s="153" t="s">
        <v>173</v>
      </c>
      <c r="D1521" s="153" t="s">
        <v>19</v>
      </c>
      <c r="E1521" s="84" t="s">
        <v>525</v>
      </c>
      <c r="F1521" s="84" t="s">
        <v>348</v>
      </c>
      <c r="G1521" s="87">
        <f>G1522</f>
        <v>0</v>
      </c>
      <c r="H1521" s="87">
        <f t="shared" si="395"/>
        <v>0</v>
      </c>
      <c r="I1521" s="87">
        <f t="shared" si="395"/>
        <v>0</v>
      </c>
      <c r="J1521" s="177"/>
      <c r="K1521" s="200"/>
      <c r="L1521" s="200"/>
      <c r="M1521" s="200"/>
      <c r="N1521" s="200"/>
      <c r="O1521" s="200"/>
      <c r="P1521" s="200"/>
      <c r="Q1521" s="200"/>
      <c r="R1521" s="200"/>
    </row>
    <row r="1522" spans="1:18" s="18" customFormat="1" ht="20.25" hidden="1" customHeight="1">
      <c r="A1522" s="133" t="s">
        <v>349</v>
      </c>
      <c r="B1522" s="83">
        <v>793</v>
      </c>
      <c r="C1522" s="153" t="s">
        <v>173</v>
      </c>
      <c r="D1522" s="153" t="s">
        <v>19</v>
      </c>
      <c r="E1522" s="84" t="s">
        <v>525</v>
      </c>
      <c r="F1522" s="84" t="s">
        <v>350</v>
      </c>
      <c r="G1522" s="87"/>
      <c r="H1522" s="87"/>
      <c r="I1522" s="87"/>
      <c r="J1522" s="177"/>
      <c r="K1522" s="200"/>
      <c r="L1522" s="200"/>
      <c r="M1522" s="200"/>
      <c r="N1522" s="200"/>
      <c r="O1522" s="200"/>
      <c r="P1522" s="200"/>
      <c r="Q1522" s="200"/>
      <c r="R1522" s="200"/>
    </row>
    <row r="1523" spans="1:18" s="18" customFormat="1" ht="22.5" customHeight="1">
      <c r="A1523" s="82" t="s">
        <v>63</v>
      </c>
      <c r="B1523" s="83">
        <v>793</v>
      </c>
      <c r="C1523" s="153" t="s">
        <v>173</v>
      </c>
      <c r="D1523" s="153" t="s">
        <v>19</v>
      </c>
      <c r="E1523" s="84" t="s">
        <v>525</v>
      </c>
      <c r="F1523" s="84" t="s">
        <v>64</v>
      </c>
      <c r="G1523" s="87">
        <f>G1524</f>
        <v>836000</v>
      </c>
      <c r="H1523" s="87">
        <f t="shared" si="395"/>
        <v>0</v>
      </c>
      <c r="I1523" s="87">
        <f t="shared" si="395"/>
        <v>3924347.07</v>
      </c>
      <c r="J1523" s="177"/>
      <c r="K1523" s="200"/>
      <c r="L1523" s="200"/>
      <c r="M1523" s="200"/>
      <c r="N1523" s="200"/>
      <c r="O1523" s="200"/>
      <c r="P1523" s="200"/>
      <c r="Q1523" s="200"/>
      <c r="R1523" s="200"/>
    </row>
    <row r="1524" spans="1:18" s="18" customFormat="1" ht="37.5" customHeight="1">
      <c r="A1524" s="133" t="s">
        <v>144</v>
      </c>
      <c r="B1524" s="83">
        <v>793</v>
      </c>
      <c r="C1524" s="153" t="s">
        <v>173</v>
      </c>
      <c r="D1524" s="153" t="s">
        <v>19</v>
      </c>
      <c r="E1524" s="84" t="s">
        <v>525</v>
      </c>
      <c r="F1524" s="84" t="s">
        <v>67</v>
      </c>
      <c r="G1524" s="87">
        <v>836000</v>
      </c>
      <c r="H1524" s="87">
        <v>0</v>
      </c>
      <c r="I1524" s="87">
        <v>3924347.07</v>
      </c>
      <c r="J1524" s="177"/>
      <c r="K1524" s="200"/>
      <c r="L1524" s="200"/>
      <c r="M1524" s="200"/>
      <c r="N1524" s="200"/>
      <c r="O1524" s="200"/>
      <c r="P1524" s="200"/>
      <c r="Q1524" s="200"/>
      <c r="R1524" s="200"/>
    </row>
    <row r="1525" spans="1:18" s="18" customFormat="1" ht="84.75" customHeight="1">
      <c r="A1525" s="82" t="s">
        <v>1008</v>
      </c>
      <c r="B1525" s="83">
        <v>793</v>
      </c>
      <c r="C1525" s="153" t="s">
        <v>173</v>
      </c>
      <c r="D1525" s="153" t="s">
        <v>19</v>
      </c>
      <c r="E1525" s="84" t="s">
        <v>1007</v>
      </c>
      <c r="F1525" s="84"/>
      <c r="G1525" s="87">
        <f>G1526</f>
        <v>40000</v>
      </c>
      <c r="H1525" s="87">
        <f t="shared" ref="H1525:I1525" si="397">H1526</f>
        <v>0</v>
      </c>
      <c r="I1525" s="87">
        <f t="shared" si="397"/>
        <v>0</v>
      </c>
      <c r="J1525" s="177"/>
      <c r="K1525" s="200"/>
      <c r="L1525" s="200"/>
      <c r="M1525" s="200"/>
      <c r="N1525" s="200"/>
      <c r="O1525" s="200"/>
      <c r="P1525" s="200"/>
      <c r="Q1525" s="200"/>
      <c r="R1525" s="200"/>
    </row>
    <row r="1526" spans="1:18" s="18" customFormat="1" ht="22.5" customHeight="1">
      <c r="A1526" s="82" t="s">
        <v>63</v>
      </c>
      <c r="B1526" s="83">
        <v>793</v>
      </c>
      <c r="C1526" s="153" t="s">
        <v>173</v>
      </c>
      <c r="D1526" s="153" t="s">
        <v>19</v>
      </c>
      <c r="E1526" s="84" t="s">
        <v>1007</v>
      </c>
      <c r="F1526" s="84" t="s">
        <v>64</v>
      </c>
      <c r="G1526" s="87">
        <f>G1527</f>
        <v>40000</v>
      </c>
      <c r="H1526" s="87">
        <f t="shared" ref="H1526:I1526" si="398">H1527</f>
        <v>0</v>
      </c>
      <c r="I1526" s="87">
        <f t="shared" si="398"/>
        <v>0</v>
      </c>
      <c r="J1526" s="177"/>
      <c r="K1526" s="200"/>
      <c r="L1526" s="200"/>
      <c r="M1526" s="200"/>
      <c r="N1526" s="200"/>
      <c r="O1526" s="200"/>
      <c r="P1526" s="200"/>
      <c r="Q1526" s="200"/>
      <c r="R1526" s="200"/>
    </row>
    <row r="1527" spans="1:18" s="18" customFormat="1" ht="37.5" customHeight="1">
      <c r="A1527" s="133" t="s">
        <v>144</v>
      </c>
      <c r="B1527" s="83">
        <v>793</v>
      </c>
      <c r="C1527" s="153" t="s">
        <v>173</v>
      </c>
      <c r="D1527" s="153" t="s">
        <v>19</v>
      </c>
      <c r="E1527" s="84" t="s">
        <v>1007</v>
      </c>
      <c r="F1527" s="84" t="s">
        <v>67</v>
      </c>
      <c r="G1527" s="87">
        <v>40000</v>
      </c>
      <c r="H1527" s="87">
        <v>0</v>
      </c>
      <c r="I1527" s="87">
        <v>0</v>
      </c>
      <c r="J1527" s="177"/>
      <c r="K1527" s="200"/>
      <c r="L1527" s="200"/>
      <c r="M1527" s="200"/>
      <c r="N1527" s="200"/>
      <c r="O1527" s="200"/>
      <c r="P1527" s="200"/>
      <c r="Q1527" s="200"/>
      <c r="R1527" s="200"/>
    </row>
    <row r="1528" spans="1:18" ht="16.5" customHeight="1">
      <c r="A1528" s="135" t="s">
        <v>175</v>
      </c>
      <c r="B1528" s="83">
        <v>793</v>
      </c>
      <c r="C1528" s="84" t="s">
        <v>173</v>
      </c>
      <c r="D1528" s="84" t="s">
        <v>28</v>
      </c>
      <c r="E1528" s="84"/>
      <c r="F1528" s="84"/>
      <c r="G1528" s="87">
        <f>G1529+G1583+G1589</f>
        <v>26084985.580000002</v>
      </c>
      <c r="H1528" s="87">
        <f t="shared" ref="H1528:I1528" si="399">H1529</f>
        <v>6900000</v>
      </c>
      <c r="I1528" s="87">
        <f t="shared" si="399"/>
        <v>3400000</v>
      </c>
      <c r="J1528" s="177"/>
    </row>
    <row r="1529" spans="1:18" s="3" customFormat="1" ht="52.5" customHeight="1">
      <c r="A1529" s="82" t="s">
        <v>494</v>
      </c>
      <c r="B1529" s="83">
        <v>793</v>
      </c>
      <c r="C1529" s="84" t="s">
        <v>173</v>
      </c>
      <c r="D1529" s="84" t="s">
        <v>28</v>
      </c>
      <c r="E1529" s="84" t="s">
        <v>295</v>
      </c>
      <c r="F1529" s="84"/>
      <c r="G1529" s="87">
        <f>G1532+G1575+G1577+G1547+G1544+G1541+G1580+G1570</f>
        <v>18525853.580000002</v>
      </c>
      <c r="H1529" s="87">
        <f>H1532+H1575+H1577+H1547</f>
        <v>6900000</v>
      </c>
      <c r="I1529" s="87">
        <f>I1532+I1575+I1577+I1547</f>
        <v>3400000</v>
      </c>
      <c r="J1529" s="177"/>
      <c r="K1529" s="199"/>
      <c r="L1529" s="199"/>
      <c r="M1529" s="199"/>
      <c r="N1529" s="199"/>
      <c r="O1529" s="199"/>
      <c r="P1529" s="199"/>
      <c r="Q1529" s="199"/>
      <c r="R1529" s="199"/>
    </row>
    <row r="1530" spans="1:18">
      <c r="A1530" s="82" t="s">
        <v>756</v>
      </c>
      <c r="B1530" s="83">
        <v>793</v>
      </c>
      <c r="C1530" s="84" t="s">
        <v>173</v>
      </c>
      <c r="D1530" s="84" t="s">
        <v>28</v>
      </c>
      <c r="E1530" s="327" t="s">
        <v>296</v>
      </c>
      <c r="F1530" s="84"/>
      <c r="G1530" s="87">
        <f>G1531+G1533</f>
        <v>7229389.1500000004</v>
      </c>
      <c r="H1530" s="87">
        <f t="shared" ref="G1530:I1545" si="400">H1531</f>
        <v>4900000</v>
      </c>
      <c r="I1530" s="87">
        <f t="shared" si="400"/>
        <v>2200000</v>
      </c>
      <c r="J1530" s="177"/>
    </row>
    <row r="1531" spans="1:18" ht="25.5">
      <c r="A1531" s="82" t="s">
        <v>36</v>
      </c>
      <c r="B1531" s="83">
        <v>793</v>
      </c>
      <c r="C1531" s="84" t="s">
        <v>173</v>
      </c>
      <c r="D1531" s="84" t="s">
        <v>28</v>
      </c>
      <c r="E1531" s="84" t="s">
        <v>296</v>
      </c>
      <c r="F1531" s="84" t="s">
        <v>37</v>
      </c>
      <c r="G1531" s="87">
        <f t="shared" si="400"/>
        <v>7229389.1500000004</v>
      </c>
      <c r="H1531" s="87">
        <f t="shared" si="400"/>
        <v>4900000</v>
      </c>
      <c r="I1531" s="87">
        <f t="shared" si="400"/>
        <v>2200000</v>
      </c>
      <c r="J1531" s="177"/>
    </row>
    <row r="1532" spans="1:18" ht="25.5">
      <c r="A1532" s="82" t="s">
        <v>38</v>
      </c>
      <c r="B1532" s="83">
        <v>793</v>
      </c>
      <c r="C1532" s="84" t="s">
        <v>173</v>
      </c>
      <c r="D1532" s="84" t="s">
        <v>28</v>
      </c>
      <c r="E1532" s="84" t="s">
        <v>296</v>
      </c>
      <c r="F1532" s="84" t="s">
        <v>39</v>
      </c>
      <c r="G1532" s="87">
        <f>2200000-656946.05+3000000-1700000+4380135.2-20000+26200</f>
        <v>7229389.1500000004</v>
      </c>
      <c r="H1532" s="87">
        <f>2200000+2700000</f>
        <v>4900000</v>
      </c>
      <c r="I1532" s="87">
        <v>2200000</v>
      </c>
      <c r="J1532" s="177"/>
    </row>
    <row r="1533" spans="1:18" hidden="1">
      <c r="A1533" s="82" t="s">
        <v>63</v>
      </c>
      <c r="B1533" s="83">
        <v>793</v>
      </c>
      <c r="C1533" s="84" t="s">
        <v>173</v>
      </c>
      <c r="D1533" s="84" t="s">
        <v>28</v>
      </c>
      <c r="E1533" s="84" t="s">
        <v>296</v>
      </c>
      <c r="F1533" s="84" t="s">
        <v>64</v>
      </c>
      <c r="G1533" s="87">
        <f>G1534</f>
        <v>0</v>
      </c>
      <c r="H1533" s="87"/>
      <c r="I1533" s="87"/>
      <c r="J1533" s="177"/>
    </row>
    <row r="1534" spans="1:18" hidden="1">
      <c r="A1534" s="82" t="s">
        <v>180</v>
      </c>
      <c r="B1534" s="83">
        <v>793</v>
      </c>
      <c r="C1534" s="84" t="s">
        <v>173</v>
      </c>
      <c r="D1534" s="84" t="s">
        <v>28</v>
      </c>
      <c r="E1534" s="84" t="s">
        <v>296</v>
      </c>
      <c r="F1534" s="84" t="s">
        <v>181</v>
      </c>
      <c r="G1534" s="87">
        <v>0</v>
      </c>
      <c r="H1534" s="87"/>
      <c r="I1534" s="87"/>
      <c r="J1534" s="177"/>
    </row>
    <row r="1535" spans="1:18" hidden="1">
      <c r="A1535" s="82" t="s">
        <v>700</v>
      </c>
      <c r="B1535" s="83">
        <v>793</v>
      </c>
      <c r="C1535" s="84" t="s">
        <v>173</v>
      </c>
      <c r="D1535" s="84" t="s">
        <v>28</v>
      </c>
      <c r="E1535" s="84" t="s">
        <v>699</v>
      </c>
      <c r="F1535" s="84"/>
      <c r="G1535" s="87">
        <f t="shared" si="400"/>
        <v>0</v>
      </c>
      <c r="H1535" s="87">
        <f t="shared" si="400"/>
        <v>0</v>
      </c>
      <c r="I1535" s="87">
        <f t="shared" si="400"/>
        <v>0</v>
      </c>
      <c r="J1535" s="177"/>
    </row>
    <row r="1536" spans="1:18" ht="25.5" hidden="1">
      <c r="A1536" s="82" t="s">
        <v>36</v>
      </c>
      <c r="B1536" s="83">
        <v>793</v>
      </c>
      <c r="C1536" s="84" t="s">
        <v>173</v>
      </c>
      <c r="D1536" s="84" t="s">
        <v>28</v>
      </c>
      <c r="E1536" s="84" t="s">
        <v>699</v>
      </c>
      <c r="F1536" s="84" t="s">
        <v>37</v>
      </c>
      <c r="G1536" s="87">
        <f t="shared" si="400"/>
        <v>0</v>
      </c>
      <c r="H1536" s="87">
        <f t="shared" si="400"/>
        <v>0</v>
      </c>
      <c r="I1536" s="87">
        <f t="shared" si="400"/>
        <v>0</v>
      </c>
      <c r="J1536" s="177"/>
    </row>
    <row r="1537" spans="1:18" ht="25.5" hidden="1">
      <c r="A1537" s="82" t="s">
        <v>38</v>
      </c>
      <c r="B1537" s="83">
        <v>793</v>
      </c>
      <c r="C1537" s="84" t="s">
        <v>173</v>
      </c>
      <c r="D1537" s="84" t="s">
        <v>28</v>
      </c>
      <c r="E1537" s="84" t="s">
        <v>699</v>
      </c>
      <c r="F1537" s="84" t="s">
        <v>39</v>
      </c>
      <c r="G1537" s="87"/>
      <c r="H1537" s="87">
        <v>0</v>
      </c>
      <c r="I1537" s="87">
        <v>0</v>
      </c>
      <c r="J1537" s="177"/>
    </row>
    <row r="1538" spans="1:18" hidden="1">
      <c r="A1538" s="82" t="s">
        <v>747</v>
      </c>
      <c r="B1538" s="83">
        <v>793</v>
      </c>
      <c r="C1538" s="84" t="s">
        <v>173</v>
      </c>
      <c r="D1538" s="84" t="s">
        <v>28</v>
      </c>
      <c r="E1538" s="84" t="s">
        <v>746</v>
      </c>
      <c r="F1538" s="84"/>
      <c r="G1538" s="87">
        <f t="shared" si="400"/>
        <v>0</v>
      </c>
      <c r="H1538" s="87">
        <f t="shared" si="400"/>
        <v>0</v>
      </c>
      <c r="I1538" s="87">
        <f t="shared" si="400"/>
        <v>0</v>
      </c>
      <c r="J1538" s="177"/>
    </row>
    <row r="1539" spans="1:18" ht="25.5" hidden="1">
      <c r="A1539" s="82" t="s">
        <v>36</v>
      </c>
      <c r="B1539" s="83">
        <v>793</v>
      </c>
      <c r="C1539" s="84" t="s">
        <v>173</v>
      </c>
      <c r="D1539" s="84" t="s">
        <v>28</v>
      </c>
      <c r="E1539" s="84" t="s">
        <v>746</v>
      </c>
      <c r="F1539" s="84" t="s">
        <v>37</v>
      </c>
      <c r="G1539" s="87">
        <f t="shared" si="400"/>
        <v>0</v>
      </c>
      <c r="H1539" s="87">
        <f t="shared" si="400"/>
        <v>0</v>
      </c>
      <c r="I1539" s="87">
        <f t="shared" si="400"/>
        <v>0</v>
      </c>
      <c r="J1539" s="177"/>
    </row>
    <row r="1540" spans="1:18" ht="25.5" hidden="1">
      <c r="A1540" s="82" t="s">
        <v>38</v>
      </c>
      <c r="B1540" s="83">
        <v>793</v>
      </c>
      <c r="C1540" s="84" t="s">
        <v>173</v>
      </c>
      <c r="D1540" s="84" t="s">
        <v>28</v>
      </c>
      <c r="E1540" s="84" t="s">
        <v>746</v>
      </c>
      <c r="F1540" s="84" t="s">
        <v>39</v>
      </c>
      <c r="G1540" s="87"/>
      <c r="H1540" s="87"/>
      <c r="I1540" s="87"/>
      <c r="J1540" s="177"/>
    </row>
    <row r="1541" spans="1:18" ht="25.5">
      <c r="A1541" s="82" t="s">
        <v>1069</v>
      </c>
      <c r="B1541" s="83">
        <v>793</v>
      </c>
      <c r="C1541" s="84" t="s">
        <v>173</v>
      </c>
      <c r="D1541" s="84" t="s">
        <v>28</v>
      </c>
      <c r="E1541" s="84" t="s">
        <v>1072</v>
      </c>
      <c r="F1541" s="84"/>
      <c r="G1541" s="87">
        <f>G1542</f>
        <v>270000</v>
      </c>
      <c r="H1541" s="87">
        <f t="shared" si="400"/>
        <v>0</v>
      </c>
      <c r="I1541" s="87">
        <f t="shared" si="400"/>
        <v>0</v>
      </c>
      <c r="J1541" s="177"/>
    </row>
    <row r="1542" spans="1:18" ht="25.5">
      <c r="A1542" s="82" t="s">
        <v>36</v>
      </c>
      <c r="B1542" s="83">
        <v>793</v>
      </c>
      <c r="C1542" s="84" t="s">
        <v>173</v>
      </c>
      <c r="D1542" s="84" t="s">
        <v>28</v>
      </c>
      <c r="E1542" s="84" t="s">
        <v>1072</v>
      </c>
      <c r="F1542" s="84" t="s">
        <v>348</v>
      </c>
      <c r="G1542" s="87">
        <f t="shared" si="400"/>
        <v>270000</v>
      </c>
      <c r="H1542" s="87">
        <f t="shared" si="400"/>
        <v>0</v>
      </c>
      <c r="I1542" s="87">
        <f t="shared" si="400"/>
        <v>0</v>
      </c>
      <c r="J1542" s="177"/>
    </row>
    <row r="1543" spans="1:18" ht="25.5">
      <c r="A1543" s="82" t="s">
        <v>38</v>
      </c>
      <c r="B1543" s="83">
        <v>793</v>
      </c>
      <c r="C1543" s="84" t="s">
        <v>173</v>
      </c>
      <c r="D1543" s="84" t="s">
        <v>28</v>
      </c>
      <c r="E1543" s="84" t="s">
        <v>1072</v>
      </c>
      <c r="F1543" s="84" t="s">
        <v>350</v>
      </c>
      <c r="G1543" s="87">
        <f>20000+250000</f>
        <v>270000</v>
      </c>
      <c r="H1543" s="87">
        <v>0</v>
      </c>
      <c r="I1543" s="87">
        <v>0</v>
      </c>
      <c r="J1543" s="177"/>
    </row>
    <row r="1544" spans="1:18" ht="25.5">
      <c r="A1544" s="82" t="s">
        <v>1010</v>
      </c>
      <c r="B1544" s="83">
        <v>793</v>
      </c>
      <c r="C1544" s="84" t="s">
        <v>173</v>
      </c>
      <c r="D1544" s="84" t="s">
        <v>28</v>
      </c>
      <c r="E1544" s="84" t="s">
        <v>1009</v>
      </c>
      <c r="F1544" s="84"/>
      <c r="G1544" s="87">
        <f>G1545</f>
        <v>656946.05000000005</v>
      </c>
      <c r="H1544" s="87">
        <f t="shared" si="400"/>
        <v>0</v>
      </c>
      <c r="I1544" s="87">
        <f t="shared" si="400"/>
        <v>0</v>
      </c>
      <c r="J1544" s="177"/>
    </row>
    <row r="1545" spans="1:18" ht="25.5">
      <c r="A1545" s="82" t="s">
        <v>96</v>
      </c>
      <c r="B1545" s="83">
        <v>793</v>
      </c>
      <c r="C1545" s="84" t="s">
        <v>173</v>
      </c>
      <c r="D1545" s="84" t="s">
        <v>28</v>
      </c>
      <c r="E1545" s="84" t="s">
        <v>1009</v>
      </c>
      <c r="F1545" s="84" t="s">
        <v>348</v>
      </c>
      <c r="G1545" s="87">
        <f t="shared" si="400"/>
        <v>656946.05000000005</v>
      </c>
      <c r="H1545" s="87">
        <f t="shared" si="400"/>
        <v>0</v>
      </c>
      <c r="I1545" s="87">
        <f t="shared" si="400"/>
        <v>0</v>
      </c>
      <c r="J1545" s="177"/>
    </row>
    <row r="1546" spans="1:18">
      <c r="A1546" s="82" t="s">
        <v>349</v>
      </c>
      <c r="B1546" s="83">
        <v>793</v>
      </c>
      <c r="C1546" s="84" t="s">
        <v>173</v>
      </c>
      <c r="D1546" s="84" t="s">
        <v>28</v>
      </c>
      <c r="E1546" s="84" t="s">
        <v>1009</v>
      </c>
      <c r="F1546" s="84" t="s">
        <v>350</v>
      </c>
      <c r="G1546" s="87">
        <v>656946.05000000005</v>
      </c>
      <c r="H1546" s="87"/>
      <c r="I1546" s="87"/>
      <c r="J1546" s="177"/>
    </row>
    <row r="1547" spans="1:18" s="3" customFormat="1" ht="67.5" customHeight="1">
      <c r="A1547" s="82" t="s">
        <v>320</v>
      </c>
      <c r="B1547" s="83">
        <v>793</v>
      </c>
      <c r="C1547" s="84" t="s">
        <v>173</v>
      </c>
      <c r="D1547" s="84" t="s">
        <v>28</v>
      </c>
      <c r="E1547" s="84" t="s">
        <v>321</v>
      </c>
      <c r="F1547" s="84"/>
      <c r="G1547" s="87">
        <f>G1551+G1549</f>
        <v>776719</v>
      </c>
      <c r="H1547" s="87">
        <f>H1551+H1549</f>
        <v>700000</v>
      </c>
      <c r="I1547" s="87">
        <f>I1551+I1549</f>
        <v>700000</v>
      </c>
      <c r="J1547" s="177"/>
      <c r="K1547" s="199"/>
      <c r="L1547" s="199"/>
      <c r="M1547" s="199"/>
      <c r="N1547" s="199"/>
      <c r="O1547" s="199"/>
      <c r="P1547" s="199"/>
      <c r="Q1547" s="199"/>
      <c r="R1547" s="199"/>
    </row>
    <row r="1548" spans="1:18" ht="25.5">
      <c r="A1548" s="82" t="s">
        <v>36</v>
      </c>
      <c r="B1548" s="83">
        <v>793</v>
      </c>
      <c r="C1548" s="84" t="s">
        <v>173</v>
      </c>
      <c r="D1548" s="84" t="s">
        <v>28</v>
      </c>
      <c r="E1548" s="84" t="s">
        <v>321</v>
      </c>
      <c r="F1548" s="84" t="s">
        <v>37</v>
      </c>
      <c r="G1548" s="87">
        <f>G1549</f>
        <v>0</v>
      </c>
      <c r="H1548" s="87">
        <f>H1549</f>
        <v>700000</v>
      </c>
      <c r="I1548" s="87">
        <f>I1549</f>
        <v>700000</v>
      </c>
      <c r="J1548" s="177"/>
    </row>
    <row r="1549" spans="1:18" ht="25.5">
      <c r="A1549" s="82" t="s">
        <v>38</v>
      </c>
      <c r="B1549" s="83">
        <v>793</v>
      </c>
      <c r="C1549" s="84" t="s">
        <v>173</v>
      </c>
      <c r="D1549" s="84" t="s">
        <v>28</v>
      </c>
      <c r="E1549" s="84" t="s">
        <v>321</v>
      </c>
      <c r="F1549" s="84" t="s">
        <v>39</v>
      </c>
      <c r="G1549" s="87">
        <v>0</v>
      </c>
      <c r="H1549" s="87">
        <v>700000</v>
      </c>
      <c r="I1549" s="87">
        <v>700000</v>
      </c>
      <c r="J1549" s="177"/>
    </row>
    <row r="1550" spans="1:18">
      <c r="A1550" s="82" t="s">
        <v>156</v>
      </c>
      <c r="B1550" s="83">
        <v>793</v>
      </c>
      <c r="C1550" s="84" t="s">
        <v>173</v>
      </c>
      <c r="D1550" s="84" t="s">
        <v>28</v>
      </c>
      <c r="E1550" s="84" t="s">
        <v>321</v>
      </c>
      <c r="F1550" s="84" t="s">
        <v>157</v>
      </c>
      <c r="G1550" s="87">
        <f>G1551</f>
        <v>776719</v>
      </c>
      <c r="H1550" s="87">
        <f>H1551</f>
        <v>0</v>
      </c>
      <c r="I1550" s="87">
        <f>I1551</f>
        <v>0</v>
      </c>
      <c r="J1550" s="177"/>
    </row>
    <row r="1551" spans="1:18">
      <c r="A1551" s="82" t="s">
        <v>178</v>
      </c>
      <c r="B1551" s="83">
        <v>793</v>
      </c>
      <c r="C1551" s="84" t="s">
        <v>173</v>
      </c>
      <c r="D1551" s="84" t="s">
        <v>28</v>
      </c>
      <c r="E1551" s="84" t="s">
        <v>321</v>
      </c>
      <c r="F1551" s="84" t="s">
        <v>179</v>
      </c>
      <c r="G1551" s="87">
        <f>700000+76719-119892.03+119892.03</f>
        <v>776719</v>
      </c>
      <c r="H1551" s="87">
        <v>0</v>
      </c>
      <c r="I1551" s="87">
        <v>0</v>
      </c>
      <c r="J1551" s="177"/>
    </row>
    <row r="1552" spans="1:18" ht="44.25" hidden="1" customHeight="1">
      <c r="A1552" s="82" t="s">
        <v>813</v>
      </c>
      <c r="B1552" s="83">
        <v>793</v>
      </c>
      <c r="C1552" s="84" t="s">
        <v>173</v>
      </c>
      <c r="D1552" s="84" t="s">
        <v>28</v>
      </c>
      <c r="E1552" s="84" t="s">
        <v>812</v>
      </c>
      <c r="F1552" s="84"/>
      <c r="G1552" s="87">
        <f t="shared" ref="G1552:I1562" si="401">G1553</f>
        <v>0</v>
      </c>
      <c r="H1552" s="87">
        <f t="shared" si="401"/>
        <v>0</v>
      </c>
      <c r="I1552" s="87">
        <f t="shared" si="401"/>
        <v>0</v>
      </c>
      <c r="J1552" s="177"/>
    </row>
    <row r="1553" spans="1:10" ht="34.5" hidden="1" customHeight="1">
      <c r="A1553" s="82" t="s">
        <v>36</v>
      </c>
      <c r="B1553" s="83">
        <v>793</v>
      </c>
      <c r="C1553" s="84" t="s">
        <v>173</v>
      </c>
      <c r="D1553" s="84" t="s">
        <v>28</v>
      </c>
      <c r="E1553" s="84" t="s">
        <v>812</v>
      </c>
      <c r="F1553" s="84" t="s">
        <v>348</v>
      </c>
      <c r="G1553" s="87">
        <f t="shared" si="401"/>
        <v>0</v>
      </c>
      <c r="H1553" s="87">
        <f t="shared" si="401"/>
        <v>0</v>
      </c>
      <c r="I1553" s="87">
        <f t="shared" si="401"/>
        <v>0</v>
      </c>
      <c r="J1553" s="177"/>
    </row>
    <row r="1554" spans="1:10" ht="34.5" hidden="1" customHeight="1">
      <c r="A1554" s="82" t="s">
        <v>38</v>
      </c>
      <c r="B1554" s="83">
        <v>793</v>
      </c>
      <c r="C1554" s="84" t="s">
        <v>173</v>
      </c>
      <c r="D1554" s="84" t="s">
        <v>28</v>
      </c>
      <c r="E1554" s="84" t="s">
        <v>812</v>
      </c>
      <c r="F1554" s="84" t="s">
        <v>350</v>
      </c>
      <c r="G1554" s="87"/>
      <c r="H1554" s="87"/>
      <c r="I1554" s="87"/>
      <c r="J1554" s="177"/>
    </row>
    <row r="1555" spans="1:10" ht="44.25" hidden="1" customHeight="1">
      <c r="A1555" s="82" t="s">
        <v>815</v>
      </c>
      <c r="B1555" s="83">
        <v>793</v>
      </c>
      <c r="C1555" s="84" t="s">
        <v>173</v>
      </c>
      <c r="D1555" s="84" t="s">
        <v>28</v>
      </c>
      <c r="E1555" s="84" t="s">
        <v>814</v>
      </c>
      <c r="F1555" s="84"/>
      <c r="G1555" s="87">
        <f t="shared" si="401"/>
        <v>0</v>
      </c>
      <c r="H1555" s="87">
        <f t="shared" si="401"/>
        <v>0</v>
      </c>
      <c r="I1555" s="87">
        <f t="shared" si="401"/>
        <v>0</v>
      </c>
      <c r="J1555" s="177"/>
    </row>
    <row r="1556" spans="1:10" ht="34.5" hidden="1" customHeight="1">
      <c r="A1556" s="82" t="s">
        <v>36</v>
      </c>
      <c r="B1556" s="83">
        <v>793</v>
      </c>
      <c r="C1556" s="84" t="s">
        <v>173</v>
      </c>
      <c r="D1556" s="84" t="s">
        <v>28</v>
      </c>
      <c r="E1556" s="84" t="s">
        <v>814</v>
      </c>
      <c r="F1556" s="84" t="s">
        <v>348</v>
      </c>
      <c r="G1556" s="87">
        <f t="shared" si="401"/>
        <v>0</v>
      </c>
      <c r="H1556" s="87">
        <f t="shared" si="401"/>
        <v>0</v>
      </c>
      <c r="I1556" s="87">
        <f t="shared" si="401"/>
        <v>0</v>
      </c>
      <c r="J1556" s="177"/>
    </row>
    <row r="1557" spans="1:10" ht="34.5" hidden="1" customHeight="1">
      <c r="A1557" s="82" t="s">
        <v>38</v>
      </c>
      <c r="B1557" s="83">
        <v>793</v>
      </c>
      <c r="C1557" s="84" t="s">
        <v>173</v>
      </c>
      <c r="D1557" s="84" t="s">
        <v>28</v>
      </c>
      <c r="E1557" s="84" t="s">
        <v>814</v>
      </c>
      <c r="F1557" s="84" t="s">
        <v>350</v>
      </c>
      <c r="G1557" s="87"/>
      <c r="H1557" s="87"/>
      <c r="I1557" s="87"/>
      <c r="J1557" s="177"/>
    </row>
    <row r="1558" spans="1:10" ht="44.25" hidden="1" customHeight="1">
      <c r="A1558" s="82" t="s">
        <v>817</v>
      </c>
      <c r="B1558" s="83">
        <v>793</v>
      </c>
      <c r="C1558" s="84" t="s">
        <v>173</v>
      </c>
      <c r="D1558" s="84" t="s">
        <v>28</v>
      </c>
      <c r="E1558" s="84" t="s">
        <v>816</v>
      </c>
      <c r="F1558" s="84"/>
      <c r="G1558" s="87">
        <f t="shared" si="401"/>
        <v>0</v>
      </c>
      <c r="H1558" s="87">
        <f t="shared" si="401"/>
        <v>0</v>
      </c>
      <c r="I1558" s="87">
        <f t="shared" si="401"/>
        <v>0</v>
      </c>
      <c r="J1558" s="177"/>
    </row>
    <row r="1559" spans="1:10" ht="34.5" hidden="1" customHeight="1">
      <c r="A1559" s="82" t="s">
        <v>36</v>
      </c>
      <c r="B1559" s="83">
        <v>793</v>
      </c>
      <c r="C1559" s="84" t="s">
        <v>173</v>
      </c>
      <c r="D1559" s="84" t="s">
        <v>28</v>
      </c>
      <c r="E1559" s="84" t="s">
        <v>816</v>
      </c>
      <c r="F1559" s="84" t="s">
        <v>348</v>
      </c>
      <c r="G1559" s="87">
        <f t="shared" si="401"/>
        <v>0</v>
      </c>
      <c r="H1559" s="87">
        <f t="shared" si="401"/>
        <v>0</v>
      </c>
      <c r="I1559" s="87">
        <f t="shared" si="401"/>
        <v>0</v>
      </c>
      <c r="J1559" s="177"/>
    </row>
    <row r="1560" spans="1:10" ht="34.5" hidden="1" customHeight="1">
      <c r="A1560" s="82" t="s">
        <v>38</v>
      </c>
      <c r="B1560" s="83">
        <v>793</v>
      </c>
      <c r="C1560" s="84" t="s">
        <v>173</v>
      </c>
      <c r="D1560" s="84" t="s">
        <v>28</v>
      </c>
      <c r="E1560" s="84" t="s">
        <v>816</v>
      </c>
      <c r="F1560" s="84" t="s">
        <v>350</v>
      </c>
      <c r="G1560" s="87"/>
      <c r="H1560" s="87"/>
      <c r="I1560" s="87"/>
      <c r="J1560" s="177"/>
    </row>
    <row r="1561" spans="1:10" ht="57" hidden="1" customHeight="1">
      <c r="A1561" s="82" t="s">
        <v>819</v>
      </c>
      <c r="B1561" s="83">
        <v>793</v>
      </c>
      <c r="C1561" s="84" t="s">
        <v>173</v>
      </c>
      <c r="D1561" s="84" t="s">
        <v>28</v>
      </c>
      <c r="E1561" s="84" t="s">
        <v>818</v>
      </c>
      <c r="F1561" s="84"/>
      <c r="G1561" s="87">
        <f t="shared" si="401"/>
        <v>0</v>
      </c>
      <c r="H1561" s="87">
        <f t="shared" si="401"/>
        <v>0</v>
      </c>
      <c r="I1561" s="87">
        <f t="shared" si="401"/>
        <v>0</v>
      </c>
      <c r="J1561" s="177"/>
    </row>
    <row r="1562" spans="1:10" ht="34.5" hidden="1" customHeight="1">
      <c r="A1562" s="82" t="s">
        <v>36</v>
      </c>
      <c r="B1562" s="83">
        <v>793</v>
      </c>
      <c r="C1562" s="84" t="s">
        <v>173</v>
      </c>
      <c r="D1562" s="84" t="s">
        <v>28</v>
      </c>
      <c r="E1562" s="84" t="s">
        <v>818</v>
      </c>
      <c r="F1562" s="84" t="s">
        <v>348</v>
      </c>
      <c r="G1562" s="87">
        <f t="shared" si="401"/>
        <v>0</v>
      </c>
      <c r="H1562" s="87">
        <f t="shared" si="401"/>
        <v>0</v>
      </c>
      <c r="I1562" s="87">
        <f t="shared" si="401"/>
        <v>0</v>
      </c>
      <c r="J1562" s="177"/>
    </row>
    <row r="1563" spans="1:10" ht="34.5" hidden="1" customHeight="1">
      <c r="A1563" s="82" t="s">
        <v>38</v>
      </c>
      <c r="B1563" s="83">
        <v>793</v>
      </c>
      <c r="C1563" s="84" t="s">
        <v>173</v>
      </c>
      <c r="D1563" s="84" t="s">
        <v>28</v>
      </c>
      <c r="E1563" s="84" t="s">
        <v>818</v>
      </c>
      <c r="F1563" s="84" t="s">
        <v>350</v>
      </c>
      <c r="G1563" s="87"/>
      <c r="H1563" s="87"/>
      <c r="I1563" s="87"/>
      <c r="J1563" s="177"/>
    </row>
    <row r="1564" spans="1:10" ht="34.5" hidden="1" customHeight="1">
      <c r="A1564" s="82" t="s">
        <v>509</v>
      </c>
      <c r="B1564" s="83">
        <v>793</v>
      </c>
      <c r="C1564" s="84" t="s">
        <v>173</v>
      </c>
      <c r="D1564" s="84" t="s">
        <v>28</v>
      </c>
      <c r="E1564" s="84" t="s">
        <v>510</v>
      </c>
      <c r="F1564" s="84"/>
      <c r="G1564" s="87">
        <f t="shared" ref="G1564:I1574" si="402">G1565</f>
        <v>0</v>
      </c>
      <c r="H1564" s="87">
        <f t="shared" si="402"/>
        <v>0</v>
      </c>
      <c r="I1564" s="87">
        <f t="shared" si="402"/>
        <v>0</v>
      </c>
      <c r="J1564" s="177"/>
    </row>
    <row r="1565" spans="1:10" ht="34.5" hidden="1" customHeight="1">
      <c r="A1565" s="82" t="s">
        <v>36</v>
      </c>
      <c r="B1565" s="83">
        <v>793</v>
      </c>
      <c r="C1565" s="84" t="s">
        <v>173</v>
      </c>
      <c r="D1565" s="84" t="s">
        <v>28</v>
      </c>
      <c r="E1565" s="84" t="s">
        <v>510</v>
      </c>
      <c r="F1565" s="84" t="s">
        <v>37</v>
      </c>
      <c r="G1565" s="87">
        <f t="shared" si="402"/>
        <v>0</v>
      </c>
      <c r="H1565" s="87">
        <f t="shared" si="402"/>
        <v>0</v>
      </c>
      <c r="I1565" s="87">
        <f t="shared" si="402"/>
        <v>0</v>
      </c>
      <c r="J1565" s="177"/>
    </row>
    <row r="1566" spans="1:10" ht="34.5" hidden="1" customHeight="1">
      <c r="A1566" s="82" t="s">
        <v>38</v>
      </c>
      <c r="B1566" s="83">
        <v>793</v>
      </c>
      <c r="C1566" s="84" t="s">
        <v>173</v>
      </c>
      <c r="D1566" s="84" t="s">
        <v>28</v>
      </c>
      <c r="E1566" s="84" t="s">
        <v>510</v>
      </c>
      <c r="F1566" s="84" t="s">
        <v>39</v>
      </c>
      <c r="G1566" s="87">
        <v>0</v>
      </c>
      <c r="H1566" s="87">
        <f>167220-167220</f>
        <v>0</v>
      </c>
      <c r="I1566" s="87"/>
      <c r="J1566" s="177"/>
    </row>
    <row r="1567" spans="1:10" ht="18" hidden="1" customHeight="1">
      <c r="A1567" s="82" t="s">
        <v>156</v>
      </c>
      <c r="B1567" s="83">
        <v>793</v>
      </c>
      <c r="C1567" s="84" t="s">
        <v>173</v>
      </c>
      <c r="D1567" s="84" t="s">
        <v>28</v>
      </c>
      <c r="E1567" s="84" t="s">
        <v>721</v>
      </c>
      <c r="F1567" s="84" t="s">
        <v>157</v>
      </c>
      <c r="G1567" s="87">
        <f>G1568</f>
        <v>0</v>
      </c>
      <c r="H1567" s="87">
        <f>H1568</f>
        <v>0</v>
      </c>
      <c r="I1567" s="87">
        <f>I1568</f>
        <v>0</v>
      </c>
      <c r="J1567" s="177"/>
    </row>
    <row r="1568" spans="1:10" ht="18" hidden="1" customHeight="1">
      <c r="A1568" s="82" t="s">
        <v>178</v>
      </c>
      <c r="B1568" s="83">
        <v>793</v>
      </c>
      <c r="C1568" s="84" t="s">
        <v>173</v>
      </c>
      <c r="D1568" s="84" t="s">
        <v>28</v>
      </c>
      <c r="E1568" s="84" t="s">
        <v>721</v>
      </c>
      <c r="F1568" s="84" t="s">
        <v>179</v>
      </c>
      <c r="G1568" s="87"/>
      <c r="H1568" s="87">
        <v>0</v>
      </c>
      <c r="I1568" s="87">
        <v>0</v>
      </c>
      <c r="J1568" s="177"/>
    </row>
    <row r="1569" spans="1:18" s="3" customFormat="1" ht="67.5" hidden="1" customHeight="1">
      <c r="A1569" s="82" t="s">
        <v>320</v>
      </c>
      <c r="B1569" s="83">
        <v>793</v>
      </c>
      <c r="C1569" s="84" t="s">
        <v>173</v>
      </c>
      <c r="D1569" s="84" t="s">
        <v>28</v>
      </c>
      <c r="E1569" s="84" t="s">
        <v>321</v>
      </c>
      <c r="F1569" s="84"/>
      <c r="G1569" s="87">
        <f>G1549</f>
        <v>0</v>
      </c>
      <c r="H1569" s="87"/>
      <c r="I1569" s="87"/>
      <c r="J1569" s="177"/>
      <c r="K1569" s="199"/>
      <c r="L1569" s="199"/>
      <c r="M1569" s="199"/>
      <c r="N1569" s="199"/>
      <c r="O1569" s="199"/>
      <c r="P1569" s="199"/>
      <c r="Q1569" s="199"/>
      <c r="R1569" s="199"/>
    </row>
    <row r="1570" spans="1:18" ht="25.5">
      <c r="A1570" s="82" t="s">
        <v>1135</v>
      </c>
      <c r="B1570" s="83">
        <v>793</v>
      </c>
      <c r="C1570" s="84" t="s">
        <v>173</v>
      </c>
      <c r="D1570" s="84" t="s">
        <v>28</v>
      </c>
      <c r="E1570" s="84" t="s">
        <v>1134</v>
      </c>
      <c r="F1570" s="84"/>
      <c r="G1570" s="87">
        <f>G1571</f>
        <v>712816.76</v>
      </c>
      <c r="H1570" s="87">
        <f t="shared" ref="G1570:I1571" si="403">H1571</f>
        <v>0</v>
      </c>
      <c r="I1570" s="87">
        <f t="shared" si="403"/>
        <v>0</v>
      </c>
      <c r="J1570" s="177"/>
    </row>
    <row r="1571" spans="1:18" ht="25.5">
      <c r="A1571" s="82" t="s">
        <v>96</v>
      </c>
      <c r="B1571" s="83">
        <v>793</v>
      </c>
      <c r="C1571" s="84" t="s">
        <v>173</v>
      </c>
      <c r="D1571" s="84" t="s">
        <v>28</v>
      </c>
      <c r="E1571" s="84" t="s">
        <v>1134</v>
      </c>
      <c r="F1571" s="84" t="s">
        <v>348</v>
      </c>
      <c r="G1571" s="87">
        <f t="shared" si="403"/>
        <v>712816.76</v>
      </c>
      <c r="H1571" s="87">
        <f t="shared" si="403"/>
        <v>0</v>
      </c>
      <c r="I1571" s="87">
        <f t="shared" si="403"/>
        <v>0</v>
      </c>
      <c r="J1571" s="177"/>
    </row>
    <row r="1572" spans="1:18">
      <c r="A1572" s="82" t="s">
        <v>349</v>
      </c>
      <c r="B1572" s="83">
        <v>793</v>
      </c>
      <c r="C1572" s="84" t="s">
        <v>173</v>
      </c>
      <c r="D1572" s="84" t="s">
        <v>28</v>
      </c>
      <c r="E1572" s="84" t="s">
        <v>1134</v>
      </c>
      <c r="F1572" s="84" t="s">
        <v>350</v>
      </c>
      <c r="G1572" s="87">
        <v>712816.76</v>
      </c>
      <c r="H1572" s="87"/>
      <c r="I1572" s="87"/>
      <c r="J1572" s="177"/>
    </row>
    <row r="1573" spans="1:18" ht="34.5" customHeight="1">
      <c r="A1573" s="82" t="s">
        <v>535</v>
      </c>
      <c r="B1573" s="83">
        <v>793</v>
      </c>
      <c r="C1573" s="84" t="s">
        <v>173</v>
      </c>
      <c r="D1573" s="84" t="s">
        <v>28</v>
      </c>
      <c r="E1573" s="84" t="s">
        <v>534</v>
      </c>
      <c r="F1573" s="84"/>
      <c r="G1573" s="87">
        <f t="shared" si="402"/>
        <v>500000</v>
      </c>
      <c r="H1573" s="87">
        <f t="shared" si="402"/>
        <v>500000</v>
      </c>
      <c r="I1573" s="87">
        <f t="shared" si="402"/>
        <v>500000</v>
      </c>
      <c r="J1573" s="177"/>
    </row>
    <row r="1574" spans="1:18" ht="34.5" customHeight="1">
      <c r="A1574" s="82" t="s">
        <v>36</v>
      </c>
      <c r="B1574" s="83">
        <v>793</v>
      </c>
      <c r="C1574" s="84" t="s">
        <v>173</v>
      </c>
      <c r="D1574" s="84" t="s">
        <v>28</v>
      </c>
      <c r="E1574" s="84" t="s">
        <v>534</v>
      </c>
      <c r="F1574" s="84" t="s">
        <v>37</v>
      </c>
      <c r="G1574" s="87">
        <f t="shared" si="402"/>
        <v>500000</v>
      </c>
      <c r="H1574" s="87">
        <f t="shared" si="402"/>
        <v>500000</v>
      </c>
      <c r="I1574" s="87">
        <f t="shared" si="402"/>
        <v>500000</v>
      </c>
      <c r="J1574" s="177"/>
    </row>
    <row r="1575" spans="1:18" ht="34.5" customHeight="1">
      <c r="A1575" s="82" t="s">
        <v>38</v>
      </c>
      <c r="B1575" s="83">
        <v>793</v>
      </c>
      <c r="C1575" s="84" t="s">
        <v>173</v>
      </c>
      <c r="D1575" s="84" t="s">
        <v>28</v>
      </c>
      <c r="E1575" s="84" t="s">
        <v>534</v>
      </c>
      <c r="F1575" s="84" t="s">
        <v>39</v>
      </c>
      <c r="G1575" s="87">
        <v>500000</v>
      </c>
      <c r="H1575" s="87">
        <v>500000</v>
      </c>
      <c r="I1575" s="87">
        <v>500000</v>
      </c>
      <c r="J1575" s="177"/>
    </row>
    <row r="1576" spans="1:18" s="22" customFormat="1" ht="57" hidden="1" customHeight="1">
      <c r="A1576" s="82"/>
      <c r="B1576" s="83"/>
      <c r="C1576" s="148"/>
      <c r="D1576" s="148"/>
      <c r="E1576" s="148"/>
      <c r="F1576" s="147"/>
      <c r="G1576" s="93"/>
      <c r="H1576" s="93"/>
      <c r="I1576" s="93"/>
      <c r="J1576" s="207"/>
      <c r="K1576" s="207"/>
      <c r="L1576" s="207"/>
      <c r="M1576" s="207"/>
      <c r="N1576" s="207"/>
      <c r="O1576" s="207"/>
      <c r="P1576" s="207"/>
      <c r="Q1576" s="207"/>
      <c r="R1576" s="207"/>
    </row>
    <row r="1577" spans="1:18" ht="34.5" customHeight="1">
      <c r="A1577" s="82" t="s">
        <v>894</v>
      </c>
      <c r="B1577" s="149">
        <v>793</v>
      </c>
      <c r="C1577" s="84" t="s">
        <v>173</v>
      </c>
      <c r="D1577" s="84" t="s">
        <v>28</v>
      </c>
      <c r="E1577" s="84" t="s">
        <v>895</v>
      </c>
      <c r="F1577" s="84"/>
      <c r="G1577" s="87">
        <f t="shared" ref="G1577:I1581" si="404">G1578</f>
        <v>3379982.6199999996</v>
      </c>
      <c r="H1577" s="87">
        <f t="shared" si="404"/>
        <v>800000</v>
      </c>
      <c r="I1577" s="87">
        <f t="shared" si="404"/>
        <v>0</v>
      </c>
      <c r="J1577" s="186"/>
    </row>
    <row r="1578" spans="1:18" ht="34.5" customHeight="1">
      <c r="A1578" s="82" t="s">
        <v>36</v>
      </c>
      <c r="B1578" s="149">
        <v>793</v>
      </c>
      <c r="C1578" s="84" t="s">
        <v>173</v>
      </c>
      <c r="D1578" s="84" t="s">
        <v>28</v>
      </c>
      <c r="E1578" s="84" t="s">
        <v>895</v>
      </c>
      <c r="F1578" s="84" t="s">
        <v>37</v>
      </c>
      <c r="G1578" s="87">
        <f t="shared" si="404"/>
        <v>3379982.6199999996</v>
      </c>
      <c r="H1578" s="87">
        <f t="shared" si="404"/>
        <v>800000</v>
      </c>
      <c r="I1578" s="87">
        <f t="shared" si="404"/>
        <v>0</v>
      </c>
      <c r="J1578" s="186"/>
    </row>
    <row r="1579" spans="1:18" ht="34.5" customHeight="1">
      <c r="A1579" s="82" t="s">
        <v>38</v>
      </c>
      <c r="B1579" s="149">
        <v>793</v>
      </c>
      <c r="C1579" s="84" t="s">
        <v>173</v>
      </c>
      <c r="D1579" s="84" t="s">
        <v>28</v>
      </c>
      <c r="E1579" s="84" t="s">
        <v>895</v>
      </c>
      <c r="F1579" s="84" t="s">
        <v>39</v>
      </c>
      <c r="G1579" s="87">
        <f>1150000+1000000+202090.59+550000+15000+343000+119892.03</f>
        <v>3379982.6199999996</v>
      </c>
      <c r="H1579" s="87">
        <v>800000</v>
      </c>
      <c r="I1579" s="87">
        <v>0</v>
      </c>
      <c r="J1579" s="186"/>
    </row>
    <row r="1580" spans="1:18" ht="69" customHeight="1">
      <c r="A1580" s="82" t="s">
        <v>1074</v>
      </c>
      <c r="B1580" s="149">
        <v>793</v>
      </c>
      <c r="C1580" s="84" t="s">
        <v>173</v>
      </c>
      <c r="D1580" s="84" t="s">
        <v>28</v>
      </c>
      <c r="E1580" s="84" t="s">
        <v>1071</v>
      </c>
      <c r="F1580" s="84"/>
      <c r="G1580" s="87">
        <f t="shared" si="404"/>
        <v>5000000</v>
      </c>
      <c r="H1580" s="87">
        <f t="shared" si="404"/>
        <v>0</v>
      </c>
      <c r="I1580" s="87">
        <f t="shared" si="404"/>
        <v>0</v>
      </c>
      <c r="J1580" s="186"/>
    </row>
    <row r="1581" spans="1:18" ht="34.5" customHeight="1">
      <c r="A1581" s="82" t="s">
        <v>63</v>
      </c>
      <c r="B1581" s="149">
        <v>793</v>
      </c>
      <c r="C1581" s="84" t="s">
        <v>173</v>
      </c>
      <c r="D1581" s="84" t="s">
        <v>28</v>
      </c>
      <c r="E1581" s="84" t="s">
        <v>1071</v>
      </c>
      <c r="F1581" s="84" t="s">
        <v>64</v>
      </c>
      <c r="G1581" s="87">
        <f t="shared" si="404"/>
        <v>5000000</v>
      </c>
      <c r="H1581" s="87">
        <f t="shared" si="404"/>
        <v>0</v>
      </c>
      <c r="I1581" s="87">
        <f t="shared" si="404"/>
        <v>0</v>
      </c>
      <c r="J1581" s="186"/>
    </row>
    <row r="1582" spans="1:18" ht="34.5" customHeight="1">
      <c r="A1582" s="82" t="s">
        <v>180</v>
      </c>
      <c r="B1582" s="149">
        <v>793</v>
      </c>
      <c r="C1582" s="84" t="s">
        <v>173</v>
      </c>
      <c r="D1582" s="84" t="s">
        <v>28</v>
      </c>
      <c r="E1582" s="84" t="s">
        <v>1071</v>
      </c>
      <c r="F1582" s="84" t="s">
        <v>181</v>
      </c>
      <c r="G1582" s="87">
        <v>5000000</v>
      </c>
      <c r="H1582" s="87">
        <v>0</v>
      </c>
      <c r="I1582" s="87">
        <v>0</v>
      </c>
      <c r="J1582" s="186"/>
    </row>
    <row r="1583" spans="1:18" ht="27.75" customHeight="1">
      <c r="A1583" s="82" t="s">
        <v>272</v>
      </c>
      <c r="B1583" s="83">
        <v>793</v>
      </c>
      <c r="C1583" s="84" t="s">
        <v>173</v>
      </c>
      <c r="D1583" s="84" t="s">
        <v>28</v>
      </c>
      <c r="E1583" s="84" t="s">
        <v>570</v>
      </c>
      <c r="F1583" s="84"/>
      <c r="G1583" s="87">
        <f>G1584</f>
        <v>7505380</v>
      </c>
      <c r="H1583" s="87">
        <f>H1587</f>
        <v>0</v>
      </c>
      <c r="I1583" s="87">
        <f>I1587</f>
        <v>0</v>
      </c>
      <c r="J1583" s="177"/>
    </row>
    <row r="1584" spans="1:18" ht="23.25" customHeight="1">
      <c r="A1584" s="82" t="s">
        <v>272</v>
      </c>
      <c r="B1584" s="83">
        <v>793</v>
      </c>
      <c r="C1584" s="84" t="s">
        <v>173</v>
      </c>
      <c r="D1584" s="84" t="s">
        <v>28</v>
      </c>
      <c r="E1584" s="84" t="s">
        <v>571</v>
      </c>
      <c r="F1584" s="84"/>
      <c r="G1584" s="87">
        <f>G1587+G1585</f>
        <v>7505380</v>
      </c>
      <c r="H1584" s="87"/>
      <c r="I1584" s="87"/>
      <c r="J1584" s="177"/>
    </row>
    <row r="1585" spans="1:20" ht="23.25" customHeight="1">
      <c r="A1585" s="82" t="s">
        <v>323</v>
      </c>
      <c r="B1585" s="83">
        <v>793</v>
      </c>
      <c r="C1585" s="84" t="s">
        <v>173</v>
      </c>
      <c r="D1585" s="84" t="s">
        <v>28</v>
      </c>
      <c r="E1585" s="84" t="s">
        <v>571</v>
      </c>
      <c r="F1585" s="84" t="s">
        <v>37</v>
      </c>
      <c r="G1585" s="87">
        <f>G1586</f>
        <v>2092400</v>
      </c>
      <c r="H1585" s="87"/>
      <c r="I1585" s="87"/>
      <c r="J1585" s="177"/>
    </row>
    <row r="1586" spans="1:20" ht="37.5" customHeight="1">
      <c r="A1586" s="82" t="s">
        <v>38</v>
      </c>
      <c r="B1586" s="83">
        <v>793</v>
      </c>
      <c r="C1586" s="84" t="s">
        <v>173</v>
      </c>
      <c r="D1586" s="84" t="s">
        <v>28</v>
      </c>
      <c r="E1586" s="84" t="s">
        <v>571</v>
      </c>
      <c r="F1586" s="84" t="s">
        <v>39</v>
      </c>
      <c r="G1586" s="87">
        <v>2092400</v>
      </c>
      <c r="H1586" s="87"/>
      <c r="I1586" s="87"/>
      <c r="J1586" s="177"/>
    </row>
    <row r="1587" spans="1:20" ht="34.5" customHeight="1">
      <c r="A1587" s="82" t="s">
        <v>36</v>
      </c>
      <c r="B1587" s="83">
        <v>793</v>
      </c>
      <c r="C1587" s="84" t="s">
        <v>173</v>
      </c>
      <c r="D1587" s="84" t="s">
        <v>28</v>
      </c>
      <c r="E1587" s="84" t="s">
        <v>571</v>
      </c>
      <c r="F1587" s="84" t="s">
        <v>348</v>
      </c>
      <c r="G1587" s="87">
        <f>G1588</f>
        <v>5412980</v>
      </c>
      <c r="H1587" s="87">
        <f>H1588</f>
        <v>0</v>
      </c>
      <c r="I1587" s="87">
        <f>I1588</f>
        <v>0</v>
      </c>
      <c r="J1587" s="177"/>
    </row>
    <row r="1588" spans="1:20" ht="34.5" customHeight="1">
      <c r="A1588" s="82" t="s">
        <v>38</v>
      </c>
      <c r="B1588" s="83">
        <v>793</v>
      </c>
      <c r="C1588" s="84" t="s">
        <v>173</v>
      </c>
      <c r="D1588" s="84" t="s">
        <v>28</v>
      </c>
      <c r="E1588" s="84" t="s">
        <v>571</v>
      </c>
      <c r="F1588" s="84" t="s">
        <v>350</v>
      </c>
      <c r="G1588" s="87">
        <v>5412980</v>
      </c>
      <c r="H1588" s="87">
        <f>832780-832780</f>
        <v>0</v>
      </c>
      <c r="I1588" s="87">
        <v>0</v>
      </c>
      <c r="J1588" s="177"/>
    </row>
    <row r="1589" spans="1:20" s="90" customFormat="1" ht="25.5">
      <c r="A1589" s="139" t="s">
        <v>169</v>
      </c>
      <c r="B1589" s="149">
        <v>793</v>
      </c>
      <c r="C1589" s="84" t="s">
        <v>173</v>
      </c>
      <c r="D1589" s="84" t="s">
        <v>28</v>
      </c>
      <c r="E1589" s="84" t="s">
        <v>275</v>
      </c>
      <c r="F1589" s="149"/>
      <c r="G1589" s="87">
        <f>G1590</f>
        <v>53752</v>
      </c>
      <c r="H1589" s="87"/>
      <c r="I1589" s="87"/>
      <c r="J1589" s="126"/>
      <c r="P1589" s="126"/>
      <c r="Q1589" s="126"/>
      <c r="R1589" s="126"/>
      <c r="S1589" s="126"/>
      <c r="T1589" s="126"/>
    </row>
    <row r="1590" spans="1:20" s="90" customFormat="1" ht="27.75" customHeight="1">
      <c r="A1590" s="16" t="s">
        <v>323</v>
      </c>
      <c r="B1590" s="14">
        <v>793</v>
      </c>
      <c r="C1590" s="15" t="s">
        <v>173</v>
      </c>
      <c r="D1590" s="15" t="s">
        <v>28</v>
      </c>
      <c r="E1590" s="15" t="s">
        <v>275</v>
      </c>
      <c r="F1590" s="15" t="s">
        <v>37</v>
      </c>
      <c r="G1590" s="87">
        <f>G1591</f>
        <v>53752</v>
      </c>
      <c r="H1590" s="87"/>
      <c r="I1590" s="87"/>
      <c r="J1590" s="126"/>
      <c r="P1590" s="126"/>
      <c r="Q1590" s="126"/>
      <c r="R1590" s="126"/>
      <c r="S1590" s="126"/>
      <c r="T1590" s="126"/>
    </row>
    <row r="1591" spans="1:20" s="90" customFormat="1" ht="27.75" customHeight="1">
      <c r="A1591" s="16" t="s">
        <v>38</v>
      </c>
      <c r="B1591" s="14">
        <v>793</v>
      </c>
      <c r="C1591" s="15" t="s">
        <v>173</v>
      </c>
      <c r="D1591" s="15" t="s">
        <v>28</v>
      </c>
      <c r="E1591" s="15" t="s">
        <v>275</v>
      </c>
      <c r="F1591" s="15" t="s">
        <v>39</v>
      </c>
      <c r="G1591" s="87">
        <v>53752</v>
      </c>
      <c r="H1591" s="87"/>
      <c r="I1591" s="87"/>
      <c r="J1591" s="126"/>
      <c r="P1591" s="126"/>
      <c r="Q1591" s="126"/>
      <c r="R1591" s="126"/>
      <c r="S1591" s="126"/>
      <c r="T1591" s="126"/>
    </row>
    <row r="1592" spans="1:20" s="22" customFormat="1" ht="17.25" customHeight="1">
      <c r="A1592" s="154" t="s">
        <v>284</v>
      </c>
      <c r="B1592" s="273">
        <v>793</v>
      </c>
      <c r="C1592" s="156" t="s">
        <v>173</v>
      </c>
      <c r="D1592" s="156" t="s">
        <v>70</v>
      </c>
      <c r="E1592" s="156"/>
      <c r="F1592" s="156"/>
      <c r="G1592" s="157">
        <f>G1597+G1621+G1593</f>
        <v>1669029.74</v>
      </c>
      <c r="H1592" s="157">
        <f t="shared" ref="H1592:I1592" si="405">H1597</f>
        <v>884703.07000000007</v>
      </c>
      <c r="I1592" s="157">
        <f t="shared" si="405"/>
        <v>884800.1</v>
      </c>
      <c r="J1592" s="196"/>
      <c r="K1592" s="207"/>
      <c r="L1592" s="207"/>
      <c r="M1592" s="207"/>
      <c r="N1592" s="207"/>
      <c r="O1592" s="207"/>
      <c r="P1592" s="207"/>
      <c r="Q1592" s="207"/>
      <c r="R1592" s="207"/>
    </row>
    <row r="1593" spans="1:20" s="46" customFormat="1" ht="39" customHeight="1">
      <c r="A1593" s="82" t="s">
        <v>830</v>
      </c>
      <c r="B1593" s="83">
        <v>793</v>
      </c>
      <c r="C1593" s="84" t="s">
        <v>173</v>
      </c>
      <c r="D1593" s="84" t="s">
        <v>70</v>
      </c>
      <c r="E1593" s="84" t="s">
        <v>262</v>
      </c>
      <c r="F1593" s="84"/>
      <c r="G1593" s="87">
        <f>G1594</f>
        <v>40000</v>
      </c>
      <c r="H1593" s="87">
        <f t="shared" ref="H1593:I1593" si="406">H1594</f>
        <v>0</v>
      </c>
      <c r="I1593" s="87">
        <f t="shared" si="406"/>
        <v>0</v>
      </c>
      <c r="J1593" s="177"/>
      <c r="K1593" s="222"/>
      <c r="L1593" s="222"/>
      <c r="M1593" s="222"/>
      <c r="N1593" s="222"/>
      <c r="O1593" s="222"/>
      <c r="P1593" s="222"/>
      <c r="Q1593" s="222"/>
      <c r="R1593" s="222"/>
    </row>
    <row r="1594" spans="1:20" s="46" customFormat="1" ht="29.25" customHeight="1">
      <c r="A1594" s="82" t="s">
        <v>1139</v>
      </c>
      <c r="B1594" s="83">
        <v>793</v>
      </c>
      <c r="C1594" s="84" t="s">
        <v>173</v>
      </c>
      <c r="D1594" s="84" t="s">
        <v>70</v>
      </c>
      <c r="E1594" s="84" t="s">
        <v>1138</v>
      </c>
      <c r="F1594" s="84"/>
      <c r="G1594" s="87">
        <f>G1595</f>
        <v>40000</v>
      </c>
      <c r="H1594" s="87">
        <f t="shared" ref="H1594:I1594" si="407">H1595</f>
        <v>0</v>
      </c>
      <c r="I1594" s="87">
        <f t="shared" si="407"/>
        <v>0</v>
      </c>
      <c r="J1594" s="177"/>
      <c r="K1594" s="222"/>
      <c r="L1594" s="222"/>
      <c r="M1594" s="222"/>
      <c r="N1594" s="222"/>
      <c r="O1594" s="222"/>
      <c r="P1594" s="222"/>
      <c r="Q1594" s="222"/>
      <c r="R1594" s="222"/>
    </row>
    <row r="1595" spans="1:20" s="46" customFormat="1" ht="17.25" customHeight="1">
      <c r="A1595" s="82" t="s">
        <v>323</v>
      </c>
      <c r="B1595" s="83">
        <v>793</v>
      </c>
      <c r="C1595" s="84" t="s">
        <v>173</v>
      </c>
      <c r="D1595" s="84" t="s">
        <v>70</v>
      </c>
      <c r="E1595" s="84" t="s">
        <v>1138</v>
      </c>
      <c r="F1595" s="84" t="s">
        <v>37</v>
      </c>
      <c r="G1595" s="87">
        <f>G1596</f>
        <v>40000</v>
      </c>
      <c r="H1595" s="87">
        <f t="shared" ref="H1595:I1595" si="408">H1596</f>
        <v>0</v>
      </c>
      <c r="I1595" s="87">
        <f t="shared" si="408"/>
        <v>0</v>
      </c>
      <c r="J1595" s="177"/>
      <c r="K1595" s="222"/>
      <c r="L1595" s="222"/>
      <c r="M1595" s="222"/>
      <c r="N1595" s="222"/>
      <c r="O1595" s="222"/>
      <c r="P1595" s="222"/>
      <c r="Q1595" s="222"/>
      <c r="R1595" s="222"/>
    </row>
    <row r="1596" spans="1:20" s="46" customFormat="1" ht="36.75" customHeight="1">
      <c r="A1596" s="82" t="s">
        <v>38</v>
      </c>
      <c r="B1596" s="83">
        <v>793</v>
      </c>
      <c r="C1596" s="84" t="s">
        <v>173</v>
      </c>
      <c r="D1596" s="84" t="s">
        <v>70</v>
      </c>
      <c r="E1596" s="84" t="s">
        <v>1138</v>
      </c>
      <c r="F1596" s="84" t="s">
        <v>39</v>
      </c>
      <c r="G1596" s="87">
        <v>40000</v>
      </c>
      <c r="H1596" s="87">
        <v>0</v>
      </c>
      <c r="I1596" s="87">
        <v>0</v>
      </c>
      <c r="J1596" s="177"/>
      <c r="K1596" s="222"/>
      <c r="L1596" s="222"/>
      <c r="M1596" s="222"/>
      <c r="N1596" s="222"/>
      <c r="O1596" s="222"/>
      <c r="P1596" s="222"/>
      <c r="Q1596" s="222"/>
      <c r="R1596" s="222"/>
    </row>
    <row r="1597" spans="1:20" ht="51">
      <c r="A1597" s="82" t="s">
        <v>494</v>
      </c>
      <c r="B1597" s="83">
        <v>793</v>
      </c>
      <c r="C1597" s="84" t="s">
        <v>173</v>
      </c>
      <c r="D1597" s="84" t="s">
        <v>70</v>
      </c>
      <c r="E1597" s="84" t="s">
        <v>295</v>
      </c>
      <c r="F1597" s="84"/>
      <c r="G1597" s="87">
        <f>G1598+G1608+G1611+G1617+G1620</f>
        <v>839607</v>
      </c>
      <c r="H1597" s="87">
        <f>H1609+H1612+H1617+H1620</f>
        <v>884703.07000000007</v>
      </c>
      <c r="I1597" s="87">
        <f>I1609+I1612+I1617+I1620</f>
        <v>884800.1</v>
      </c>
      <c r="J1597" s="177"/>
    </row>
    <row r="1598" spans="1:20" s="46" customFormat="1" ht="17.25" customHeight="1">
      <c r="A1598" s="82" t="s">
        <v>381</v>
      </c>
      <c r="B1598" s="83">
        <v>793</v>
      </c>
      <c r="C1598" s="84" t="s">
        <v>173</v>
      </c>
      <c r="D1598" s="84" t="s">
        <v>70</v>
      </c>
      <c r="E1598" s="84" t="s">
        <v>380</v>
      </c>
      <c r="F1598" s="84"/>
      <c r="G1598" s="87">
        <f t="shared" ref="G1598:I1598" si="409">G1599</f>
        <v>9607</v>
      </c>
      <c r="H1598" s="87">
        <f t="shared" si="409"/>
        <v>109703.07</v>
      </c>
      <c r="I1598" s="87">
        <f t="shared" si="409"/>
        <v>109800.1</v>
      </c>
      <c r="J1598" s="177"/>
      <c r="K1598" s="222"/>
      <c r="L1598" s="222"/>
      <c r="M1598" s="222"/>
      <c r="N1598" s="222"/>
      <c r="O1598" s="222"/>
      <c r="P1598" s="222"/>
      <c r="Q1598" s="222"/>
      <c r="R1598" s="222"/>
    </row>
    <row r="1599" spans="1:20" s="46" customFormat="1" ht="17.25" customHeight="1">
      <c r="A1599" s="82" t="s">
        <v>323</v>
      </c>
      <c r="B1599" s="83">
        <v>793</v>
      </c>
      <c r="C1599" s="84" t="s">
        <v>173</v>
      </c>
      <c r="D1599" s="84" t="s">
        <v>70</v>
      </c>
      <c r="E1599" s="84" t="s">
        <v>380</v>
      </c>
      <c r="F1599" s="84" t="s">
        <v>37</v>
      </c>
      <c r="G1599" s="87">
        <f>9607+100000-100000</f>
        <v>9607</v>
      </c>
      <c r="H1599" s="87">
        <f>9703.07+100000</f>
        <v>109703.07</v>
      </c>
      <c r="I1599" s="87">
        <f>9800.1+100000</f>
        <v>109800.1</v>
      </c>
      <c r="J1599" s="177"/>
      <c r="K1599" s="222"/>
      <c r="L1599" s="222"/>
      <c r="M1599" s="222"/>
      <c r="N1599" s="222"/>
      <c r="O1599" s="222"/>
      <c r="P1599" s="222"/>
      <c r="Q1599" s="222"/>
      <c r="R1599" s="222"/>
    </row>
    <row r="1600" spans="1:20" s="28" customFormat="1" ht="24.75" hidden="1" customHeight="1">
      <c r="A1600" s="139" t="s">
        <v>169</v>
      </c>
      <c r="B1600" s="83">
        <v>793</v>
      </c>
      <c r="C1600" s="84" t="s">
        <v>173</v>
      </c>
      <c r="D1600" s="84" t="s">
        <v>70</v>
      </c>
      <c r="E1600" s="84" t="s">
        <v>233</v>
      </c>
      <c r="F1600" s="168"/>
      <c r="G1600" s="87">
        <f t="shared" ref="G1600:I1600" si="410">G1601</f>
        <v>0</v>
      </c>
      <c r="H1600" s="87">
        <f t="shared" si="410"/>
        <v>0</v>
      </c>
      <c r="I1600" s="87">
        <f t="shared" si="410"/>
        <v>0</v>
      </c>
      <c r="J1600" s="177"/>
      <c r="K1600" s="204"/>
      <c r="L1600" s="204"/>
      <c r="M1600" s="204"/>
      <c r="N1600" s="204"/>
      <c r="O1600" s="204"/>
      <c r="P1600" s="204"/>
      <c r="Q1600" s="204"/>
      <c r="R1600" s="204"/>
    </row>
    <row r="1601" spans="1:18" ht="25.5" hidden="1">
      <c r="A1601" s="139" t="s">
        <v>169</v>
      </c>
      <c r="B1601" s="83">
        <v>793</v>
      </c>
      <c r="C1601" s="84" t="s">
        <v>173</v>
      </c>
      <c r="D1601" s="84" t="s">
        <v>70</v>
      </c>
      <c r="E1601" s="84" t="s">
        <v>275</v>
      </c>
      <c r="F1601" s="84"/>
      <c r="G1601" s="87">
        <f>G1602+G1604</f>
        <v>0</v>
      </c>
      <c r="H1601" s="87">
        <f>H1602+H1604</f>
        <v>0</v>
      </c>
      <c r="I1601" s="87">
        <f>I1602+I1604</f>
        <v>0</v>
      </c>
      <c r="J1601" s="177"/>
    </row>
    <row r="1602" spans="1:18" hidden="1">
      <c r="A1602" s="82"/>
      <c r="B1602" s="83">
        <v>793</v>
      </c>
      <c r="C1602" s="84" t="s">
        <v>173</v>
      </c>
      <c r="D1602" s="84" t="s">
        <v>70</v>
      </c>
      <c r="E1602" s="84" t="s">
        <v>275</v>
      </c>
      <c r="F1602" s="84"/>
      <c r="G1602" s="87"/>
      <c r="H1602" s="87"/>
      <c r="I1602" s="87"/>
      <c r="J1602" s="177"/>
    </row>
    <row r="1603" spans="1:18" ht="30.75" hidden="1" customHeight="1">
      <c r="A1603" s="82"/>
      <c r="B1603" s="83">
        <v>793</v>
      </c>
      <c r="C1603" s="84" t="s">
        <v>173</v>
      </c>
      <c r="D1603" s="84" t="s">
        <v>70</v>
      </c>
      <c r="E1603" s="84" t="s">
        <v>275</v>
      </c>
      <c r="F1603" s="84"/>
      <c r="G1603" s="87"/>
      <c r="H1603" s="87"/>
      <c r="I1603" s="87"/>
      <c r="J1603" s="177"/>
    </row>
    <row r="1604" spans="1:18" ht="18" hidden="1" customHeight="1">
      <c r="A1604" s="82" t="s">
        <v>156</v>
      </c>
      <c r="B1604" s="83">
        <v>793</v>
      </c>
      <c r="C1604" s="84" t="s">
        <v>173</v>
      </c>
      <c r="D1604" s="84" t="s">
        <v>70</v>
      </c>
      <c r="E1604" s="84" t="s">
        <v>275</v>
      </c>
      <c r="F1604" s="84" t="s">
        <v>157</v>
      </c>
      <c r="G1604" s="87">
        <f>G1605</f>
        <v>0</v>
      </c>
      <c r="H1604" s="87">
        <f>H1605</f>
        <v>0</v>
      </c>
      <c r="I1604" s="87">
        <f>I1605</f>
        <v>0</v>
      </c>
      <c r="J1604" s="177"/>
    </row>
    <row r="1605" spans="1:18" ht="18" hidden="1" customHeight="1">
      <c r="A1605" s="82" t="s">
        <v>178</v>
      </c>
      <c r="B1605" s="83">
        <v>793</v>
      </c>
      <c r="C1605" s="84" t="s">
        <v>173</v>
      </c>
      <c r="D1605" s="84" t="s">
        <v>70</v>
      </c>
      <c r="E1605" s="84" t="s">
        <v>275</v>
      </c>
      <c r="F1605" s="84" t="s">
        <v>179</v>
      </c>
      <c r="G1605" s="87"/>
      <c r="H1605" s="87"/>
      <c r="I1605" s="87"/>
      <c r="J1605" s="177"/>
    </row>
    <row r="1606" spans="1:18" ht="51" hidden="1">
      <c r="A1606" s="82" t="s">
        <v>494</v>
      </c>
      <c r="B1606" s="83">
        <v>793</v>
      </c>
      <c r="C1606" s="84" t="s">
        <v>173</v>
      </c>
      <c r="D1606" s="84" t="s">
        <v>70</v>
      </c>
      <c r="E1606" s="84" t="s">
        <v>295</v>
      </c>
      <c r="F1606" s="84"/>
      <c r="G1606" s="87"/>
      <c r="H1606" s="87">
        <f t="shared" ref="H1606:I1606" si="411">H1607+H1610+H1615+H1618</f>
        <v>884703.07000000007</v>
      </c>
      <c r="I1606" s="87">
        <f t="shared" si="411"/>
        <v>884800.1</v>
      </c>
      <c r="J1606" s="177"/>
    </row>
    <row r="1607" spans="1:18" s="46" customFormat="1" ht="17.25" hidden="1" customHeight="1">
      <c r="A1607" s="82" t="s">
        <v>381</v>
      </c>
      <c r="B1607" s="83">
        <v>793</v>
      </c>
      <c r="C1607" s="84" t="s">
        <v>173</v>
      </c>
      <c r="D1607" s="84" t="s">
        <v>70</v>
      </c>
      <c r="E1607" s="84" t="s">
        <v>380</v>
      </c>
      <c r="F1607" s="84"/>
      <c r="G1607" s="87">
        <f t="shared" ref="G1607:I1608" si="412">G1608</f>
        <v>0</v>
      </c>
      <c r="H1607" s="87">
        <f t="shared" si="412"/>
        <v>109703.07</v>
      </c>
      <c r="I1607" s="87">
        <f t="shared" si="412"/>
        <v>109800.1</v>
      </c>
      <c r="J1607" s="177"/>
      <c r="K1607" s="222"/>
      <c r="L1607" s="222"/>
      <c r="M1607" s="222"/>
      <c r="N1607" s="222"/>
      <c r="O1607" s="222"/>
      <c r="P1607" s="222"/>
      <c r="Q1607" s="222"/>
      <c r="R1607" s="222"/>
    </row>
    <row r="1608" spans="1:18" s="46" customFormat="1" ht="17.25" hidden="1" customHeight="1">
      <c r="A1608" s="82" t="s">
        <v>323</v>
      </c>
      <c r="B1608" s="83">
        <v>793</v>
      </c>
      <c r="C1608" s="84" t="s">
        <v>173</v>
      </c>
      <c r="D1608" s="84" t="s">
        <v>70</v>
      </c>
      <c r="E1608" s="84" t="s">
        <v>380</v>
      </c>
      <c r="F1608" s="84" t="s">
        <v>37</v>
      </c>
      <c r="G1608" s="87"/>
      <c r="H1608" s="87">
        <f t="shared" si="412"/>
        <v>109703.07</v>
      </c>
      <c r="I1608" s="87">
        <f t="shared" si="412"/>
        <v>109800.1</v>
      </c>
      <c r="J1608" s="177"/>
      <c r="K1608" s="222"/>
      <c r="L1608" s="222"/>
      <c r="M1608" s="222"/>
      <c r="N1608" s="222"/>
      <c r="O1608" s="222"/>
      <c r="P1608" s="222"/>
      <c r="Q1608" s="222"/>
      <c r="R1608" s="222"/>
    </row>
    <row r="1609" spans="1:18" s="46" customFormat="1" ht="32.25" customHeight="1">
      <c r="A1609" s="82" t="s">
        <v>38</v>
      </c>
      <c r="B1609" s="83">
        <v>793</v>
      </c>
      <c r="C1609" s="84" t="s">
        <v>173</v>
      </c>
      <c r="D1609" s="84" t="s">
        <v>70</v>
      </c>
      <c r="E1609" s="84" t="s">
        <v>380</v>
      </c>
      <c r="F1609" s="84" t="s">
        <v>39</v>
      </c>
      <c r="G1609" s="87">
        <f>G1599</f>
        <v>9607</v>
      </c>
      <c r="H1609" s="87">
        <f t="shared" ref="H1609:I1609" si="413">H1599</f>
        <v>109703.07</v>
      </c>
      <c r="I1609" s="87">
        <f t="shared" si="413"/>
        <v>109800.1</v>
      </c>
      <c r="J1609" s="177"/>
      <c r="K1609" s="222"/>
      <c r="L1609" s="222"/>
      <c r="M1609" s="222"/>
      <c r="N1609" s="222"/>
      <c r="O1609" s="222"/>
      <c r="P1609" s="222"/>
      <c r="Q1609" s="222"/>
      <c r="R1609" s="222"/>
    </row>
    <row r="1610" spans="1:18">
      <c r="A1610" s="82" t="s">
        <v>79</v>
      </c>
      <c r="B1610" s="83">
        <v>793</v>
      </c>
      <c r="C1610" s="84" t="s">
        <v>173</v>
      </c>
      <c r="D1610" s="84" t="s">
        <v>70</v>
      </c>
      <c r="E1610" s="84" t="s">
        <v>100</v>
      </c>
      <c r="F1610" s="84"/>
      <c r="G1610" s="87">
        <f>G1611+G1613</f>
        <v>560000</v>
      </c>
      <c r="H1610" s="87">
        <f>H1611+H1613</f>
        <v>505000</v>
      </c>
      <c r="I1610" s="87">
        <f>I1611+I1613</f>
        <v>505000</v>
      </c>
      <c r="J1610" s="177"/>
    </row>
    <row r="1611" spans="1:18" ht="25.5">
      <c r="A1611" s="82" t="s">
        <v>36</v>
      </c>
      <c r="B1611" s="83">
        <v>793</v>
      </c>
      <c r="C1611" s="84" t="s">
        <v>173</v>
      </c>
      <c r="D1611" s="84" t="s">
        <v>70</v>
      </c>
      <c r="E1611" s="84" t="s">
        <v>100</v>
      </c>
      <c r="F1611" s="84" t="s">
        <v>37</v>
      </c>
      <c r="G1611" s="87">
        <f>G1612</f>
        <v>560000</v>
      </c>
      <c r="H1611" s="87">
        <f>H1612</f>
        <v>505000</v>
      </c>
      <c r="I1611" s="87">
        <f>I1612</f>
        <v>505000</v>
      </c>
      <c r="J1611" s="177"/>
    </row>
    <row r="1612" spans="1:18" ht="30.75" customHeight="1">
      <c r="A1612" s="82" t="s">
        <v>38</v>
      </c>
      <c r="B1612" s="83">
        <v>793</v>
      </c>
      <c r="C1612" s="84" t="s">
        <v>173</v>
      </c>
      <c r="D1612" s="84" t="s">
        <v>70</v>
      </c>
      <c r="E1612" s="84" t="s">
        <v>100</v>
      </c>
      <c r="F1612" s="84" t="s">
        <v>39</v>
      </c>
      <c r="G1612" s="87">
        <f>505000+55000</f>
        <v>560000</v>
      </c>
      <c r="H1612" s="87">
        <v>505000</v>
      </c>
      <c r="I1612" s="87">
        <v>505000</v>
      </c>
      <c r="J1612" s="177"/>
    </row>
    <row r="1613" spans="1:18" ht="18" hidden="1" customHeight="1">
      <c r="A1613" s="82" t="s">
        <v>156</v>
      </c>
      <c r="B1613" s="83">
        <v>793</v>
      </c>
      <c r="C1613" s="84" t="s">
        <v>173</v>
      </c>
      <c r="D1613" s="84" t="s">
        <v>70</v>
      </c>
      <c r="E1613" s="84" t="s">
        <v>100</v>
      </c>
      <c r="F1613" s="84" t="s">
        <v>157</v>
      </c>
      <c r="G1613" s="87">
        <f>G1614</f>
        <v>0</v>
      </c>
      <c r="H1613" s="87">
        <f>H1614</f>
        <v>0</v>
      </c>
      <c r="I1613" s="87">
        <f>I1614</f>
        <v>0</v>
      </c>
      <c r="J1613" s="177"/>
    </row>
    <row r="1614" spans="1:18" ht="18" hidden="1" customHeight="1">
      <c r="A1614" s="82" t="s">
        <v>178</v>
      </c>
      <c r="B1614" s="83">
        <v>793</v>
      </c>
      <c r="C1614" s="84" t="s">
        <v>173</v>
      </c>
      <c r="D1614" s="84" t="s">
        <v>70</v>
      </c>
      <c r="E1614" s="84" t="s">
        <v>100</v>
      </c>
      <c r="F1614" s="84" t="s">
        <v>179</v>
      </c>
      <c r="G1614" s="87"/>
      <c r="H1614" s="87"/>
      <c r="I1614" s="87"/>
      <c r="J1614" s="177"/>
    </row>
    <row r="1615" spans="1:18" ht="26.25" customHeight="1">
      <c r="A1615" s="82" t="s">
        <v>77</v>
      </c>
      <c r="B1615" s="83">
        <v>793</v>
      </c>
      <c r="C1615" s="84" t="s">
        <v>173</v>
      </c>
      <c r="D1615" s="84" t="s">
        <v>70</v>
      </c>
      <c r="E1615" s="84" t="s">
        <v>78</v>
      </c>
      <c r="F1615" s="84"/>
      <c r="G1615" s="87">
        <f t="shared" ref="G1615:I1616" si="414">G1616</f>
        <v>70000</v>
      </c>
      <c r="H1615" s="87">
        <f t="shared" si="414"/>
        <v>70000</v>
      </c>
      <c r="I1615" s="87">
        <f t="shared" si="414"/>
        <v>70000</v>
      </c>
      <c r="J1615" s="177"/>
    </row>
    <row r="1616" spans="1:18" ht="26.25" customHeight="1">
      <c r="A1616" s="82" t="s">
        <v>36</v>
      </c>
      <c r="B1616" s="83">
        <v>793</v>
      </c>
      <c r="C1616" s="84" t="s">
        <v>173</v>
      </c>
      <c r="D1616" s="84" t="s">
        <v>70</v>
      </c>
      <c r="E1616" s="84" t="s">
        <v>78</v>
      </c>
      <c r="F1616" s="84" t="s">
        <v>37</v>
      </c>
      <c r="G1616" s="87">
        <f t="shared" si="414"/>
        <v>70000</v>
      </c>
      <c r="H1616" s="87">
        <f t="shared" si="414"/>
        <v>70000</v>
      </c>
      <c r="I1616" s="87">
        <f t="shared" si="414"/>
        <v>70000</v>
      </c>
      <c r="J1616" s="177"/>
    </row>
    <row r="1617" spans="1:20" ht="25.5">
      <c r="A1617" s="82" t="s">
        <v>38</v>
      </c>
      <c r="B1617" s="83">
        <v>793</v>
      </c>
      <c r="C1617" s="84" t="s">
        <v>173</v>
      </c>
      <c r="D1617" s="84" t="s">
        <v>70</v>
      </c>
      <c r="E1617" s="84" t="s">
        <v>78</v>
      </c>
      <c r="F1617" s="84" t="s">
        <v>39</v>
      </c>
      <c r="G1617" s="87">
        <v>70000</v>
      </c>
      <c r="H1617" s="87">
        <v>70000</v>
      </c>
      <c r="I1617" s="87">
        <v>70000</v>
      </c>
      <c r="J1617" s="177"/>
    </row>
    <row r="1618" spans="1:20" ht="30.75" customHeight="1">
      <c r="A1618" s="82" t="s">
        <v>704</v>
      </c>
      <c r="B1618" s="83">
        <v>793</v>
      </c>
      <c r="C1618" s="84" t="s">
        <v>173</v>
      </c>
      <c r="D1618" s="84" t="s">
        <v>70</v>
      </c>
      <c r="E1618" s="84" t="s">
        <v>417</v>
      </c>
      <c r="F1618" s="84"/>
      <c r="G1618" s="87">
        <f t="shared" ref="G1618:I1619" si="415">G1619</f>
        <v>200000</v>
      </c>
      <c r="H1618" s="87">
        <f t="shared" si="415"/>
        <v>200000</v>
      </c>
      <c r="I1618" s="87">
        <f t="shared" si="415"/>
        <v>200000</v>
      </c>
      <c r="J1618" s="177"/>
    </row>
    <row r="1619" spans="1:20" ht="30.75" customHeight="1">
      <c r="A1619" s="82" t="s">
        <v>36</v>
      </c>
      <c r="B1619" s="83">
        <v>793</v>
      </c>
      <c r="C1619" s="84" t="s">
        <v>173</v>
      </c>
      <c r="D1619" s="84" t="s">
        <v>70</v>
      </c>
      <c r="E1619" s="84" t="s">
        <v>417</v>
      </c>
      <c r="F1619" s="84" t="s">
        <v>37</v>
      </c>
      <c r="G1619" s="87">
        <f t="shared" si="415"/>
        <v>200000</v>
      </c>
      <c r="H1619" s="87">
        <f t="shared" si="415"/>
        <v>200000</v>
      </c>
      <c r="I1619" s="87">
        <f t="shared" si="415"/>
        <v>200000</v>
      </c>
      <c r="J1619" s="177"/>
    </row>
    <row r="1620" spans="1:20" ht="30.75" customHeight="1">
      <c r="A1620" s="82" t="s">
        <v>38</v>
      </c>
      <c r="B1620" s="83">
        <v>793</v>
      </c>
      <c r="C1620" s="84" t="s">
        <v>173</v>
      </c>
      <c r="D1620" s="84" t="s">
        <v>70</v>
      </c>
      <c r="E1620" s="84" t="s">
        <v>417</v>
      </c>
      <c r="F1620" s="84" t="s">
        <v>39</v>
      </c>
      <c r="G1620" s="87">
        <v>200000</v>
      </c>
      <c r="H1620" s="87">
        <v>200000</v>
      </c>
      <c r="I1620" s="87">
        <v>200000</v>
      </c>
      <c r="J1620" s="177"/>
    </row>
    <row r="1621" spans="1:20" s="169" customFormat="1" ht="34.5" customHeight="1">
      <c r="A1621" s="139" t="s">
        <v>169</v>
      </c>
      <c r="B1621" s="149">
        <v>793</v>
      </c>
      <c r="C1621" s="84" t="s">
        <v>173</v>
      </c>
      <c r="D1621" s="84" t="s">
        <v>70</v>
      </c>
      <c r="E1621" s="84" t="s">
        <v>233</v>
      </c>
      <c r="F1621" s="168"/>
      <c r="G1621" s="87">
        <f>G1622</f>
        <v>789422.74</v>
      </c>
      <c r="H1621" s="87">
        <f t="shared" ref="H1621:I1621" si="416">H1622</f>
        <v>0</v>
      </c>
      <c r="I1621" s="87">
        <f t="shared" si="416"/>
        <v>0</v>
      </c>
      <c r="J1621" s="326"/>
      <c r="P1621" s="326"/>
      <c r="Q1621" s="326"/>
      <c r="R1621" s="326"/>
      <c r="S1621" s="326"/>
      <c r="T1621" s="326"/>
    </row>
    <row r="1622" spans="1:20" s="90" customFormat="1" ht="25.5">
      <c r="A1622" s="139" t="s">
        <v>169</v>
      </c>
      <c r="B1622" s="149">
        <v>793</v>
      </c>
      <c r="C1622" s="84" t="s">
        <v>173</v>
      </c>
      <c r="D1622" s="84" t="s">
        <v>70</v>
      </c>
      <c r="E1622" s="84" t="s">
        <v>275</v>
      </c>
      <c r="F1622" s="149"/>
      <c r="G1622" s="87">
        <f>G1623</f>
        <v>789422.74</v>
      </c>
      <c r="H1622" s="87">
        <f>H1627+H1636+H1642+H1634+H1631</f>
        <v>0</v>
      </c>
      <c r="I1622" s="87">
        <f>I1627+I1636+I1642+I1634+I1631</f>
        <v>0</v>
      </c>
      <c r="J1622" s="126"/>
      <c r="P1622" s="126"/>
      <c r="Q1622" s="126"/>
      <c r="R1622" s="126"/>
      <c r="S1622" s="126"/>
      <c r="T1622" s="126"/>
    </row>
    <row r="1623" spans="1:20" s="90" customFormat="1" ht="30.75" customHeight="1">
      <c r="A1623" s="82" t="s">
        <v>156</v>
      </c>
      <c r="B1623" s="149">
        <v>793</v>
      </c>
      <c r="C1623" s="84" t="s">
        <v>173</v>
      </c>
      <c r="D1623" s="84" t="s">
        <v>70</v>
      </c>
      <c r="E1623" s="84" t="s">
        <v>275</v>
      </c>
      <c r="F1623" s="84" t="s">
        <v>157</v>
      </c>
      <c r="G1623" s="87">
        <f>G1624</f>
        <v>789422.74</v>
      </c>
      <c r="H1623" s="87">
        <v>0</v>
      </c>
      <c r="I1623" s="87">
        <v>0</v>
      </c>
      <c r="P1623" s="126"/>
      <c r="Q1623" s="126"/>
      <c r="R1623" s="126"/>
      <c r="S1623" s="126"/>
      <c r="T1623" s="126"/>
    </row>
    <row r="1624" spans="1:20" s="90" customFormat="1" ht="30.75" customHeight="1">
      <c r="A1624" s="82" t="s">
        <v>178</v>
      </c>
      <c r="B1624" s="149">
        <v>793</v>
      </c>
      <c r="C1624" s="84" t="s">
        <v>173</v>
      </c>
      <c r="D1624" s="84" t="s">
        <v>70</v>
      </c>
      <c r="E1624" s="84" t="s">
        <v>275</v>
      </c>
      <c r="F1624" s="84" t="s">
        <v>179</v>
      </c>
      <c r="G1624" s="87">
        <f>680000-440577.26+550000</f>
        <v>789422.74</v>
      </c>
      <c r="H1624" s="87"/>
      <c r="I1624" s="87"/>
      <c r="P1624" s="126"/>
      <c r="Q1624" s="126"/>
      <c r="R1624" s="126"/>
      <c r="S1624" s="126"/>
      <c r="T1624" s="126"/>
    </row>
    <row r="1625" spans="1:20" s="22" customFormat="1" ht="25.5">
      <c r="A1625" s="154" t="s">
        <v>587</v>
      </c>
      <c r="B1625" s="273">
        <v>793</v>
      </c>
      <c r="C1625" s="156" t="s">
        <v>173</v>
      </c>
      <c r="D1625" s="156" t="s">
        <v>173</v>
      </c>
      <c r="E1625" s="156"/>
      <c r="F1625" s="156"/>
      <c r="G1625" s="157">
        <f>G1626</f>
        <v>4344742.93</v>
      </c>
      <c r="H1625" s="157">
        <f t="shared" ref="H1625:I1625" si="417">H1626</f>
        <v>101000</v>
      </c>
      <c r="I1625" s="157">
        <f t="shared" si="417"/>
        <v>0</v>
      </c>
      <c r="J1625" s="196"/>
      <c r="K1625" s="207"/>
      <c r="L1625" s="207"/>
      <c r="M1625" s="207"/>
      <c r="N1625" s="207"/>
      <c r="O1625" s="207"/>
      <c r="P1625" s="207"/>
      <c r="Q1625" s="207"/>
      <c r="R1625" s="207"/>
    </row>
    <row r="1626" spans="1:20" ht="54" customHeight="1">
      <c r="A1626" s="82" t="s">
        <v>494</v>
      </c>
      <c r="B1626" s="83">
        <v>793</v>
      </c>
      <c r="C1626" s="84" t="s">
        <v>173</v>
      </c>
      <c r="D1626" s="84" t="s">
        <v>173</v>
      </c>
      <c r="E1626" s="84" t="s">
        <v>295</v>
      </c>
      <c r="F1626" s="84"/>
      <c r="G1626" s="87">
        <f>G1653+G1627+G1650+G1647+G1656</f>
        <v>4344742.93</v>
      </c>
      <c r="H1626" s="87">
        <f t="shared" ref="H1626:I1626" si="418">H1653+H1627+H1650+H1647+H1656</f>
        <v>101000</v>
      </c>
      <c r="I1626" s="87">
        <f t="shared" si="418"/>
        <v>0</v>
      </c>
      <c r="J1626" s="177"/>
    </row>
    <row r="1627" spans="1:20" ht="67.5" customHeight="1">
      <c r="A1627" s="139" t="s">
        <v>715</v>
      </c>
      <c r="B1627" s="83">
        <v>793</v>
      </c>
      <c r="C1627" s="84" t="s">
        <v>173</v>
      </c>
      <c r="D1627" s="84" t="s">
        <v>173</v>
      </c>
      <c r="E1627" s="84" t="s">
        <v>722</v>
      </c>
      <c r="F1627" s="84"/>
      <c r="G1627" s="87">
        <f>G1628</f>
        <v>2017013.5199999996</v>
      </c>
      <c r="H1627" s="85">
        <v>0</v>
      </c>
      <c r="I1627" s="85">
        <v>0</v>
      </c>
      <c r="J1627" s="178"/>
    </row>
    <row r="1628" spans="1:20" ht="21" customHeight="1">
      <c r="A1628" s="82" t="s">
        <v>156</v>
      </c>
      <c r="B1628" s="83">
        <v>793</v>
      </c>
      <c r="C1628" s="84" t="s">
        <v>173</v>
      </c>
      <c r="D1628" s="84" t="s">
        <v>173</v>
      </c>
      <c r="E1628" s="84" t="s">
        <v>722</v>
      </c>
      <c r="F1628" s="84" t="s">
        <v>157</v>
      </c>
      <c r="G1628" s="87">
        <f>G1629</f>
        <v>2017013.5199999996</v>
      </c>
      <c r="H1628" s="85">
        <v>0</v>
      </c>
      <c r="I1628" s="85">
        <v>0</v>
      </c>
      <c r="J1628" s="178"/>
    </row>
    <row r="1629" spans="1:20" ht="20.25" customHeight="1">
      <c r="A1629" s="82" t="s">
        <v>178</v>
      </c>
      <c r="B1629" s="83">
        <v>793</v>
      </c>
      <c r="C1629" s="84" t="s">
        <v>173</v>
      </c>
      <c r="D1629" s="84" t="s">
        <v>173</v>
      </c>
      <c r="E1629" s="84" t="s">
        <v>722</v>
      </c>
      <c r="F1629" s="84" t="s">
        <v>179</v>
      </c>
      <c r="G1629" s="87">
        <f>4812423.52-2795410</f>
        <v>2017013.5199999996</v>
      </c>
      <c r="H1629" s="85">
        <v>0</v>
      </c>
      <c r="I1629" s="85">
        <v>0</v>
      </c>
      <c r="J1629" s="178"/>
    </row>
    <row r="1630" spans="1:20" ht="25.5" hidden="1" customHeight="1">
      <c r="A1630" s="139" t="s">
        <v>627</v>
      </c>
      <c r="B1630" s="83">
        <v>793</v>
      </c>
      <c r="C1630" s="84" t="s">
        <v>173</v>
      </c>
      <c r="D1630" s="84" t="s">
        <v>173</v>
      </c>
      <c r="E1630" s="84" t="s">
        <v>624</v>
      </c>
      <c r="F1630" s="84"/>
      <c r="G1630" s="87">
        <f>G1631</f>
        <v>0</v>
      </c>
      <c r="H1630" s="85">
        <v>0</v>
      </c>
      <c r="I1630" s="85">
        <v>0</v>
      </c>
      <c r="J1630" s="178"/>
    </row>
    <row r="1631" spans="1:20" ht="39.75" hidden="1" customHeight="1">
      <c r="A1631" s="139" t="s">
        <v>626</v>
      </c>
      <c r="B1631" s="83">
        <v>793</v>
      </c>
      <c r="C1631" s="84" t="s">
        <v>173</v>
      </c>
      <c r="D1631" s="84" t="s">
        <v>173</v>
      </c>
      <c r="E1631" s="84" t="s">
        <v>625</v>
      </c>
      <c r="F1631" s="84"/>
      <c r="G1631" s="87">
        <f>G1632</f>
        <v>0</v>
      </c>
      <c r="H1631" s="85">
        <v>0</v>
      </c>
      <c r="I1631" s="85">
        <v>0</v>
      </c>
      <c r="J1631" s="178"/>
    </row>
    <row r="1632" spans="1:20" ht="30.75" hidden="1" customHeight="1">
      <c r="A1632" s="82" t="s">
        <v>96</v>
      </c>
      <c r="B1632" s="83">
        <v>793</v>
      </c>
      <c r="C1632" s="84" t="s">
        <v>173</v>
      </c>
      <c r="D1632" s="84" t="s">
        <v>173</v>
      </c>
      <c r="E1632" s="84" t="s">
        <v>625</v>
      </c>
      <c r="F1632" s="84" t="s">
        <v>348</v>
      </c>
      <c r="G1632" s="87">
        <f>G1633</f>
        <v>0</v>
      </c>
      <c r="H1632" s="85">
        <v>0</v>
      </c>
      <c r="I1632" s="85">
        <v>0</v>
      </c>
      <c r="J1632" s="178"/>
    </row>
    <row r="1633" spans="1:18" ht="30.75" hidden="1" customHeight="1">
      <c r="A1633" s="82" t="s">
        <v>349</v>
      </c>
      <c r="B1633" s="83">
        <v>793</v>
      </c>
      <c r="C1633" s="84" t="s">
        <v>173</v>
      </c>
      <c r="D1633" s="84" t="s">
        <v>173</v>
      </c>
      <c r="E1633" s="84" t="s">
        <v>625</v>
      </c>
      <c r="F1633" s="84" t="s">
        <v>350</v>
      </c>
      <c r="G1633" s="87"/>
      <c r="H1633" s="85">
        <v>0</v>
      </c>
      <c r="I1633" s="85">
        <v>0</v>
      </c>
      <c r="J1633" s="178"/>
    </row>
    <row r="1634" spans="1:18" ht="55.5" hidden="1" customHeight="1">
      <c r="A1634" s="139" t="s">
        <v>740</v>
      </c>
      <c r="B1634" s="83">
        <v>793</v>
      </c>
      <c r="C1634" s="84" t="s">
        <v>173</v>
      </c>
      <c r="D1634" s="84" t="s">
        <v>173</v>
      </c>
      <c r="E1634" s="84" t="s">
        <v>724</v>
      </c>
      <c r="F1634" s="84"/>
      <c r="G1634" s="87">
        <f>G1635+G1637</f>
        <v>0</v>
      </c>
      <c r="H1634" s="87">
        <f t="shared" ref="H1634:I1634" si="419">H1635+H1637</f>
        <v>0</v>
      </c>
      <c r="I1634" s="87">
        <f t="shared" si="419"/>
        <v>0</v>
      </c>
      <c r="J1634" s="177"/>
    </row>
    <row r="1635" spans="1:18" ht="27" hidden="1" customHeight="1">
      <c r="A1635" s="82" t="s">
        <v>96</v>
      </c>
      <c r="B1635" s="83">
        <v>793</v>
      </c>
      <c r="C1635" s="84" t="s">
        <v>173</v>
      </c>
      <c r="D1635" s="84" t="s">
        <v>173</v>
      </c>
      <c r="E1635" s="84" t="s">
        <v>610</v>
      </c>
      <c r="F1635" s="84" t="s">
        <v>348</v>
      </c>
      <c r="G1635" s="87">
        <f>G1636</f>
        <v>0</v>
      </c>
      <c r="H1635" s="85">
        <f>H1636</f>
        <v>0</v>
      </c>
      <c r="I1635" s="85">
        <v>0</v>
      </c>
      <c r="J1635" s="178"/>
    </row>
    <row r="1636" spans="1:18" ht="18.75" hidden="1" customHeight="1">
      <c r="A1636" s="82" t="s">
        <v>349</v>
      </c>
      <c r="B1636" s="83">
        <v>793</v>
      </c>
      <c r="C1636" s="84" t="s">
        <v>173</v>
      </c>
      <c r="D1636" s="84" t="s">
        <v>173</v>
      </c>
      <c r="E1636" s="84" t="s">
        <v>610</v>
      </c>
      <c r="F1636" s="84" t="s">
        <v>350</v>
      </c>
      <c r="G1636" s="87"/>
      <c r="H1636" s="85"/>
      <c r="I1636" s="85">
        <v>0</v>
      </c>
      <c r="J1636" s="178"/>
    </row>
    <row r="1637" spans="1:18" ht="39.75" hidden="1" customHeight="1">
      <c r="A1637" s="82" t="s">
        <v>36</v>
      </c>
      <c r="B1637" s="83">
        <v>793</v>
      </c>
      <c r="C1637" s="84" t="s">
        <v>173</v>
      </c>
      <c r="D1637" s="84" t="s">
        <v>173</v>
      </c>
      <c r="E1637" s="84" t="s">
        <v>725</v>
      </c>
      <c r="F1637" s="84" t="s">
        <v>348</v>
      </c>
      <c r="G1637" s="87">
        <f>G1638</f>
        <v>0</v>
      </c>
      <c r="H1637" s="85"/>
      <c r="I1637" s="85"/>
      <c r="J1637" s="178"/>
    </row>
    <row r="1638" spans="1:18" ht="39" hidden="1" customHeight="1">
      <c r="A1638" s="82" t="s">
        <v>38</v>
      </c>
      <c r="B1638" s="83">
        <v>793</v>
      </c>
      <c r="C1638" s="84" t="s">
        <v>173</v>
      </c>
      <c r="D1638" s="84" t="s">
        <v>173</v>
      </c>
      <c r="E1638" s="84" t="s">
        <v>724</v>
      </c>
      <c r="F1638" s="84" t="s">
        <v>350</v>
      </c>
      <c r="G1638" s="87">
        <f>358104.72+400000-758104.72</f>
        <v>0</v>
      </c>
      <c r="H1638" s="85"/>
      <c r="I1638" s="85"/>
      <c r="J1638" s="178"/>
    </row>
    <row r="1639" spans="1:18" ht="57" hidden="1" customHeight="1">
      <c r="A1639" s="139" t="s">
        <v>740</v>
      </c>
      <c r="B1639" s="83">
        <v>793</v>
      </c>
      <c r="C1639" s="84" t="s">
        <v>173</v>
      </c>
      <c r="D1639" s="84" t="s">
        <v>173</v>
      </c>
      <c r="E1639" s="84" t="s">
        <v>610</v>
      </c>
      <c r="F1639" s="84"/>
      <c r="G1639" s="87">
        <f>G1640+G1642</f>
        <v>0</v>
      </c>
      <c r="H1639" s="87">
        <f t="shared" ref="H1639:I1639" si="420">H1640+H1642</f>
        <v>0</v>
      </c>
      <c r="I1639" s="87">
        <f t="shared" si="420"/>
        <v>0</v>
      </c>
      <c r="J1639" s="177"/>
    </row>
    <row r="1640" spans="1:18" ht="27" hidden="1" customHeight="1">
      <c r="A1640" s="82" t="s">
        <v>96</v>
      </c>
      <c r="B1640" s="83">
        <v>793</v>
      </c>
      <c r="C1640" s="84" t="s">
        <v>173</v>
      </c>
      <c r="D1640" s="84" t="s">
        <v>173</v>
      </c>
      <c r="E1640" s="84" t="s">
        <v>610</v>
      </c>
      <c r="F1640" s="84" t="s">
        <v>348</v>
      </c>
      <c r="G1640" s="87">
        <f>G1641</f>
        <v>0</v>
      </c>
      <c r="H1640" s="85">
        <f>H1641</f>
        <v>0</v>
      </c>
      <c r="I1640" s="85">
        <v>0</v>
      </c>
      <c r="J1640" s="178"/>
    </row>
    <row r="1641" spans="1:18" ht="18.75" hidden="1" customHeight="1">
      <c r="A1641" s="82" t="s">
        <v>349</v>
      </c>
      <c r="B1641" s="83">
        <v>793</v>
      </c>
      <c r="C1641" s="84" t="s">
        <v>173</v>
      </c>
      <c r="D1641" s="84" t="s">
        <v>173</v>
      </c>
      <c r="E1641" s="84" t="s">
        <v>610</v>
      </c>
      <c r="F1641" s="84" t="s">
        <v>350</v>
      </c>
      <c r="G1641" s="87"/>
      <c r="H1641" s="85"/>
      <c r="I1641" s="85">
        <v>0</v>
      </c>
      <c r="J1641" s="178"/>
    </row>
    <row r="1642" spans="1:18" ht="30" hidden="1" customHeight="1">
      <c r="A1642" s="82" t="s">
        <v>36</v>
      </c>
      <c r="B1642" s="83">
        <v>793</v>
      </c>
      <c r="C1642" s="84" t="s">
        <v>173</v>
      </c>
      <c r="D1642" s="84" t="s">
        <v>173</v>
      </c>
      <c r="E1642" s="84" t="s">
        <v>610</v>
      </c>
      <c r="F1642" s="84" t="s">
        <v>348</v>
      </c>
      <c r="G1642" s="87">
        <f>G1643</f>
        <v>0</v>
      </c>
      <c r="H1642" s="85">
        <v>0</v>
      </c>
      <c r="I1642" s="85">
        <v>0</v>
      </c>
      <c r="J1642" s="178"/>
    </row>
    <row r="1643" spans="1:18" ht="30.75" hidden="1" customHeight="1">
      <c r="A1643" s="82" t="s">
        <v>38</v>
      </c>
      <c r="B1643" s="83">
        <v>793</v>
      </c>
      <c r="C1643" s="84" t="s">
        <v>173</v>
      </c>
      <c r="D1643" s="84" t="s">
        <v>173</v>
      </c>
      <c r="E1643" s="84" t="s">
        <v>610</v>
      </c>
      <c r="F1643" s="84" t="s">
        <v>350</v>
      </c>
      <c r="G1643" s="87"/>
      <c r="H1643" s="85"/>
      <c r="I1643" s="85"/>
      <c r="J1643" s="178"/>
    </row>
    <row r="1644" spans="1:18" s="3" customFormat="1" ht="33.75" hidden="1" customHeight="1">
      <c r="A1644" s="82" t="s">
        <v>509</v>
      </c>
      <c r="B1644" s="83">
        <v>793</v>
      </c>
      <c r="C1644" s="84" t="s">
        <v>173</v>
      </c>
      <c r="D1644" s="84" t="s">
        <v>173</v>
      </c>
      <c r="E1644" s="84" t="s">
        <v>510</v>
      </c>
      <c r="F1644" s="84"/>
      <c r="G1644" s="87">
        <f>G1645</f>
        <v>0</v>
      </c>
      <c r="H1644" s="85">
        <v>0</v>
      </c>
      <c r="I1644" s="85">
        <v>0</v>
      </c>
      <c r="J1644" s="178"/>
      <c r="K1644" s="199"/>
      <c r="L1644" s="199"/>
      <c r="M1644" s="199"/>
      <c r="N1644" s="199"/>
      <c r="O1644" s="199"/>
      <c r="P1644" s="199"/>
      <c r="Q1644" s="199"/>
      <c r="R1644" s="199"/>
    </row>
    <row r="1645" spans="1:18" s="3" customFormat="1" ht="38.25" hidden="1" customHeight="1">
      <c r="A1645" s="82" t="s">
        <v>36</v>
      </c>
      <c r="B1645" s="83">
        <v>793</v>
      </c>
      <c r="C1645" s="84" t="s">
        <v>173</v>
      </c>
      <c r="D1645" s="84" t="s">
        <v>173</v>
      </c>
      <c r="E1645" s="84" t="s">
        <v>510</v>
      </c>
      <c r="F1645" s="84" t="s">
        <v>37</v>
      </c>
      <c r="G1645" s="87">
        <f>G1646</f>
        <v>0</v>
      </c>
      <c r="H1645" s="85">
        <v>0</v>
      </c>
      <c r="I1645" s="85">
        <v>0</v>
      </c>
      <c r="J1645" s="178"/>
      <c r="K1645" s="199"/>
      <c r="L1645" s="199"/>
      <c r="M1645" s="199"/>
      <c r="N1645" s="199"/>
      <c r="O1645" s="199"/>
      <c r="P1645" s="199"/>
      <c r="Q1645" s="199"/>
      <c r="R1645" s="199"/>
    </row>
    <row r="1646" spans="1:18" s="3" customFormat="1" ht="38.25" hidden="1" customHeight="1">
      <c r="A1646" s="82" t="s">
        <v>38</v>
      </c>
      <c r="B1646" s="83">
        <v>793</v>
      </c>
      <c r="C1646" s="84" t="s">
        <v>173</v>
      </c>
      <c r="D1646" s="84" t="s">
        <v>173</v>
      </c>
      <c r="E1646" s="84" t="s">
        <v>510</v>
      </c>
      <c r="F1646" s="84" t="s">
        <v>39</v>
      </c>
      <c r="G1646" s="87"/>
      <c r="H1646" s="85">
        <v>0</v>
      </c>
      <c r="I1646" s="85">
        <v>0</v>
      </c>
      <c r="J1646" s="178"/>
      <c r="K1646" s="199"/>
      <c r="L1646" s="199"/>
      <c r="M1646" s="199"/>
      <c r="N1646" s="199"/>
      <c r="O1646" s="199"/>
      <c r="P1646" s="199"/>
      <c r="Q1646" s="199"/>
      <c r="R1646" s="199"/>
    </row>
    <row r="1647" spans="1:18" ht="67.5" customHeight="1">
      <c r="A1647" s="139" t="s">
        <v>1012</v>
      </c>
      <c r="B1647" s="83">
        <v>793</v>
      </c>
      <c r="C1647" s="84" t="s">
        <v>173</v>
      </c>
      <c r="D1647" s="84" t="s">
        <v>173</v>
      </c>
      <c r="E1647" s="84" t="s">
        <v>610</v>
      </c>
      <c r="F1647" s="84"/>
      <c r="G1647" s="87">
        <f>G1648</f>
        <v>1652729.41</v>
      </c>
      <c r="H1647" s="85">
        <v>0</v>
      </c>
      <c r="I1647" s="85">
        <v>0</v>
      </c>
      <c r="J1647" s="178"/>
    </row>
    <row r="1648" spans="1:18" ht="44.25" customHeight="1">
      <c r="A1648" s="82" t="s">
        <v>96</v>
      </c>
      <c r="B1648" s="83">
        <v>793</v>
      </c>
      <c r="C1648" s="84" t="s">
        <v>173</v>
      </c>
      <c r="D1648" s="84" t="s">
        <v>173</v>
      </c>
      <c r="E1648" s="84" t="s">
        <v>610</v>
      </c>
      <c r="F1648" s="84" t="s">
        <v>348</v>
      </c>
      <c r="G1648" s="87">
        <f>G1649</f>
        <v>1652729.41</v>
      </c>
      <c r="H1648" s="85">
        <v>0</v>
      </c>
      <c r="I1648" s="85">
        <v>0</v>
      </c>
      <c r="J1648" s="178"/>
    </row>
    <row r="1649" spans="1:18" ht="20.25" customHeight="1">
      <c r="A1649" s="82" t="s">
        <v>349</v>
      </c>
      <c r="B1649" s="83">
        <v>793</v>
      </c>
      <c r="C1649" s="84" t="s">
        <v>173</v>
      </c>
      <c r="D1649" s="84" t="s">
        <v>173</v>
      </c>
      <c r="E1649" s="84" t="s">
        <v>610</v>
      </c>
      <c r="F1649" s="84" t="s">
        <v>350</v>
      </c>
      <c r="G1649" s="294">
        <f>1404820+450000-202090.59</f>
        <v>1652729.41</v>
      </c>
      <c r="H1649" s="85">
        <v>0</v>
      </c>
      <c r="I1649" s="85">
        <v>0</v>
      </c>
      <c r="J1649" s="178"/>
    </row>
    <row r="1650" spans="1:18" ht="70.5" customHeight="1">
      <c r="A1650" s="139" t="s">
        <v>825</v>
      </c>
      <c r="B1650" s="83">
        <v>793</v>
      </c>
      <c r="C1650" s="84" t="s">
        <v>173</v>
      </c>
      <c r="D1650" s="84" t="s">
        <v>173</v>
      </c>
      <c r="E1650" s="84" t="s">
        <v>721</v>
      </c>
      <c r="F1650" s="84"/>
      <c r="G1650" s="87">
        <f>G1651</f>
        <v>675000</v>
      </c>
      <c r="H1650" s="85">
        <v>0</v>
      </c>
      <c r="I1650" s="85">
        <v>0</v>
      </c>
      <c r="J1650" s="178"/>
    </row>
    <row r="1651" spans="1:18" ht="21" customHeight="1">
      <c r="A1651" s="82" t="s">
        <v>156</v>
      </c>
      <c r="B1651" s="83">
        <v>793</v>
      </c>
      <c r="C1651" s="84" t="s">
        <v>173</v>
      </c>
      <c r="D1651" s="84" t="s">
        <v>173</v>
      </c>
      <c r="E1651" s="84" t="s">
        <v>721</v>
      </c>
      <c r="F1651" s="84" t="s">
        <v>157</v>
      </c>
      <c r="G1651" s="87">
        <f>G1652</f>
        <v>675000</v>
      </c>
      <c r="H1651" s="85">
        <v>0</v>
      </c>
      <c r="I1651" s="85">
        <v>0</v>
      </c>
      <c r="J1651" s="178"/>
    </row>
    <row r="1652" spans="1:18" ht="20.25" customHeight="1">
      <c r="A1652" s="82" t="s">
        <v>178</v>
      </c>
      <c r="B1652" s="83">
        <v>793</v>
      </c>
      <c r="C1652" s="84" t="s">
        <v>173</v>
      </c>
      <c r="D1652" s="84" t="s">
        <v>173</v>
      </c>
      <c r="E1652" s="84" t="s">
        <v>721</v>
      </c>
      <c r="F1652" s="84" t="s">
        <v>179</v>
      </c>
      <c r="G1652" s="87">
        <v>675000</v>
      </c>
      <c r="H1652" s="85">
        <v>0</v>
      </c>
      <c r="I1652" s="85">
        <v>0</v>
      </c>
      <c r="J1652" s="178"/>
    </row>
    <row r="1653" spans="1:18" ht="57" hidden="1" customHeight="1">
      <c r="A1653" s="139" t="s">
        <v>875</v>
      </c>
      <c r="B1653" s="83">
        <v>793</v>
      </c>
      <c r="C1653" s="84" t="s">
        <v>173</v>
      </c>
      <c r="D1653" s="84" t="s">
        <v>173</v>
      </c>
      <c r="E1653" s="84" t="s">
        <v>874</v>
      </c>
      <c r="F1653" s="84"/>
      <c r="G1653" s="87">
        <f>G1654</f>
        <v>0</v>
      </c>
      <c r="H1653" s="87">
        <f t="shared" ref="H1653:I1653" si="421">H1654</f>
        <v>0</v>
      </c>
      <c r="I1653" s="87">
        <f t="shared" si="421"/>
        <v>0</v>
      </c>
      <c r="J1653" s="177"/>
    </row>
    <row r="1654" spans="1:18" ht="27" hidden="1" customHeight="1">
      <c r="A1654" s="82" t="s">
        <v>63</v>
      </c>
      <c r="B1654" s="83">
        <v>793</v>
      </c>
      <c r="C1654" s="84" t="s">
        <v>173</v>
      </c>
      <c r="D1654" s="84" t="s">
        <v>173</v>
      </c>
      <c r="E1654" s="84" t="s">
        <v>874</v>
      </c>
      <c r="F1654" s="84" t="s">
        <v>64</v>
      </c>
      <c r="G1654" s="87">
        <f>G1655</f>
        <v>0</v>
      </c>
      <c r="H1654" s="85">
        <f>H1655</f>
        <v>0</v>
      </c>
      <c r="I1654" s="85">
        <f>I1655</f>
        <v>0</v>
      </c>
      <c r="J1654" s="178"/>
    </row>
    <row r="1655" spans="1:18" ht="18.75" hidden="1" customHeight="1">
      <c r="A1655" s="82" t="s">
        <v>180</v>
      </c>
      <c r="B1655" s="83">
        <v>793</v>
      </c>
      <c r="C1655" s="84" t="s">
        <v>173</v>
      </c>
      <c r="D1655" s="84" t="s">
        <v>173</v>
      </c>
      <c r="E1655" s="84" t="s">
        <v>874</v>
      </c>
      <c r="F1655" s="84" t="s">
        <v>181</v>
      </c>
      <c r="G1655" s="87">
        <f>450000-450000</f>
        <v>0</v>
      </c>
      <c r="H1655" s="87">
        <v>0</v>
      </c>
      <c r="I1655" s="87">
        <v>0</v>
      </c>
      <c r="J1655" s="177"/>
    </row>
    <row r="1656" spans="1:18" ht="34.5" customHeight="1">
      <c r="A1656" s="37" t="s">
        <v>1145</v>
      </c>
      <c r="B1656" s="49">
        <v>793</v>
      </c>
      <c r="C1656" s="15" t="s">
        <v>173</v>
      </c>
      <c r="D1656" s="15" t="s">
        <v>173</v>
      </c>
      <c r="E1656" s="15" t="s">
        <v>1144</v>
      </c>
      <c r="F1656" s="15"/>
      <c r="G1656" s="70">
        <f>G1657</f>
        <v>0</v>
      </c>
      <c r="H1656" s="70">
        <f t="shared" ref="H1656:I1657" si="422">H1657</f>
        <v>101000</v>
      </c>
      <c r="I1656" s="70">
        <f t="shared" si="422"/>
        <v>0</v>
      </c>
      <c r="J1656" s="328"/>
      <c r="K1656" s="69"/>
      <c r="L1656" s="69"/>
      <c r="M1656" s="69"/>
      <c r="N1656" s="69"/>
      <c r="O1656" s="69"/>
      <c r="P1656" s="69"/>
      <c r="Q1656" s="69"/>
      <c r="R1656" s="69"/>
    </row>
    <row r="1657" spans="1:18" ht="33.75" customHeight="1">
      <c r="A1657" s="16" t="s">
        <v>36</v>
      </c>
      <c r="B1657" s="49">
        <v>793</v>
      </c>
      <c r="C1657" s="15" t="s">
        <v>173</v>
      </c>
      <c r="D1657" s="15" t="s">
        <v>173</v>
      </c>
      <c r="E1657" s="15" t="s">
        <v>1144</v>
      </c>
      <c r="F1657" s="15" t="s">
        <v>37</v>
      </c>
      <c r="G1657" s="70">
        <f>G1658</f>
        <v>0</v>
      </c>
      <c r="H1657" s="70">
        <f t="shared" si="422"/>
        <v>101000</v>
      </c>
      <c r="I1657" s="70">
        <f t="shared" si="422"/>
        <v>0</v>
      </c>
      <c r="J1657" s="328"/>
      <c r="K1657" s="69"/>
      <c r="L1657" s="69"/>
      <c r="M1657" s="69"/>
      <c r="N1657" s="69"/>
      <c r="O1657" s="69"/>
      <c r="P1657" s="69"/>
      <c r="Q1657" s="69"/>
      <c r="R1657" s="69"/>
    </row>
    <row r="1658" spans="1:18" ht="36.75" customHeight="1">
      <c r="A1658" s="16" t="s">
        <v>38</v>
      </c>
      <c r="B1658" s="49">
        <v>793</v>
      </c>
      <c r="C1658" s="15" t="s">
        <v>173</v>
      </c>
      <c r="D1658" s="15" t="s">
        <v>173</v>
      </c>
      <c r="E1658" s="15" t="s">
        <v>1144</v>
      </c>
      <c r="F1658" s="15" t="s">
        <v>39</v>
      </c>
      <c r="G1658" s="70"/>
      <c r="H1658" s="70">
        <v>101000</v>
      </c>
      <c r="I1658" s="70"/>
      <c r="J1658" s="328"/>
      <c r="K1658" s="69"/>
      <c r="L1658" s="69"/>
      <c r="M1658" s="69"/>
      <c r="N1658" s="69"/>
      <c r="O1658" s="69"/>
      <c r="P1658" s="69"/>
      <c r="Q1658" s="69"/>
      <c r="R1658" s="69"/>
    </row>
    <row r="1659" spans="1:18" s="22" customFormat="1" ht="22.5" customHeight="1">
      <c r="A1659" s="154" t="s">
        <v>2</v>
      </c>
      <c r="B1659" s="273">
        <v>793</v>
      </c>
      <c r="C1659" s="156" t="s">
        <v>161</v>
      </c>
      <c r="D1659" s="156"/>
      <c r="E1659" s="156"/>
      <c r="F1659" s="156"/>
      <c r="G1659" s="157">
        <f>G1660</f>
        <v>10991359.859999999</v>
      </c>
      <c r="H1659" s="157">
        <f t="shared" ref="H1659:I1660" si="423">H1660</f>
        <v>2050000</v>
      </c>
      <c r="I1659" s="157">
        <f t="shared" si="423"/>
        <v>2050000</v>
      </c>
      <c r="J1659" s="196"/>
      <c r="K1659" s="207"/>
      <c r="L1659" s="207"/>
      <c r="M1659" s="207"/>
      <c r="N1659" s="207"/>
      <c r="O1659" s="207"/>
      <c r="P1659" s="207"/>
      <c r="Q1659" s="208"/>
      <c r="R1659" s="207"/>
    </row>
    <row r="1660" spans="1:18" s="3" customFormat="1" ht="24.75" customHeight="1">
      <c r="A1660" s="82" t="s">
        <v>352</v>
      </c>
      <c r="B1660" s="83">
        <v>793</v>
      </c>
      <c r="C1660" s="84" t="s">
        <v>161</v>
      </c>
      <c r="D1660" s="84" t="s">
        <v>173</v>
      </c>
      <c r="E1660" s="84"/>
      <c r="F1660" s="84"/>
      <c r="G1660" s="87">
        <f>G1661</f>
        <v>10991359.859999999</v>
      </c>
      <c r="H1660" s="87">
        <f t="shared" si="423"/>
        <v>2050000</v>
      </c>
      <c r="I1660" s="87">
        <f t="shared" si="423"/>
        <v>2050000</v>
      </c>
      <c r="J1660" s="177"/>
      <c r="K1660" s="199"/>
      <c r="L1660" s="199"/>
      <c r="M1660" s="199"/>
      <c r="N1660" s="199"/>
      <c r="O1660" s="199"/>
      <c r="P1660" s="199"/>
      <c r="Q1660" s="199"/>
      <c r="R1660" s="199"/>
    </row>
    <row r="1661" spans="1:18" s="3" customFormat="1" ht="38.25" customHeight="1">
      <c r="A1661" s="82" t="s">
        <v>479</v>
      </c>
      <c r="B1661" s="83">
        <v>793</v>
      </c>
      <c r="C1661" s="84" t="s">
        <v>161</v>
      </c>
      <c r="D1661" s="84" t="s">
        <v>173</v>
      </c>
      <c r="E1661" s="84" t="s">
        <v>261</v>
      </c>
      <c r="F1661" s="84"/>
      <c r="G1661" s="87">
        <f>G1664+G1670+G1673+G1678+G1682+G1674+G1665</f>
        <v>10991359.859999999</v>
      </c>
      <c r="H1661" s="87">
        <f t="shared" ref="H1661:I1661" si="424">H1664+H1670+H1673+H1678</f>
        <v>2050000</v>
      </c>
      <c r="I1661" s="87">
        <f t="shared" si="424"/>
        <v>2050000</v>
      </c>
      <c r="J1661" s="177"/>
      <c r="K1661" s="199"/>
      <c r="L1661" s="199"/>
      <c r="M1661" s="199"/>
      <c r="N1661" s="199"/>
      <c r="O1661" s="199"/>
      <c r="P1661" s="199"/>
      <c r="Q1661" s="199"/>
      <c r="R1661" s="199"/>
    </row>
    <row r="1662" spans="1:18" s="3" customFormat="1" ht="38.25" customHeight="1">
      <c r="A1662" s="82" t="s">
        <v>532</v>
      </c>
      <c r="B1662" s="83">
        <v>793</v>
      </c>
      <c r="C1662" s="84" t="s">
        <v>161</v>
      </c>
      <c r="D1662" s="84" t="s">
        <v>173</v>
      </c>
      <c r="E1662" s="84" t="s">
        <v>533</v>
      </c>
      <c r="F1662" s="84"/>
      <c r="G1662" s="87">
        <f>G1663</f>
        <v>500000</v>
      </c>
      <c r="H1662" s="87">
        <f t="shared" ref="H1662:I1662" si="425">H1663</f>
        <v>500000</v>
      </c>
      <c r="I1662" s="87">
        <f t="shared" si="425"/>
        <v>500000</v>
      </c>
      <c r="J1662" s="178"/>
      <c r="K1662" s="199"/>
      <c r="L1662" s="199"/>
      <c r="M1662" s="199"/>
      <c r="N1662" s="199"/>
      <c r="O1662" s="199"/>
      <c r="P1662" s="199"/>
      <c r="Q1662" s="199"/>
      <c r="R1662" s="199"/>
    </row>
    <row r="1663" spans="1:18" s="3" customFormat="1" ht="38.25" customHeight="1">
      <c r="A1663" s="82" t="s">
        <v>36</v>
      </c>
      <c r="B1663" s="83">
        <v>793</v>
      </c>
      <c r="C1663" s="84" t="s">
        <v>161</v>
      </c>
      <c r="D1663" s="84" t="s">
        <v>173</v>
      </c>
      <c r="E1663" s="84" t="s">
        <v>533</v>
      </c>
      <c r="F1663" s="84" t="s">
        <v>37</v>
      </c>
      <c r="G1663" s="87">
        <f>G1664</f>
        <v>500000</v>
      </c>
      <c r="H1663" s="87">
        <f t="shared" ref="H1663:I1663" si="426">H1664</f>
        <v>500000</v>
      </c>
      <c r="I1663" s="87">
        <f t="shared" si="426"/>
        <v>500000</v>
      </c>
      <c r="J1663" s="178"/>
      <c r="K1663" s="199"/>
      <c r="L1663" s="199"/>
      <c r="M1663" s="199"/>
      <c r="N1663" s="199"/>
      <c r="O1663" s="199"/>
      <c r="P1663" s="199"/>
      <c r="Q1663" s="199"/>
      <c r="R1663" s="199"/>
    </row>
    <row r="1664" spans="1:18" s="3" customFormat="1" ht="38.25" customHeight="1">
      <c r="A1664" s="82" t="s">
        <v>38</v>
      </c>
      <c r="B1664" s="83">
        <v>793</v>
      </c>
      <c r="C1664" s="84" t="s">
        <v>161</v>
      </c>
      <c r="D1664" s="84" t="s">
        <v>173</v>
      </c>
      <c r="E1664" s="84" t="s">
        <v>533</v>
      </c>
      <c r="F1664" s="84" t="s">
        <v>39</v>
      </c>
      <c r="G1664" s="87">
        <f>500000+1000000-1000000</f>
        <v>500000</v>
      </c>
      <c r="H1664" s="87">
        <v>500000</v>
      </c>
      <c r="I1664" s="87">
        <v>500000</v>
      </c>
      <c r="J1664" s="177"/>
      <c r="K1664" s="199"/>
      <c r="L1664" s="199"/>
      <c r="M1664" s="199"/>
      <c r="N1664" s="199"/>
      <c r="O1664" s="199"/>
      <c r="P1664" s="199"/>
      <c r="Q1664" s="199"/>
      <c r="R1664" s="199"/>
    </row>
    <row r="1665" spans="1:20" s="3" customFormat="1" ht="46.5" customHeight="1">
      <c r="A1665" s="82" t="s">
        <v>1083</v>
      </c>
      <c r="B1665" s="83">
        <v>793</v>
      </c>
      <c r="C1665" s="84" t="s">
        <v>161</v>
      </c>
      <c r="D1665" s="84" t="s">
        <v>173</v>
      </c>
      <c r="E1665" s="84" t="s">
        <v>1082</v>
      </c>
      <c r="F1665" s="84"/>
      <c r="G1665" s="87">
        <f t="shared" ref="G1665:I1666" si="427">G1666</f>
        <v>8931011.5999999996</v>
      </c>
      <c r="H1665" s="87">
        <f t="shared" si="427"/>
        <v>0</v>
      </c>
      <c r="I1665" s="87">
        <f t="shared" si="427"/>
        <v>0</v>
      </c>
      <c r="J1665" s="177"/>
      <c r="K1665" s="199"/>
      <c r="L1665" s="199"/>
      <c r="M1665" s="199"/>
      <c r="N1665" s="199"/>
      <c r="O1665" s="199"/>
      <c r="P1665" s="199"/>
      <c r="Q1665" s="199"/>
      <c r="R1665" s="199"/>
    </row>
    <row r="1666" spans="1:20" s="3" customFormat="1" ht="38.25" customHeight="1">
      <c r="A1666" s="82" t="s">
        <v>36</v>
      </c>
      <c r="B1666" s="83">
        <v>793</v>
      </c>
      <c r="C1666" s="84" t="s">
        <v>161</v>
      </c>
      <c r="D1666" s="84" t="s">
        <v>173</v>
      </c>
      <c r="E1666" s="84" t="s">
        <v>1082</v>
      </c>
      <c r="F1666" s="84" t="s">
        <v>37</v>
      </c>
      <c r="G1666" s="87">
        <f t="shared" si="427"/>
        <v>8931011.5999999996</v>
      </c>
      <c r="H1666" s="87">
        <f t="shared" si="427"/>
        <v>0</v>
      </c>
      <c r="I1666" s="87">
        <f t="shared" si="427"/>
        <v>0</v>
      </c>
      <c r="J1666" s="177"/>
      <c r="K1666" s="199"/>
      <c r="L1666" s="199"/>
      <c r="M1666" s="199"/>
      <c r="N1666" s="199"/>
      <c r="O1666" s="199"/>
      <c r="P1666" s="199"/>
      <c r="Q1666" s="199"/>
      <c r="R1666" s="199"/>
    </row>
    <row r="1667" spans="1:20" s="3" customFormat="1" ht="38.25" customHeight="1">
      <c r="A1667" s="82" t="s">
        <v>38</v>
      </c>
      <c r="B1667" s="83">
        <v>793</v>
      </c>
      <c r="C1667" s="84" t="s">
        <v>161</v>
      </c>
      <c r="D1667" s="84" t="s">
        <v>173</v>
      </c>
      <c r="E1667" s="84" t="s">
        <v>1082</v>
      </c>
      <c r="F1667" s="84" t="s">
        <v>39</v>
      </c>
      <c r="G1667" s="87">
        <v>8931011.5999999996</v>
      </c>
      <c r="H1667" s="87"/>
      <c r="I1667" s="87"/>
      <c r="J1667" s="177"/>
      <c r="K1667" s="199"/>
      <c r="L1667" s="199"/>
      <c r="M1667" s="199"/>
      <c r="N1667" s="199"/>
      <c r="O1667" s="199"/>
      <c r="P1667" s="199"/>
      <c r="Q1667" s="199"/>
      <c r="R1667" s="199"/>
    </row>
    <row r="1668" spans="1:20" s="3" customFormat="1" ht="38.25" customHeight="1">
      <c r="A1668" s="82" t="s">
        <v>488</v>
      </c>
      <c r="B1668" s="83">
        <v>793</v>
      </c>
      <c r="C1668" s="84" t="s">
        <v>161</v>
      </c>
      <c r="D1668" s="84" t="s">
        <v>173</v>
      </c>
      <c r="E1668" s="84" t="s">
        <v>376</v>
      </c>
      <c r="F1668" s="84"/>
      <c r="G1668" s="87">
        <f t="shared" ref="G1668:I1669" si="428">G1669</f>
        <v>426048.26</v>
      </c>
      <c r="H1668" s="87">
        <f t="shared" si="428"/>
        <v>500000</v>
      </c>
      <c r="I1668" s="87">
        <f t="shared" si="428"/>
        <v>500000</v>
      </c>
      <c r="J1668" s="177"/>
      <c r="K1668" s="199"/>
      <c r="L1668" s="199"/>
      <c r="M1668" s="199"/>
      <c r="N1668" s="199"/>
      <c r="O1668" s="199"/>
      <c r="P1668" s="199"/>
      <c r="Q1668" s="199"/>
      <c r="R1668" s="199"/>
    </row>
    <row r="1669" spans="1:20" s="3" customFormat="1" ht="38.25" customHeight="1">
      <c r="A1669" s="82" t="s">
        <v>36</v>
      </c>
      <c r="B1669" s="83">
        <v>793</v>
      </c>
      <c r="C1669" s="84" t="s">
        <v>161</v>
      </c>
      <c r="D1669" s="84" t="s">
        <v>173</v>
      </c>
      <c r="E1669" s="84" t="s">
        <v>376</v>
      </c>
      <c r="F1669" s="84" t="s">
        <v>37</v>
      </c>
      <c r="G1669" s="87">
        <f t="shared" si="428"/>
        <v>426048.26</v>
      </c>
      <c r="H1669" s="87">
        <f t="shared" si="428"/>
        <v>500000</v>
      </c>
      <c r="I1669" s="87">
        <f t="shared" si="428"/>
        <v>500000</v>
      </c>
      <c r="J1669" s="177"/>
      <c r="K1669" s="199"/>
      <c r="L1669" s="199"/>
      <c r="M1669" s="199"/>
      <c r="N1669" s="199"/>
      <c r="O1669" s="199"/>
      <c r="P1669" s="199"/>
      <c r="Q1669" s="199"/>
      <c r="R1669" s="199"/>
    </row>
    <row r="1670" spans="1:20" s="3" customFormat="1" ht="38.25" customHeight="1">
      <c r="A1670" s="82" t="s">
        <v>38</v>
      </c>
      <c r="B1670" s="83">
        <v>793</v>
      </c>
      <c r="C1670" s="84" t="s">
        <v>161</v>
      </c>
      <c r="D1670" s="84" t="s">
        <v>173</v>
      </c>
      <c r="E1670" s="84" t="s">
        <v>376</v>
      </c>
      <c r="F1670" s="84" t="s">
        <v>39</v>
      </c>
      <c r="G1670" s="87">
        <v>426048.26</v>
      </c>
      <c r="H1670" s="87">
        <v>500000</v>
      </c>
      <c r="I1670" s="87">
        <v>500000</v>
      </c>
      <c r="J1670" s="177"/>
      <c r="K1670" s="199"/>
      <c r="L1670" s="199"/>
      <c r="M1670" s="199"/>
      <c r="N1670" s="199"/>
      <c r="O1670" s="199"/>
      <c r="P1670" s="199"/>
      <c r="Q1670" s="199"/>
      <c r="R1670" s="199"/>
    </row>
    <row r="1671" spans="1:20" s="3" customFormat="1" ht="38.25" customHeight="1">
      <c r="A1671" s="82" t="s">
        <v>379</v>
      </c>
      <c r="B1671" s="83">
        <v>793</v>
      </c>
      <c r="C1671" s="84" t="s">
        <v>161</v>
      </c>
      <c r="D1671" s="84" t="s">
        <v>173</v>
      </c>
      <c r="E1671" s="84" t="s">
        <v>377</v>
      </c>
      <c r="F1671" s="84"/>
      <c r="G1671" s="87">
        <f t="shared" ref="G1671:I1675" si="429">G1672</f>
        <v>84300</v>
      </c>
      <c r="H1671" s="87">
        <f t="shared" si="429"/>
        <v>1000000</v>
      </c>
      <c r="I1671" s="87">
        <f t="shared" si="429"/>
        <v>1000000</v>
      </c>
      <c r="J1671" s="177"/>
      <c r="K1671" s="199"/>
      <c r="L1671" s="199"/>
      <c r="M1671" s="199"/>
      <c r="N1671" s="199"/>
      <c r="O1671" s="199"/>
      <c r="P1671" s="199"/>
      <c r="Q1671" s="199"/>
      <c r="R1671" s="199"/>
    </row>
    <row r="1672" spans="1:20" s="3" customFormat="1" ht="38.25" customHeight="1">
      <c r="A1672" s="82" t="s">
        <v>36</v>
      </c>
      <c r="B1672" s="83">
        <v>793</v>
      </c>
      <c r="C1672" s="84" t="s">
        <v>161</v>
      </c>
      <c r="D1672" s="84" t="s">
        <v>173</v>
      </c>
      <c r="E1672" s="84" t="s">
        <v>377</v>
      </c>
      <c r="F1672" s="84" t="s">
        <v>37</v>
      </c>
      <c r="G1672" s="87">
        <f t="shared" si="429"/>
        <v>84300</v>
      </c>
      <c r="H1672" s="87">
        <f t="shared" si="429"/>
        <v>1000000</v>
      </c>
      <c r="I1672" s="87">
        <f t="shared" si="429"/>
        <v>1000000</v>
      </c>
      <c r="J1672" s="177"/>
      <c r="K1672" s="199"/>
      <c r="L1672" s="199"/>
      <c r="M1672" s="199"/>
      <c r="N1672" s="199"/>
      <c r="O1672" s="199"/>
      <c r="P1672" s="199"/>
      <c r="Q1672" s="199"/>
      <c r="R1672" s="199"/>
    </row>
    <row r="1673" spans="1:20" s="3" customFormat="1" ht="39.75" customHeight="1">
      <c r="A1673" s="82" t="s">
        <v>38</v>
      </c>
      <c r="B1673" s="83">
        <v>793</v>
      </c>
      <c r="C1673" s="84" t="s">
        <v>161</v>
      </c>
      <c r="D1673" s="84" t="s">
        <v>173</v>
      </c>
      <c r="E1673" s="84" t="s">
        <v>377</v>
      </c>
      <c r="F1673" s="84" t="s">
        <v>39</v>
      </c>
      <c r="G1673" s="87">
        <v>84300</v>
      </c>
      <c r="H1673" s="87">
        <v>1000000</v>
      </c>
      <c r="I1673" s="87">
        <v>1000000</v>
      </c>
      <c r="J1673" s="177"/>
      <c r="K1673" s="199"/>
      <c r="L1673" s="199"/>
      <c r="M1673" s="199"/>
      <c r="N1673" s="199"/>
      <c r="O1673" s="199"/>
      <c r="P1673" s="199"/>
      <c r="Q1673" s="199"/>
      <c r="R1673" s="199"/>
    </row>
    <row r="1674" spans="1:20" s="3" customFormat="1" ht="38.25" customHeight="1">
      <c r="A1674" s="82" t="s">
        <v>1066</v>
      </c>
      <c r="B1674" s="83">
        <v>793</v>
      </c>
      <c r="C1674" s="84" t="s">
        <v>161</v>
      </c>
      <c r="D1674" s="84" t="s">
        <v>173</v>
      </c>
      <c r="E1674" s="84" t="s">
        <v>1065</v>
      </c>
      <c r="F1674" s="84"/>
      <c r="G1674" s="87">
        <f t="shared" si="429"/>
        <v>1000000</v>
      </c>
      <c r="H1674" s="87">
        <f t="shared" si="429"/>
        <v>0</v>
      </c>
      <c r="I1674" s="87">
        <f t="shared" si="429"/>
        <v>0</v>
      </c>
      <c r="J1674" s="177"/>
      <c r="K1674" s="199"/>
      <c r="L1674" s="199"/>
      <c r="M1674" s="199"/>
      <c r="N1674" s="199"/>
      <c r="O1674" s="199"/>
      <c r="P1674" s="199"/>
      <c r="Q1674" s="199"/>
      <c r="R1674" s="199"/>
    </row>
    <row r="1675" spans="1:20" s="3" customFormat="1" ht="38.25" customHeight="1">
      <c r="A1675" s="82" t="s">
        <v>36</v>
      </c>
      <c r="B1675" s="83">
        <v>793</v>
      </c>
      <c r="C1675" s="84" t="s">
        <v>161</v>
      </c>
      <c r="D1675" s="84" t="s">
        <v>173</v>
      </c>
      <c r="E1675" s="84" t="s">
        <v>1065</v>
      </c>
      <c r="F1675" s="84" t="s">
        <v>37</v>
      </c>
      <c r="G1675" s="87">
        <f t="shared" si="429"/>
        <v>1000000</v>
      </c>
      <c r="H1675" s="87">
        <f t="shared" si="429"/>
        <v>0</v>
      </c>
      <c r="I1675" s="87">
        <f t="shared" si="429"/>
        <v>0</v>
      </c>
      <c r="J1675" s="177"/>
      <c r="K1675" s="199"/>
      <c r="L1675" s="199"/>
      <c r="M1675" s="199"/>
      <c r="N1675" s="199"/>
      <c r="O1675" s="199"/>
      <c r="P1675" s="199"/>
      <c r="Q1675" s="199"/>
      <c r="R1675" s="199"/>
    </row>
    <row r="1676" spans="1:20" s="3" customFormat="1" ht="39.75" customHeight="1">
      <c r="A1676" s="82" t="s">
        <v>38</v>
      </c>
      <c r="B1676" s="83">
        <v>793</v>
      </c>
      <c r="C1676" s="84" t="s">
        <v>161</v>
      </c>
      <c r="D1676" s="84" t="s">
        <v>173</v>
      </c>
      <c r="E1676" s="84" t="s">
        <v>1065</v>
      </c>
      <c r="F1676" s="84" t="s">
        <v>39</v>
      </c>
      <c r="G1676" s="87">
        <v>1000000</v>
      </c>
      <c r="H1676" s="87"/>
      <c r="I1676" s="87"/>
      <c r="J1676" s="177"/>
      <c r="K1676" s="199"/>
      <c r="L1676" s="199"/>
      <c r="M1676" s="199"/>
      <c r="N1676" s="199"/>
      <c r="O1676" s="199"/>
      <c r="P1676" s="199"/>
      <c r="Q1676" s="199"/>
      <c r="R1676" s="199"/>
    </row>
    <row r="1677" spans="1:20" s="3" customFormat="1" ht="35.25" customHeight="1">
      <c r="A1677" s="82" t="s">
        <v>128</v>
      </c>
      <c r="B1677" s="83">
        <v>793</v>
      </c>
      <c r="C1677" s="84" t="s">
        <v>161</v>
      </c>
      <c r="D1677" s="84" t="s">
        <v>173</v>
      </c>
      <c r="E1677" s="84" t="s">
        <v>285</v>
      </c>
      <c r="F1677" s="84"/>
      <c r="G1677" s="87">
        <f>G1679</f>
        <v>50000</v>
      </c>
      <c r="H1677" s="87">
        <f>H1679</f>
        <v>50000</v>
      </c>
      <c r="I1677" s="87">
        <f>I1679</f>
        <v>50000</v>
      </c>
      <c r="J1677" s="177"/>
      <c r="K1677" s="199"/>
      <c r="L1677" s="199"/>
      <c r="M1677" s="199"/>
      <c r="N1677" s="199"/>
      <c r="O1677" s="199"/>
      <c r="P1677" s="199"/>
      <c r="Q1677" s="199"/>
      <c r="R1677" s="199"/>
    </row>
    <row r="1678" spans="1:20" s="3" customFormat="1" ht="38.25" customHeight="1">
      <c r="A1678" s="82" t="s">
        <v>36</v>
      </c>
      <c r="B1678" s="83">
        <v>793</v>
      </c>
      <c r="C1678" s="84" t="s">
        <v>161</v>
      </c>
      <c r="D1678" s="84" t="s">
        <v>173</v>
      </c>
      <c r="E1678" s="84" t="s">
        <v>285</v>
      </c>
      <c r="F1678" s="84" t="s">
        <v>37</v>
      </c>
      <c r="G1678" s="87">
        <f>G1679</f>
        <v>50000</v>
      </c>
      <c r="H1678" s="87">
        <f>H1679</f>
        <v>50000</v>
      </c>
      <c r="I1678" s="87">
        <f>I1679</f>
        <v>50000</v>
      </c>
      <c r="J1678" s="177"/>
      <c r="K1678" s="199"/>
      <c r="L1678" s="199"/>
      <c r="M1678" s="199"/>
      <c r="N1678" s="199"/>
      <c r="O1678" s="199"/>
      <c r="P1678" s="199"/>
      <c r="Q1678" s="199"/>
      <c r="R1678" s="199"/>
    </row>
    <row r="1679" spans="1:20" s="3" customFormat="1" ht="46.5" customHeight="1">
      <c r="A1679" s="82" t="s">
        <v>38</v>
      </c>
      <c r="B1679" s="83">
        <v>793</v>
      </c>
      <c r="C1679" s="84" t="s">
        <v>161</v>
      </c>
      <c r="D1679" s="84" t="s">
        <v>173</v>
      </c>
      <c r="E1679" s="84" t="s">
        <v>285</v>
      </c>
      <c r="F1679" s="84" t="s">
        <v>39</v>
      </c>
      <c r="G1679" s="87">
        <v>50000</v>
      </c>
      <c r="H1679" s="87">
        <v>50000</v>
      </c>
      <c r="I1679" s="87">
        <v>50000</v>
      </c>
      <c r="J1679" s="177"/>
      <c r="K1679" s="199"/>
      <c r="L1679" s="199"/>
      <c r="M1679" s="199"/>
      <c r="N1679" s="199"/>
      <c r="O1679" s="199"/>
      <c r="P1679" s="199"/>
      <c r="Q1679" s="199"/>
      <c r="R1679" s="199"/>
      <c r="S1679" s="62"/>
      <c r="T1679" s="62"/>
    </row>
    <row r="1680" spans="1:20" s="3" customFormat="1" ht="129.75" customHeight="1">
      <c r="A1680" s="82" t="s">
        <v>1020</v>
      </c>
      <c r="B1680" s="83">
        <v>793</v>
      </c>
      <c r="C1680" s="84" t="s">
        <v>161</v>
      </c>
      <c r="D1680" s="84" t="s">
        <v>173</v>
      </c>
      <c r="E1680" s="84" t="s">
        <v>1019</v>
      </c>
      <c r="F1680" s="84"/>
      <c r="G1680" s="87">
        <f>G1681</f>
        <v>0</v>
      </c>
      <c r="H1680" s="87">
        <f t="shared" ref="H1680:I1681" si="430">H1681</f>
        <v>0</v>
      </c>
      <c r="I1680" s="87">
        <f t="shared" si="430"/>
        <v>0</v>
      </c>
      <c r="J1680" s="178"/>
      <c r="K1680" s="199"/>
      <c r="L1680" s="199"/>
      <c r="M1680" s="199"/>
      <c r="N1680" s="199"/>
      <c r="O1680" s="199"/>
      <c r="P1680" s="199"/>
      <c r="Q1680" s="199"/>
      <c r="R1680" s="199"/>
    </row>
    <row r="1681" spans="1:20" s="3" customFormat="1" ht="38.25" customHeight="1">
      <c r="A1681" s="82" t="s">
        <v>63</v>
      </c>
      <c r="B1681" s="83">
        <v>793</v>
      </c>
      <c r="C1681" s="84" t="s">
        <v>161</v>
      </c>
      <c r="D1681" s="84" t="s">
        <v>173</v>
      </c>
      <c r="E1681" s="84" t="s">
        <v>1019</v>
      </c>
      <c r="F1681" s="84" t="s">
        <v>64</v>
      </c>
      <c r="G1681" s="87">
        <f>G1682</f>
        <v>0</v>
      </c>
      <c r="H1681" s="87">
        <f t="shared" si="430"/>
        <v>0</v>
      </c>
      <c r="I1681" s="87">
        <f t="shared" si="430"/>
        <v>0</v>
      </c>
      <c r="J1681" s="178"/>
      <c r="K1681" s="199"/>
      <c r="L1681" s="199"/>
      <c r="M1681" s="199"/>
      <c r="N1681" s="199"/>
      <c r="O1681" s="199"/>
      <c r="P1681" s="199"/>
      <c r="Q1681" s="199"/>
      <c r="R1681" s="199"/>
    </row>
    <row r="1682" spans="1:20" s="3" customFormat="1" ht="38.25" customHeight="1">
      <c r="A1682" s="82" t="s">
        <v>180</v>
      </c>
      <c r="B1682" s="83">
        <v>793</v>
      </c>
      <c r="C1682" s="84" t="s">
        <v>161</v>
      </c>
      <c r="D1682" s="84" t="s">
        <v>173</v>
      </c>
      <c r="E1682" s="84" t="s">
        <v>1019</v>
      </c>
      <c r="F1682" s="84" t="s">
        <v>181</v>
      </c>
      <c r="G1682" s="87">
        <f>271777-271777</f>
        <v>0</v>
      </c>
      <c r="H1682" s="87"/>
      <c r="I1682" s="87"/>
      <c r="J1682" s="177"/>
      <c r="K1682" s="199"/>
      <c r="L1682" s="199"/>
      <c r="M1682" s="199"/>
      <c r="N1682" s="199"/>
      <c r="O1682" s="199"/>
      <c r="P1682" s="199"/>
      <c r="Q1682" s="199"/>
      <c r="R1682" s="199"/>
    </row>
    <row r="1683" spans="1:20" ht="16.5" customHeight="1">
      <c r="A1683" s="268" t="s">
        <v>25</v>
      </c>
      <c r="B1683" s="270" t="s">
        <v>844</v>
      </c>
      <c r="C1683" s="270" t="s">
        <v>26</v>
      </c>
      <c r="D1683" s="270"/>
      <c r="E1683" s="270"/>
      <c r="F1683" s="270"/>
      <c r="G1683" s="96">
        <f>G1684</f>
        <v>491400</v>
      </c>
      <c r="H1683" s="96">
        <f t="shared" ref="H1683:I1683" si="431">H1684</f>
        <v>189000</v>
      </c>
      <c r="I1683" s="96">
        <f t="shared" si="431"/>
        <v>189000</v>
      </c>
      <c r="J1683" s="192"/>
      <c r="K1683" s="192"/>
      <c r="L1683" s="192"/>
      <c r="M1683" s="192"/>
      <c r="N1683" s="192"/>
      <c r="O1683" s="192"/>
      <c r="S1683" s="69"/>
      <c r="T1683" s="69"/>
    </row>
    <row r="1684" spans="1:20" ht="14.25" customHeight="1">
      <c r="A1684" s="82" t="s">
        <v>281</v>
      </c>
      <c r="B1684" s="149">
        <v>793</v>
      </c>
      <c r="C1684" s="84" t="s">
        <v>26</v>
      </c>
      <c r="D1684" s="84" t="s">
        <v>26</v>
      </c>
      <c r="E1684" s="84"/>
      <c r="F1684" s="149"/>
      <c r="G1684" s="87">
        <f>G1693+G1685+G1700</f>
        <v>491400</v>
      </c>
      <c r="H1684" s="87">
        <f t="shared" ref="H1684:I1684" si="432">H1693+H1685</f>
        <v>189000</v>
      </c>
      <c r="I1684" s="87">
        <f t="shared" si="432"/>
        <v>189000</v>
      </c>
      <c r="J1684" s="177"/>
      <c r="S1684" s="69"/>
      <c r="T1684" s="69"/>
    </row>
    <row r="1685" spans="1:20" ht="32.25" hidden="1" customHeight="1">
      <c r="A1685" s="82" t="s">
        <v>477</v>
      </c>
      <c r="B1685" s="149">
        <v>757</v>
      </c>
      <c r="C1685" s="84" t="s">
        <v>26</v>
      </c>
      <c r="D1685" s="84" t="s">
        <v>26</v>
      </c>
      <c r="E1685" s="84" t="s">
        <v>397</v>
      </c>
      <c r="F1685" s="84"/>
      <c r="G1685" s="87">
        <f>G1686</f>
        <v>0</v>
      </c>
      <c r="H1685" s="87">
        <f>H1687</f>
        <v>0</v>
      </c>
      <c r="I1685" s="87">
        <f>I1687</f>
        <v>0</v>
      </c>
      <c r="J1685" s="177"/>
      <c r="S1685" s="69"/>
      <c r="T1685" s="69"/>
    </row>
    <row r="1686" spans="1:20" ht="22.5" hidden="1" customHeight="1">
      <c r="A1686" s="82" t="s">
        <v>119</v>
      </c>
      <c r="B1686" s="149">
        <v>757</v>
      </c>
      <c r="C1686" s="84" t="s">
        <v>26</v>
      </c>
      <c r="D1686" s="84" t="s">
        <v>26</v>
      </c>
      <c r="E1686" s="84" t="s">
        <v>607</v>
      </c>
      <c r="F1686" s="84"/>
      <c r="G1686" s="87">
        <f>G1687+G1690</f>
        <v>0</v>
      </c>
      <c r="H1686" s="87">
        <f t="shared" ref="H1686:I1686" si="433">H1687+H1690</f>
        <v>0</v>
      </c>
      <c r="I1686" s="87">
        <f t="shared" si="433"/>
        <v>0</v>
      </c>
      <c r="J1686" s="177"/>
      <c r="S1686" s="69"/>
      <c r="T1686" s="69"/>
    </row>
    <row r="1687" spans="1:20" ht="51" hidden="1">
      <c r="A1687" s="82" t="s">
        <v>127</v>
      </c>
      <c r="B1687" s="149">
        <v>757</v>
      </c>
      <c r="C1687" s="84" t="s">
        <v>26</v>
      </c>
      <c r="D1687" s="84" t="s">
        <v>26</v>
      </c>
      <c r="E1687" s="84" t="s">
        <v>191</v>
      </c>
      <c r="F1687" s="84"/>
      <c r="G1687" s="87">
        <f t="shared" ref="G1687:I1688" si="434">G1688</f>
        <v>0</v>
      </c>
      <c r="H1687" s="87">
        <f t="shared" si="434"/>
        <v>0</v>
      </c>
      <c r="I1687" s="87">
        <f t="shared" si="434"/>
        <v>0</v>
      </c>
      <c r="J1687" s="177"/>
      <c r="S1687" s="69"/>
      <c r="T1687" s="69"/>
    </row>
    <row r="1688" spans="1:20" ht="25.5" hidden="1">
      <c r="A1688" s="82" t="s">
        <v>30</v>
      </c>
      <c r="B1688" s="149">
        <v>757</v>
      </c>
      <c r="C1688" s="84" t="s">
        <v>26</v>
      </c>
      <c r="D1688" s="84" t="s">
        <v>26</v>
      </c>
      <c r="E1688" s="84" t="s">
        <v>191</v>
      </c>
      <c r="F1688" s="84" t="s">
        <v>31</v>
      </c>
      <c r="G1688" s="87">
        <f t="shared" si="434"/>
        <v>0</v>
      </c>
      <c r="H1688" s="87">
        <f t="shared" si="434"/>
        <v>0</v>
      </c>
      <c r="I1688" s="87">
        <f t="shared" si="434"/>
        <v>0</v>
      </c>
      <c r="J1688" s="177"/>
      <c r="S1688" s="69"/>
      <c r="T1688" s="69"/>
    </row>
    <row r="1689" spans="1:20" ht="19.5" hidden="1" customHeight="1">
      <c r="A1689" s="82" t="s">
        <v>32</v>
      </c>
      <c r="B1689" s="149">
        <v>757</v>
      </c>
      <c r="C1689" s="84" t="s">
        <v>26</v>
      </c>
      <c r="D1689" s="84" t="s">
        <v>26</v>
      </c>
      <c r="E1689" s="84" t="s">
        <v>191</v>
      </c>
      <c r="F1689" s="84" t="s">
        <v>33</v>
      </c>
      <c r="G1689" s="87"/>
      <c r="H1689" s="87">
        <v>0</v>
      </c>
      <c r="I1689" s="87">
        <v>0</v>
      </c>
      <c r="J1689" s="177"/>
      <c r="S1689" s="69"/>
      <c r="T1689" s="69"/>
    </row>
    <row r="1690" spans="1:20" s="18" customFormat="1" ht="61.5" hidden="1" customHeight="1">
      <c r="A1690" s="135" t="s">
        <v>351</v>
      </c>
      <c r="B1690" s="84" t="s">
        <v>51</v>
      </c>
      <c r="C1690" s="84" t="s">
        <v>26</v>
      </c>
      <c r="D1690" s="84" t="s">
        <v>26</v>
      </c>
      <c r="E1690" s="84" t="s">
        <v>192</v>
      </c>
      <c r="F1690" s="84"/>
      <c r="G1690" s="87">
        <f>G1691</f>
        <v>0</v>
      </c>
      <c r="H1690" s="87">
        <f t="shared" ref="H1690:I1690" si="435">H1691</f>
        <v>0</v>
      </c>
      <c r="I1690" s="87">
        <f t="shared" si="435"/>
        <v>0</v>
      </c>
      <c r="J1690" s="177"/>
      <c r="K1690" s="200"/>
      <c r="L1690" s="200"/>
      <c r="M1690" s="200"/>
      <c r="N1690" s="200"/>
      <c r="O1690" s="200"/>
      <c r="P1690" s="200"/>
      <c r="Q1690" s="200"/>
      <c r="R1690" s="200"/>
      <c r="S1690" s="184"/>
      <c r="T1690" s="184"/>
    </row>
    <row r="1691" spans="1:20" s="18" customFormat="1" ht="25.5" hidden="1">
      <c r="A1691" s="82" t="s">
        <v>30</v>
      </c>
      <c r="B1691" s="84" t="s">
        <v>51</v>
      </c>
      <c r="C1691" s="84" t="s">
        <v>26</v>
      </c>
      <c r="D1691" s="84" t="s">
        <v>26</v>
      </c>
      <c r="E1691" s="84" t="s">
        <v>192</v>
      </c>
      <c r="F1691" s="84" t="s">
        <v>31</v>
      </c>
      <c r="G1691" s="87">
        <f>G1692</f>
        <v>0</v>
      </c>
      <c r="H1691" s="87">
        <f>H1692</f>
        <v>0</v>
      </c>
      <c r="I1691" s="87">
        <f>I1692</f>
        <v>0</v>
      </c>
      <c r="J1691" s="177"/>
      <c r="K1691" s="200"/>
      <c r="L1691" s="200"/>
      <c r="M1691" s="200"/>
      <c r="N1691" s="200"/>
      <c r="O1691" s="200"/>
      <c r="P1691" s="200"/>
      <c r="Q1691" s="200"/>
      <c r="R1691" s="200"/>
      <c r="S1691" s="184"/>
      <c r="T1691" s="184"/>
    </row>
    <row r="1692" spans="1:20" s="18" customFormat="1" hidden="1">
      <c r="A1692" s="82" t="s">
        <v>32</v>
      </c>
      <c r="B1692" s="84" t="s">
        <v>51</v>
      </c>
      <c r="C1692" s="84" t="s">
        <v>26</v>
      </c>
      <c r="D1692" s="84" t="s">
        <v>26</v>
      </c>
      <c r="E1692" s="84" t="s">
        <v>192</v>
      </c>
      <c r="F1692" s="84" t="s">
        <v>33</v>
      </c>
      <c r="G1692" s="87"/>
      <c r="H1692" s="87"/>
      <c r="I1692" s="87"/>
      <c r="J1692" s="177"/>
      <c r="K1692" s="200"/>
      <c r="L1692" s="200"/>
      <c r="M1692" s="200"/>
      <c r="N1692" s="200"/>
      <c r="O1692" s="200"/>
      <c r="P1692" s="200"/>
      <c r="Q1692" s="200"/>
      <c r="R1692" s="200"/>
      <c r="S1692" s="184"/>
      <c r="T1692" s="184"/>
    </row>
    <row r="1693" spans="1:20" s="18" customFormat="1" ht="25.5">
      <c r="A1693" s="82" t="s">
        <v>481</v>
      </c>
      <c r="B1693" s="149">
        <v>793</v>
      </c>
      <c r="C1693" s="84" t="s">
        <v>26</v>
      </c>
      <c r="D1693" s="84" t="s">
        <v>26</v>
      </c>
      <c r="E1693" s="84" t="s">
        <v>197</v>
      </c>
      <c r="F1693" s="84"/>
      <c r="G1693" s="87">
        <f>G1694+G1697</f>
        <v>331400</v>
      </c>
      <c r="H1693" s="87">
        <f t="shared" ref="H1693:I1693" si="436">H1694+H1697</f>
        <v>189000</v>
      </c>
      <c r="I1693" s="87">
        <f t="shared" si="436"/>
        <v>189000</v>
      </c>
      <c r="J1693" s="177"/>
      <c r="K1693" s="177"/>
      <c r="L1693" s="177"/>
      <c r="M1693" s="177"/>
      <c r="N1693" s="177"/>
      <c r="O1693" s="200"/>
      <c r="P1693" s="200"/>
      <c r="Q1693" s="200"/>
      <c r="R1693" s="200"/>
      <c r="S1693" s="184"/>
      <c r="T1693" s="184"/>
    </row>
    <row r="1694" spans="1:20" s="18" customFormat="1">
      <c r="A1694" s="82" t="s">
        <v>339</v>
      </c>
      <c r="B1694" s="149">
        <v>793</v>
      </c>
      <c r="C1694" s="84" t="s">
        <v>26</v>
      </c>
      <c r="D1694" s="84" t="s">
        <v>26</v>
      </c>
      <c r="E1694" s="84" t="s">
        <v>198</v>
      </c>
      <c r="F1694" s="84"/>
      <c r="G1694" s="87">
        <f>G1695</f>
        <v>187400</v>
      </c>
      <c r="H1694" s="87">
        <f>H1695+H1698</f>
        <v>189000</v>
      </c>
      <c r="I1694" s="87">
        <f>I1695+I1698</f>
        <v>189000</v>
      </c>
      <c r="J1694" s="177"/>
      <c r="K1694" s="200"/>
      <c r="L1694" s="200"/>
      <c r="M1694" s="200"/>
      <c r="N1694" s="200"/>
      <c r="O1694" s="200"/>
      <c r="P1694" s="200"/>
      <c r="Q1694" s="200"/>
      <c r="R1694" s="200"/>
      <c r="S1694" s="184"/>
      <c r="T1694" s="184"/>
    </row>
    <row r="1695" spans="1:20" s="18" customFormat="1" ht="25.5">
      <c r="A1695" s="82" t="s">
        <v>36</v>
      </c>
      <c r="B1695" s="149">
        <v>793</v>
      </c>
      <c r="C1695" s="84" t="s">
        <v>26</v>
      </c>
      <c r="D1695" s="84" t="s">
        <v>26</v>
      </c>
      <c r="E1695" s="84" t="s">
        <v>198</v>
      </c>
      <c r="F1695" s="84" t="s">
        <v>37</v>
      </c>
      <c r="G1695" s="87">
        <f>G1696</f>
        <v>187400</v>
      </c>
      <c r="H1695" s="87">
        <f>H1696</f>
        <v>189000</v>
      </c>
      <c r="I1695" s="87">
        <f>I1696</f>
        <v>189000</v>
      </c>
      <c r="J1695" s="177"/>
      <c r="K1695" s="200"/>
      <c r="L1695" s="200"/>
      <c r="M1695" s="200"/>
      <c r="N1695" s="200"/>
      <c r="O1695" s="200"/>
      <c r="P1695" s="200"/>
      <c r="Q1695" s="200"/>
      <c r="R1695" s="200"/>
      <c r="S1695" s="184"/>
      <c r="T1695" s="184"/>
    </row>
    <row r="1696" spans="1:20" s="18" customFormat="1" ht="25.5">
      <c r="A1696" s="82" t="s">
        <v>38</v>
      </c>
      <c r="B1696" s="149">
        <v>793</v>
      </c>
      <c r="C1696" s="84" t="s">
        <v>26</v>
      </c>
      <c r="D1696" s="84" t="s">
        <v>26</v>
      </c>
      <c r="E1696" s="84" t="s">
        <v>198</v>
      </c>
      <c r="F1696" s="84" t="s">
        <v>39</v>
      </c>
      <c r="G1696" s="87">
        <v>187400</v>
      </c>
      <c r="H1696" s="87">
        <f>139000+50000</f>
        <v>189000</v>
      </c>
      <c r="I1696" s="87">
        <f>139000+50000</f>
        <v>189000</v>
      </c>
      <c r="J1696" s="177"/>
      <c r="K1696" s="200"/>
      <c r="L1696" s="200"/>
      <c r="M1696" s="200"/>
      <c r="N1696" s="200"/>
      <c r="O1696" s="200"/>
      <c r="P1696" s="200"/>
      <c r="Q1696" s="200"/>
      <c r="R1696" s="200"/>
    </row>
    <row r="1697" spans="1:18" s="18" customFormat="1" ht="25.5">
      <c r="A1697" s="82" t="s">
        <v>298</v>
      </c>
      <c r="B1697" s="149">
        <v>793</v>
      </c>
      <c r="C1697" s="84" t="s">
        <v>26</v>
      </c>
      <c r="D1697" s="84" t="s">
        <v>26</v>
      </c>
      <c r="E1697" s="84" t="s">
        <v>803</v>
      </c>
      <c r="F1697" s="84"/>
      <c r="G1697" s="87">
        <f>G1698</f>
        <v>144000</v>
      </c>
      <c r="H1697" s="87"/>
      <c r="I1697" s="87"/>
      <c r="J1697" s="177"/>
      <c r="K1697" s="200"/>
      <c r="L1697" s="200"/>
      <c r="M1697" s="200"/>
      <c r="N1697" s="200"/>
      <c r="O1697" s="200"/>
      <c r="P1697" s="200"/>
      <c r="Q1697" s="200"/>
      <c r="R1697" s="200"/>
    </row>
    <row r="1698" spans="1:18" s="18" customFormat="1" ht="25.5">
      <c r="A1698" s="82" t="s">
        <v>36</v>
      </c>
      <c r="B1698" s="84" t="s">
        <v>844</v>
      </c>
      <c r="C1698" s="84" t="s">
        <v>26</v>
      </c>
      <c r="D1698" s="84" t="s">
        <v>26</v>
      </c>
      <c r="E1698" s="84" t="s">
        <v>803</v>
      </c>
      <c r="F1698" s="84" t="s">
        <v>37</v>
      </c>
      <c r="G1698" s="87">
        <f>G1699</f>
        <v>144000</v>
      </c>
      <c r="H1698" s="87">
        <f>H1699</f>
        <v>0</v>
      </c>
      <c r="I1698" s="87">
        <f>I1699</f>
        <v>0</v>
      </c>
      <c r="J1698" s="177"/>
      <c r="K1698" s="200"/>
      <c r="L1698" s="200"/>
      <c r="M1698" s="200"/>
      <c r="N1698" s="200"/>
      <c r="O1698" s="200"/>
      <c r="P1698" s="200"/>
      <c r="Q1698" s="200"/>
      <c r="R1698" s="200"/>
    </row>
    <row r="1699" spans="1:18" s="18" customFormat="1" ht="25.5">
      <c r="A1699" s="82" t="s">
        <v>38</v>
      </c>
      <c r="B1699" s="84" t="s">
        <v>844</v>
      </c>
      <c r="C1699" s="84" t="s">
        <v>26</v>
      </c>
      <c r="D1699" s="84" t="s">
        <v>26</v>
      </c>
      <c r="E1699" s="84" t="s">
        <v>803</v>
      </c>
      <c r="F1699" s="84" t="s">
        <v>39</v>
      </c>
      <c r="G1699" s="87">
        <v>144000</v>
      </c>
      <c r="H1699" s="87"/>
      <c r="I1699" s="87"/>
      <c r="J1699" s="177"/>
      <c r="K1699" s="200"/>
      <c r="L1699" s="200"/>
      <c r="M1699" s="200"/>
      <c r="N1699" s="200"/>
      <c r="O1699" s="200"/>
      <c r="P1699" s="200"/>
      <c r="Q1699" s="200"/>
      <c r="R1699" s="200"/>
    </row>
    <row r="1700" spans="1:18" s="18" customFormat="1" ht="30.75" customHeight="1">
      <c r="A1700" s="82" t="s">
        <v>169</v>
      </c>
      <c r="B1700" s="149">
        <v>793</v>
      </c>
      <c r="C1700" s="84" t="s">
        <v>26</v>
      </c>
      <c r="D1700" s="84" t="s">
        <v>26</v>
      </c>
      <c r="E1700" s="84" t="s">
        <v>233</v>
      </c>
      <c r="F1700" s="84"/>
      <c r="G1700" s="87">
        <f>G1701</f>
        <v>160000</v>
      </c>
      <c r="H1700" s="87"/>
      <c r="I1700" s="87"/>
      <c r="J1700" s="177"/>
      <c r="K1700" s="200"/>
      <c r="L1700" s="200"/>
      <c r="M1700" s="200"/>
      <c r="N1700" s="200"/>
      <c r="O1700" s="200"/>
      <c r="P1700" s="200"/>
      <c r="Q1700" s="200"/>
      <c r="R1700" s="200"/>
    </row>
    <row r="1701" spans="1:18" s="18" customFormat="1" ht="25.5">
      <c r="A1701" s="82" t="s">
        <v>169</v>
      </c>
      <c r="B1701" s="149">
        <v>793</v>
      </c>
      <c r="C1701" s="84" t="s">
        <v>26</v>
      </c>
      <c r="D1701" s="84" t="s">
        <v>26</v>
      </c>
      <c r="E1701" s="84" t="s">
        <v>275</v>
      </c>
      <c r="F1701" s="84"/>
      <c r="G1701" s="87">
        <f>G1702</f>
        <v>160000</v>
      </c>
      <c r="H1701" s="87"/>
      <c r="I1701" s="87"/>
      <c r="J1701" s="177"/>
      <c r="K1701" s="200"/>
      <c r="L1701" s="200"/>
      <c r="M1701" s="200"/>
      <c r="N1701" s="200"/>
      <c r="O1701" s="200"/>
      <c r="P1701" s="200"/>
      <c r="Q1701" s="200"/>
      <c r="R1701" s="200"/>
    </row>
    <row r="1702" spans="1:18" s="18" customFormat="1" ht="25.5">
      <c r="A1702" s="82" t="s">
        <v>36</v>
      </c>
      <c r="B1702" s="84" t="s">
        <v>844</v>
      </c>
      <c r="C1702" s="84" t="s">
        <v>26</v>
      </c>
      <c r="D1702" s="84" t="s">
        <v>26</v>
      </c>
      <c r="E1702" s="84" t="s">
        <v>275</v>
      </c>
      <c r="F1702" s="84" t="s">
        <v>37</v>
      </c>
      <c r="G1702" s="87">
        <f>G1703</f>
        <v>160000</v>
      </c>
      <c r="H1702" s="87">
        <f>H1703</f>
        <v>0</v>
      </c>
      <c r="I1702" s="87">
        <f>I1703</f>
        <v>0</v>
      </c>
      <c r="J1702" s="177"/>
      <c r="K1702" s="200"/>
      <c r="L1702" s="200"/>
      <c r="M1702" s="200"/>
      <c r="N1702" s="200"/>
      <c r="O1702" s="200"/>
      <c r="P1702" s="200"/>
      <c r="Q1702" s="200"/>
      <c r="R1702" s="200"/>
    </row>
    <row r="1703" spans="1:18" s="18" customFormat="1" ht="25.5">
      <c r="A1703" s="82" t="s">
        <v>38</v>
      </c>
      <c r="B1703" s="84" t="s">
        <v>844</v>
      </c>
      <c r="C1703" s="84" t="s">
        <v>26</v>
      </c>
      <c r="D1703" s="84" t="s">
        <v>26</v>
      </c>
      <c r="E1703" s="84" t="s">
        <v>275</v>
      </c>
      <c r="F1703" s="84" t="s">
        <v>39</v>
      </c>
      <c r="G1703" s="87">
        <v>160000</v>
      </c>
      <c r="H1703" s="87"/>
      <c r="I1703" s="87"/>
      <c r="J1703" s="177"/>
      <c r="K1703" s="200"/>
      <c r="L1703" s="200"/>
      <c r="M1703" s="200"/>
      <c r="N1703" s="200"/>
      <c r="O1703" s="200"/>
      <c r="P1703" s="200"/>
      <c r="Q1703" s="200"/>
      <c r="R1703" s="200"/>
    </row>
    <row r="1704" spans="1:18" s="18" customFormat="1" ht="18.75" customHeight="1">
      <c r="A1704" s="154" t="s">
        <v>43</v>
      </c>
      <c r="B1704" s="84" t="s">
        <v>844</v>
      </c>
      <c r="C1704" s="84" t="s">
        <v>44</v>
      </c>
      <c r="D1704" s="84"/>
      <c r="E1704" s="84"/>
      <c r="F1704" s="84"/>
      <c r="G1704" s="87">
        <f>G1705</f>
        <v>23085.759999999998</v>
      </c>
      <c r="H1704" s="87"/>
      <c r="I1704" s="87"/>
      <c r="J1704" s="177"/>
      <c r="K1704" s="200"/>
      <c r="L1704" s="200"/>
      <c r="M1704" s="200"/>
      <c r="N1704" s="200"/>
      <c r="O1704" s="200"/>
      <c r="P1704" s="200"/>
      <c r="Q1704" s="200"/>
      <c r="R1704" s="200"/>
    </row>
    <row r="1705" spans="1:18" s="18" customFormat="1" ht="19.5" customHeight="1">
      <c r="A1705" s="82" t="s">
        <v>45</v>
      </c>
      <c r="B1705" s="84" t="s">
        <v>844</v>
      </c>
      <c r="C1705" s="84" t="s">
        <v>44</v>
      </c>
      <c r="D1705" s="84" t="s">
        <v>19</v>
      </c>
      <c r="E1705" s="84"/>
      <c r="F1705" s="84"/>
      <c r="G1705" s="87">
        <f>G1706</f>
        <v>23085.759999999998</v>
      </c>
      <c r="H1705" s="87"/>
      <c r="I1705" s="87"/>
      <c r="J1705" s="177"/>
      <c r="K1705" s="200"/>
      <c r="L1705" s="200"/>
      <c r="M1705" s="200"/>
      <c r="N1705" s="200"/>
      <c r="O1705" s="200"/>
      <c r="P1705" s="200"/>
      <c r="Q1705" s="200"/>
      <c r="R1705" s="200"/>
    </row>
    <row r="1706" spans="1:18" s="18" customFormat="1" ht="30.75" customHeight="1">
      <c r="A1706" s="82" t="s">
        <v>169</v>
      </c>
      <c r="B1706" s="149">
        <v>793</v>
      </c>
      <c r="C1706" s="84" t="s">
        <v>44</v>
      </c>
      <c r="D1706" s="84" t="s">
        <v>19</v>
      </c>
      <c r="E1706" s="84" t="s">
        <v>233</v>
      </c>
      <c r="F1706" s="84"/>
      <c r="G1706" s="87">
        <f>G1707</f>
        <v>23085.759999999998</v>
      </c>
      <c r="H1706" s="87"/>
      <c r="I1706" s="87"/>
      <c r="J1706" s="177"/>
      <c r="K1706" s="200"/>
      <c r="L1706" s="200"/>
      <c r="M1706" s="200"/>
      <c r="N1706" s="200"/>
      <c r="O1706" s="200"/>
      <c r="P1706" s="200"/>
      <c r="Q1706" s="200"/>
      <c r="R1706" s="200"/>
    </row>
    <row r="1707" spans="1:18" s="18" customFormat="1" ht="25.5">
      <c r="A1707" s="82" t="s">
        <v>169</v>
      </c>
      <c r="B1707" s="149">
        <v>793</v>
      </c>
      <c r="C1707" s="84" t="s">
        <v>44</v>
      </c>
      <c r="D1707" s="84" t="s">
        <v>19</v>
      </c>
      <c r="E1707" s="84" t="s">
        <v>275</v>
      </c>
      <c r="F1707" s="84"/>
      <c r="G1707" s="87">
        <f>G1708</f>
        <v>23085.759999999998</v>
      </c>
      <c r="H1707" s="87"/>
      <c r="I1707" s="87"/>
      <c r="J1707" s="177"/>
      <c r="K1707" s="200"/>
      <c r="L1707" s="200"/>
      <c r="M1707" s="200"/>
      <c r="N1707" s="200"/>
      <c r="O1707" s="200"/>
      <c r="P1707" s="200"/>
      <c r="Q1707" s="200"/>
      <c r="R1707" s="200"/>
    </row>
    <row r="1708" spans="1:18" s="18" customFormat="1">
      <c r="A1708" s="82" t="s">
        <v>156</v>
      </c>
      <c r="B1708" s="84" t="s">
        <v>844</v>
      </c>
      <c r="C1708" s="84" t="s">
        <v>44</v>
      </c>
      <c r="D1708" s="84" t="s">
        <v>19</v>
      </c>
      <c r="E1708" s="84" t="s">
        <v>275</v>
      </c>
      <c r="F1708" s="84" t="s">
        <v>157</v>
      </c>
      <c r="G1708" s="87">
        <f>G1709</f>
        <v>23085.759999999998</v>
      </c>
      <c r="H1708" s="87">
        <f>H1709</f>
        <v>0</v>
      </c>
      <c r="I1708" s="87">
        <f>I1709</f>
        <v>0</v>
      </c>
      <c r="J1708" s="177"/>
      <c r="K1708" s="200"/>
      <c r="L1708" s="200"/>
      <c r="M1708" s="200"/>
      <c r="N1708" s="200"/>
      <c r="O1708" s="200"/>
      <c r="P1708" s="200"/>
      <c r="Q1708" s="200"/>
      <c r="R1708" s="200"/>
    </row>
    <row r="1709" spans="1:18" s="18" customFormat="1">
      <c r="A1709" s="82" t="s">
        <v>178</v>
      </c>
      <c r="B1709" s="84" t="s">
        <v>844</v>
      </c>
      <c r="C1709" s="84" t="s">
        <v>44</v>
      </c>
      <c r="D1709" s="84" t="s">
        <v>19</v>
      </c>
      <c r="E1709" s="84" t="s">
        <v>275</v>
      </c>
      <c r="F1709" s="84" t="s">
        <v>179</v>
      </c>
      <c r="G1709" s="87">
        <v>23085.759999999998</v>
      </c>
      <c r="H1709" s="87"/>
      <c r="I1709" s="87"/>
      <c r="J1709" s="177"/>
      <c r="K1709" s="200"/>
      <c r="L1709" s="200"/>
      <c r="M1709" s="200"/>
      <c r="N1709" s="200"/>
      <c r="O1709" s="200"/>
      <c r="P1709" s="200"/>
      <c r="Q1709" s="200"/>
      <c r="R1709" s="200"/>
    </row>
    <row r="1710" spans="1:18">
      <c r="A1710" s="268" t="s">
        <v>145</v>
      </c>
      <c r="B1710" s="273">
        <v>793</v>
      </c>
      <c r="C1710" s="270" t="s">
        <v>69</v>
      </c>
      <c r="D1710" s="270"/>
      <c r="E1710" s="84"/>
      <c r="F1710" s="270"/>
      <c r="G1710" s="267">
        <f>G1711+G1716+G1762</f>
        <v>100955931.38</v>
      </c>
      <c r="H1710" s="267">
        <f>H1711+H1716+H1762</f>
        <v>10838033.140000001</v>
      </c>
      <c r="I1710" s="267">
        <f>I1711+I1716+I1762</f>
        <v>36837237.240000002</v>
      </c>
      <c r="J1710" s="191"/>
    </row>
    <row r="1711" spans="1:18">
      <c r="A1711" s="82" t="s">
        <v>146</v>
      </c>
      <c r="B1711" s="149">
        <v>793</v>
      </c>
      <c r="C1711" s="84" t="s">
        <v>69</v>
      </c>
      <c r="D1711" s="84" t="s">
        <v>19</v>
      </c>
      <c r="E1711" s="84"/>
      <c r="F1711" s="84"/>
      <c r="G1711" s="87">
        <f t="shared" ref="G1711:I1714" si="437">G1712</f>
        <v>265733</v>
      </c>
      <c r="H1711" s="87">
        <f t="shared" si="437"/>
        <v>320208</v>
      </c>
      <c r="I1711" s="87">
        <f t="shared" si="437"/>
        <v>320208</v>
      </c>
      <c r="J1711" s="177"/>
    </row>
    <row r="1712" spans="1:18" s="28" customFormat="1" ht="25.5">
      <c r="A1712" s="82" t="s">
        <v>486</v>
      </c>
      <c r="B1712" s="149">
        <v>793</v>
      </c>
      <c r="C1712" s="84" t="s">
        <v>69</v>
      </c>
      <c r="D1712" s="84" t="s">
        <v>19</v>
      </c>
      <c r="E1712" s="84" t="s">
        <v>286</v>
      </c>
      <c r="F1712" s="168"/>
      <c r="G1712" s="87">
        <f t="shared" si="437"/>
        <v>265733</v>
      </c>
      <c r="H1712" s="87">
        <f t="shared" si="437"/>
        <v>320208</v>
      </c>
      <c r="I1712" s="87">
        <f t="shared" si="437"/>
        <v>320208</v>
      </c>
      <c r="J1712" s="177"/>
      <c r="K1712" s="204"/>
      <c r="L1712" s="204"/>
      <c r="M1712" s="204"/>
      <c r="N1712" s="204"/>
      <c r="O1712" s="204"/>
      <c r="P1712" s="204"/>
      <c r="Q1712" s="204"/>
      <c r="R1712" s="204"/>
    </row>
    <row r="1713" spans="1:18" s="28" customFormat="1">
      <c r="A1713" s="82" t="s">
        <v>147</v>
      </c>
      <c r="B1713" s="149">
        <v>793</v>
      </c>
      <c r="C1713" s="84" t="s">
        <v>69</v>
      </c>
      <c r="D1713" s="84" t="s">
        <v>19</v>
      </c>
      <c r="E1713" s="84" t="s">
        <v>290</v>
      </c>
      <c r="F1713" s="168"/>
      <c r="G1713" s="87">
        <f t="shared" si="437"/>
        <v>265733</v>
      </c>
      <c r="H1713" s="87">
        <f t="shared" si="437"/>
        <v>320208</v>
      </c>
      <c r="I1713" s="87">
        <f t="shared" si="437"/>
        <v>320208</v>
      </c>
      <c r="J1713" s="177"/>
      <c r="K1713" s="204"/>
      <c r="L1713" s="204"/>
      <c r="M1713" s="204"/>
      <c r="N1713" s="204"/>
      <c r="O1713" s="204"/>
      <c r="P1713" s="204"/>
      <c r="Q1713" s="204"/>
      <c r="R1713" s="204"/>
    </row>
    <row r="1714" spans="1:18" s="28" customFormat="1">
      <c r="A1714" s="82" t="s">
        <v>148</v>
      </c>
      <c r="B1714" s="149">
        <v>793</v>
      </c>
      <c r="C1714" s="84" t="s">
        <v>69</v>
      </c>
      <c r="D1714" s="84" t="s">
        <v>19</v>
      </c>
      <c r="E1714" s="84" t="s">
        <v>290</v>
      </c>
      <c r="F1714" s="84" t="s">
        <v>149</v>
      </c>
      <c r="G1714" s="87">
        <f t="shared" si="437"/>
        <v>265733</v>
      </c>
      <c r="H1714" s="87">
        <f>H1715</f>
        <v>320208</v>
      </c>
      <c r="I1714" s="87">
        <f t="shared" si="437"/>
        <v>320208</v>
      </c>
      <c r="J1714" s="177"/>
      <c r="K1714" s="204"/>
      <c r="L1714" s="204"/>
      <c r="M1714" s="204"/>
      <c r="N1714" s="204"/>
      <c r="O1714" s="204"/>
      <c r="P1714" s="204"/>
      <c r="Q1714" s="204"/>
      <c r="R1714" s="204"/>
    </row>
    <row r="1715" spans="1:18" s="28" customFormat="1" ht="25.5">
      <c r="A1715" s="82" t="s">
        <v>354</v>
      </c>
      <c r="B1715" s="149">
        <v>793</v>
      </c>
      <c r="C1715" s="84" t="s">
        <v>69</v>
      </c>
      <c r="D1715" s="84" t="s">
        <v>19</v>
      </c>
      <c r="E1715" s="84" t="s">
        <v>290</v>
      </c>
      <c r="F1715" s="84" t="s">
        <v>355</v>
      </c>
      <c r="G1715" s="87">
        <f>320208-26200-28275</f>
        <v>265733</v>
      </c>
      <c r="H1715" s="87">
        <v>320208</v>
      </c>
      <c r="I1715" s="87">
        <v>320208</v>
      </c>
      <c r="J1715" s="177"/>
      <c r="K1715" s="204"/>
      <c r="L1715" s="204"/>
      <c r="M1715" s="204"/>
      <c r="N1715" s="204"/>
      <c r="O1715" s="204"/>
      <c r="P1715" s="204"/>
      <c r="Q1715" s="204"/>
      <c r="R1715" s="204"/>
    </row>
    <row r="1716" spans="1:18">
      <c r="A1716" s="82" t="s">
        <v>68</v>
      </c>
      <c r="B1716" s="149">
        <v>793</v>
      </c>
      <c r="C1716" s="84" t="s">
        <v>69</v>
      </c>
      <c r="D1716" s="84" t="s">
        <v>70</v>
      </c>
      <c r="E1716" s="84"/>
      <c r="F1716" s="84"/>
      <c r="G1716" s="87">
        <f>G1742+G1738+G1752+G1717+G1727+G1761+G1731</f>
        <v>69500700.200000003</v>
      </c>
      <c r="H1716" s="87">
        <f>H1742+H1738+H1752+H1717+H1727</f>
        <v>1867174</v>
      </c>
      <c r="I1716" s="87">
        <f>I1742+I1738+I1752+I1717+I1727</f>
        <v>1895221</v>
      </c>
      <c r="J1716" s="177"/>
    </row>
    <row r="1717" spans="1:18" ht="51" customHeight="1">
      <c r="A1717" s="82" t="s">
        <v>830</v>
      </c>
      <c r="B1717" s="149">
        <v>793</v>
      </c>
      <c r="C1717" s="84" t="s">
        <v>69</v>
      </c>
      <c r="D1717" s="84" t="s">
        <v>70</v>
      </c>
      <c r="E1717" s="84" t="s">
        <v>262</v>
      </c>
      <c r="F1717" s="84"/>
      <c r="G1717" s="87">
        <f>G1718+G1721+G1724</f>
        <v>2724874.0999999996</v>
      </c>
      <c r="H1717" s="87">
        <f t="shared" ref="H1717:I1717" si="438">H1718+H1721+H1724</f>
        <v>300000</v>
      </c>
      <c r="I1717" s="87">
        <f t="shared" si="438"/>
        <v>300000</v>
      </c>
      <c r="J1717" s="177"/>
      <c r="K1717" s="1"/>
      <c r="L1717" s="1"/>
      <c r="M1717" s="1"/>
      <c r="N1717" s="1"/>
      <c r="O1717" s="1"/>
      <c r="P1717" s="1"/>
      <c r="Q1717" s="1"/>
      <c r="R1717" s="1"/>
    </row>
    <row r="1718" spans="1:18" ht="28.5" customHeight="1">
      <c r="A1718" s="133" t="s">
        <v>952</v>
      </c>
      <c r="B1718" s="149">
        <v>793</v>
      </c>
      <c r="C1718" s="84" t="s">
        <v>69</v>
      </c>
      <c r="D1718" s="84" t="s">
        <v>70</v>
      </c>
      <c r="E1718" s="84" t="s">
        <v>951</v>
      </c>
      <c r="F1718" s="84"/>
      <c r="G1718" s="87">
        <f>G1719</f>
        <v>2724874.0999999996</v>
      </c>
      <c r="H1718" s="87">
        <f t="shared" ref="H1718:I1718" si="439">H1719</f>
        <v>300000</v>
      </c>
      <c r="I1718" s="87">
        <f t="shared" si="439"/>
        <v>300000</v>
      </c>
      <c r="J1718" s="177"/>
      <c r="K1718" s="1"/>
      <c r="L1718" s="1"/>
      <c r="M1718" s="1"/>
      <c r="N1718" s="1"/>
      <c r="O1718" s="1"/>
      <c r="P1718" s="1"/>
      <c r="Q1718" s="1"/>
      <c r="R1718" s="1"/>
    </row>
    <row r="1719" spans="1:18" ht="21" customHeight="1">
      <c r="A1719" s="82" t="s">
        <v>148</v>
      </c>
      <c r="B1719" s="149">
        <v>793</v>
      </c>
      <c r="C1719" s="84" t="s">
        <v>69</v>
      </c>
      <c r="D1719" s="84" t="s">
        <v>70</v>
      </c>
      <c r="E1719" s="84" t="s">
        <v>951</v>
      </c>
      <c r="F1719" s="84" t="s">
        <v>149</v>
      </c>
      <c r="G1719" s="87">
        <f>G1720</f>
        <v>2724874.0999999996</v>
      </c>
      <c r="H1719" s="87">
        <f t="shared" ref="H1719:I1719" si="440">H1720</f>
        <v>300000</v>
      </c>
      <c r="I1719" s="87">
        <f t="shared" si="440"/>
        <v>300000</v>
      </c>
      <c r="J1719" s="177"/>
      <c r="K1719" s="1"/>
      <c r="L1719" s="1"/>
      <c r="M1719" s="1"/>
      <c r="N1719" s="1"/>
      <c r="O1719" s="1"/>
      <c r="P1719" s="1"/>
      <c r="Q1719" s="1"/>
      <c r="R1719" s="1"/>
    </row>
    <row r="1720" spans="1:18" ht="30.75" customHeight="1">
      <c r="A1720" s="82" t="s">
        <v>150</v>
      </c>
      <c r="B1720" s="149">
        <v>793</v>
      </c>
      <c r="C1720" s="84" t="s">
        <v>69</v>
      </c>
      <c r="D1720" s="84" t="s">
        <v>70</v>
      </c>
      <c r="E1720" s="84" t="s">
        <v>951</v>
      </c>
      <c r="F1720" s="84" t="s">
        <v>151</v>
      </c>
      <c r="G1720" s="87">
        <f>2486977.84+237896.26</f>
        <v>2724874.0999999996</v>
      </c>
      <c r="H1720" s="87">
        <v>300000</v>
      </c>
      <c r="I1720" s="87">
        <v>300000</v>
      </c>
      <c r="J1720" s="177"/>
      <c r="K1720" s="1"/>
      <c r="L1720" s="1"/>
      <c r="M1720" s="1"/>
      <c r="N1720" s="1"/>
      <c r="O1720" s="1"/>
      <c r="P1720" s="1"/>
      <c r="Q1720" s="1"/>
      <c r="R1720" s="1"/>
    </row>
    <row r="1721" spans="1:18" ht="39.75" hidden="1" customHeight="1">
      <c r="A1721" s="133" t="s">
        <v>274</v>
      </c>
      <c r="B1721" s="149">
        <v>793</v>
      </c>
      <c r="C1721" s="84" t="s">
        <v>69</v>
      </c>
      <c r="D1721" s="84" t="s">
        <v>70</v>
      </c>
      <c r="E1721" s="84" t="s">
        <v>273</v>
      </c>
      <c r="F1721" s="84"/>
      <c r="G1721" s="87">
        <f>G1722</f>
        <v>0</v>
      </c>
      <c r="H1721" s="87">
        <f t="shared" ref="H1721:I1721" si="441">H1722</f>
        <v>0</v>
      </c>
      <c r="I1721" s="87">
        <f t="shared" si="441"/>
        <v>0</v>
      </c>
      <c r="J1721" s="177"/>
      <c r="K1721" s="1"/>
      <c r="L1721" s="1"/>
      <c r="M1721" s="1"/>
      <c r="N1721" s="1"/>
      <c r="O1721" s="1"/>
      <c r="P1721" s="1"/>
      <c r="Q1721" s="1"/>
      <c r="R1721" s="1"/>
    </row>
    <row r="1722" spans="1:18" ht="21" hidden="1" customHeight="1">
      <c r="A1722" s="82" t="s">
        <v>148</v>
      </c>
      <c r="B1722" s="149">
        <v>793</v>
      </c>
      <c r="C1722" s="84" t="s">
        <v>69</v>
      </c>
      <c r="D1722" s="84" t="s">
        <v>70</v>
      </c>
      <c r="E1722" s="84" t="s">
        <v>273</v>
      </c>
      <c r="F1722" s="84" t="s">
        <v>149</v>
      </c>
      <c r="G1722" s="87">
        <f>G1723</f>
        <v>0</v>
      </c>
      <c r="H1722" s="87">
        <f t="shared" ref="H1722:I1722" si="442">H1723</f>
        <v>0</v>
      </c>
      <c r="I1722" s="87">
        <f t="shared" si="442"/>
        <v>0</v>
      </c>
      <c r="J1722" s="177"/>
      <c r="K1722" s="1"/>
      <c r="L1722" s="1"/>
      <c r="M1722" s="1"/>
      <c r="N1722" s="1"/>
      <c r="O1722" s="1"/>
      <c r="P1722" s="1"/>
      <c r="Q1722" s="1"/>
      <c r="R1722" s="1"/>
    </row>
    <row r="1723" spans="1:18" ht="30.75" hidden="1" customHeight="1">
      <c r="A1723" s="82" t="s">
        <v>150</v>
      </c>
      <c r="B1723" s="149">
        <v>793</v>
      </c>
      <c r="C1723" s="84" t="s">
        <v>69</v>
      </c>
      <c r="D1723" s="84" t="s">
        <v>70</v>
      </c>
      <c r="E1723" s="84" t="s">
        <v>273</v>
      </c>
      <c r="F1723" s="84" t="s">
        <v>151</v>
      </c>
      <c r="G1723" s="87"/>
      <c r="H1723" s="87"/>
      <c r="I1723" s="87"/>
      <c r="J1723" s="177"/>
      <c r="K1723" s="1"/>
      <c r="L1723" s="1"/>
      <c r="M1723" s="1"/>
      <c r="N1723" s="1"/>
      <c r="O1723" s="1"/>
      <c r="P1723" s="1"/>
      <c r="Q1723" s="1"/>
      <c r="R1723" s="1"/>
    </row>
    <row r="1724" spans="1:18" ht="30.75" hidden="1" customHeight="1">
      <c r="A1724" s="82" t="s">
        <v>452</v>
      </c>
      <c r="B1724" s="149">
        <v>793</v>
      </c>
      <c r="C1724" s="84" t="s">
        <v>69</v>
      </c>
      <c r="D1724" s="84" t="s">
        <v>70</v>
      </c>
      <c r="E1724" s="84" t="s">
        <v>451</v>
      </c>
      <c r="F1724" s="84"/>
      <c r="G1724" s="87">
        <f>G1725</f>
        <v>0</v>
      </c>
      <c r="H1724" s="87">
        <f t="shared" ref="H1724:I1724" si="443">H1725</f>
        <v>0</v>
      </c>
      <c r="I1724" s="87">
        <f t="shared" si="443"/>
        <v>0</v>
      </c>
      <c r="J1724" s="177"/>
      <c r="K1724" s="1"/>
      <c r="L1724" s="1"/>
      <c r="M1724" s="1"/>
      <c r="N1724" s="1"/>
      <c r="O1724" s="1"/>
      <c r="P1724" s="1"/>
      <c r="Q1724" s="1"/>
      <c r="R1724" s="1"/>
    </row>
    <row r="1725" spans="1:18" ht="17.25" hidden="1" customHeight="1">
      <c r="A1725" s="82" t="s">
        <v>63</v>
      </c>
      <c r="B1725" s="149">
        <v>793</v>
      </c>
      <c r="C1725" s="84" t="s">
        <v>69</v>
      </c>
      <c r="D1725" s="84" t="s">
        <v>70</v>
      </c>
      <c r="E1725" s="84" t="s">
        <v>451</v>
      </c>
      <c r="F1725" s="84" t="s">
        <v>64</v>
      </c>
      <c r="G1725" s="87">
        <f>G1726</f>
        <v>0</v>
      </c>
      <c r="H1725" s="87">
        <f t="shared" ref="H1725:I1725" si="444">H1726</f>
        <v>0</v>
      </c>
      <c r="I1725" s="87">
        <f t="shared" si="444"/>
        <v>0</v>
      </c>
      <c r="J1725" s="177"/>
      <c r="K1725" s="1"/>
      <c r="L1725" s="1"/>
      <c r="M1725" s="1"/>
      <c r="N1725" s="1"/>
      <c r="O1725" s="1"/>
      <c r="P1725" s="1"/>
      <c r="Q1725" s="1"/>
      <c r="R1725" s="1"/>
    </row>
    <row r="1726" spans="1:18" ht="23.25" hidden="1" customHeight="1">
      <c r="A1726" s="82" t="s">
        <v>180</v>
      </c>
      <c r="B1726" s="149">
        <v>793</v>
      </c>
      <c r="C1726" s="84" t="s">
        <v>69</v>
      </c>
      <c r="D1726" s="84" t="s">
        <v>70</v>
      </c>
      <c r="E1726" s="84" t="s">
        <v>451</v>
      </c>
      <c r="F1726" s="84" t="s">
        <v>181</v>
      </c>
      <c r="G1726" s="87">
        <f>11000+17010+71990-99000-1000</f>
        <v>0</v>
      </c>
      <c r="H1726" s="87"/>
      <c r="I1726" s="87"/>
      <c r="J1726" s="177"/>
      <c r="K1726" s="1"/>
      <c r="L1726" s="1"/>
      <c r="M1726" s="1"/>
      <c r="N1726" s="1"/>
      <c r="O1726" s="1"/>
      <c r="P1726" s="1"/>
      <c r="Q1726" s="1"/>
      <c r="R1726" s="1"/>
    </row>
    <row r="1727" spans="1:18" ht="27.75" hidden="1" customHeight="1">
      <c r="A1727" s="82" t="s">
        <v>676</v>
      </c>
      <c r="B1727" s="149">
        <v>793</v>
      </c>
      <c r="C1727" s="84" t="s">
        <v>69</v>
      </c>
      <c r="D1727" s="84" t="s">
        <v>70</v>
      </c>
      <c r="E1727" s="84" t="s">
        <v>677</v>
      </c>
      <c r="F1727" s="84"/>
      <c r="G1727" s="87">
        <f>G1728</f>
        <v>0</v>
      </c>
      <c r="H1727" s="87">
        <f t="shared" ref="H1727:I1727" si="445">H1728</f>
        <v>0</v>
      </c>
      <c r="I1727" s="87">
        <f t="shared" si="445"/>
        <v>0</v>
      </c>
      <c r="J1727" s="177"/>
      <c r="K1727" s="1"/>
      <c r="L1727" s="1"/>
      <c r="M1727" s="1"/>
      <c r="N1727" s="1"/>
      <c r="O1727" s="1"/>
      <c r="P1727" s="1"/>
      <c r="Q1727" s="1"/>
      <c r="R1727" s="1"/>
    </row>
    <row r="1728" spans="1:18" ht="28.5" hidden="1" customHeight="1">
      <c r="A1728" s="133" t="s">
        <v>678</v>
      </c>
      <c r="B1728" s="149">
        <v>793</v>
      </c>
      <c r="C1728" s="84" t="s">
        <v>69</v>
      </c>
      <c r="D1728" s="84" t="s">
        <v>70</v>
      </c>
      <c r="E1728" s="84" t="s">
        <v>679</v>
      </c>
      <c r="F1728" s="84"/>
      <c r="G1728" s="87">
        <f>G1729</f>
        <v>0</v>
      </c>
      <c r="H1728" s="87">
        <f t="shared" ref="H1728:I1729" si="446">H1729</f>
        <v>0</v>
      </c>
      <c r="I1728" s="87">
        <f t="shared" si="446"/>
        <v>0</v>
      </c>
      <c r="J1728" s="177"/>
      <c r="K1728" s="1"/>
      <c r="L1728" s="1"/>
      <c r="M1728" s="1"/>
      <c r="N1728" s="1"/>
      <c r="O1728" s="1"/>
      <c r="P1728" s="1"/>
      <c r="Q1728" s="1"/>
      <c r="R1728" s="1"/>
    </row>
    <row r="1729" spans="1:18" ht="21" hidden="1" customHeight="1">
      <c r="A1729" s="82" t="s">
        <v>148</v>
      </c>
      <c r="B1729" s="149">
        <v>793</v>
      </c>
      <c r="C1729" s="84" t="s">
        <v>69</v>
      </c>
      <c r="D1729" s="84" t="s">
        <v>70</v>
      </c>
      <c r="E1729" s="84" t="s">
        <v>679</v>
      </c>
      <c r="F1729" s="84" t="s">
        <v>149</v>
      </c>
      <c r="G1729" s="87">
        <f>G1730</f>
        <v>0</v>
      </c>
      <c r="H1729" s="87">
        <f t="shared" si="446"/>
        <v>0</v>
      </c>
      <c r="I1729" s="87">
        <f t="shared" si="446"/>
        <v>0</v>
      </c>
      <c r="J1729" s="177"/>
      <c r="K1729" s="1"/>
      <c r="L1729" s="1"/>
      <c r="M1729" s="1"/>
      <c r="N1729" s="1"/>
      <c r="O1729" s="1"/>
      <c r="P1729" s="1"/>
      <c r="Q1729" s="1"/>
      <c r="R1729" s="1"/>
    </row>
    <row r="1730" spans="1:18" ht="30.75" hidden="1" customHeight="1">
      <c r="A1730" s="82" t="s">
        <v>150</v>
      </c>
      <c r="B1730" s="149">
        <v>793</v>
      </c>
      <c r="C1730" s="84" t="s">
        <v>69</v>
      </c>
      <c r="D1730" s="84" t="s">
        <v>70</v>
      </c>
      <c r="E1730" s="84" t="s">
        <v>679</v>
      </c>
      <c r="F1730" s="84" t="s">
        <v>151</v>
      </c>
      <c r="G1730" s="87"/>
      <c r="H1730" s="87"/>
      <c r="I1730" s="87"/>
      <c r="J1730" s="177"/>
      <c r="K1730" s="1"/>
      <c r="L1730" s="1"/>
      <c r="M1730" s="1"/>
      <c r="N1730" s="1"/>
      <c r="O1730" s="1"/>
      <c r="P1730" s="1"/>
      <c r="Q1730" s="1"/>
      <c r="R1730" s="1"/>
    </row>
    <row r="1731" spans="1:18" ht="72.75" customHeight="1">
      <c r="A1731" s="154" t="s">
        <v>1104</v>
      </c>
      <c r="B1731" s="149">
        <v>793</v>
      </c>
      <c r="C1731" s="84" t="s">
        <v>69</v>
      </c>
      <c r="D1731" s="84" t="s">
        <v>70</v>
      </c>
      <c r="E1731" s="84" t="s">
        <v>214</v>
      </c>
      <c r="F1731" s="84"/>
      <c r="G1731" s="87">
        <f>G1732+G1735</f>
        <v>64646063</v>
      </c>
      <c r="H1731" s="87">
        <f t="shared" ref="H1731:I1731" si="447">H1732+H1735</f>
        <v>0</v>
      </c>
      <c r="I1731" s="87">
        <f t="shared" si="447"/>
        <v>0</v>
      </c>
      <c r="J1731" s="177"/>
      <c r="K1731" s="1"/>
      <c r="L1731" s="1"/>
      <c r="M1731" s="1"/>
      <c r="N1731" s="1"/>
      <c r="O1731" s="1"/>
      <c r="P1731" s="1"/>
      <c r="Q1731" s="1"/>
      <c r="R1731" s="1"/>
    </row>
    <row r="1732" spans="1:18" ht="87" customHeight="1">
      <c r="A1732" s="82" t="s">
        <v>1054</v>
      </c>
      <c r="B1732" s="149">
        <v>793</v>
      </c>
      <c r="C1732" s="84" t="s">
        <v>69</v>
      </c>
      <c r="D1732" s="84" t="s">
        <v>70</v>
      </c>
      <c r="E1732" s="84" t="s">
        <v>524</v>
      </c>
      <c r="F1732" s="84"/>
      <c r="G1732" s="87">
        <f>G1733</f>
        <v>63353141.740000002</v>
      </c>
      <c r="H1732" s="87"/>
      <c r="I1732" s="87"/>
      <c r="J1732" s="177"/>
      <c r="K1732" s="1"/>
      <c r="L1732" s="1"/>
      <c r="M1732" s="1"/>
      <c r="N1732" s="1"/>
      <c r="O1732" s="1"/>
      <c r="P1732" s="1"/>
      <c r="Q1732" s="1"/>
      <c r="R1732" s="1"/>
    </row>
    <row r="1733" spans="1:18" ht="30.75" customHeight="1">
      <c r="A1733" s="82" t="s">
        <v>148</v>
      </c>
      <c r="B1733" s="149">
        <v>793</v>
      </c>
      <c r="C1733" s="84" t="s">
        <v>69</v>
      </c>
      <c r="D1733" s="84" t="s">
        <v>70</v>
      </c>
      <c r="E1733" s="84" t="s">
        <v>524</v>
      </c>
      <c r="F1733" s="84" t="s">
        <v>149</v>
      </c>
      <c r="G1733" s="87">
        <f>G1734</f>
        <v>63353141.740000002</v>
      </c>
      <c r="H1733" s="87"/>
      <c r="I1733" s="87"/>
      <c r="J1733" s="177"/>
    </row>
    <row r="1734" spans="1:18" ht="30.75" customHeight="1">
      <c r="A1734" s="82" t="s">
        <v>150</v>
      </c>
      <c r="B1734" s="149">
        <v>793</v>
      </c>
      <c r="C1734" s="84" t="s">
        <v>69</v>
      </c>
      <c r="D1734" s="84" t="s">
        <v>70</v>
      </c>
      <c r="E1734" s="84" t="s">
        <v>524</v>
      </c>
      <c r="F1734" s="84" t="s">
        <v>151</v>
      </c>
      <c r="G1734" s="87">
        <v>63353141.740000002</v>
      </c>
      <c r="H1734" s="87"/>
      <c r="I1734" s="87"/>
      <c r="J1734" s="177"/>
    </row>
    <row r="1735" spans="1:18" ht="103.5" customHeight="1">
      <c r="A1735" s="82" t="s">
        <v>1106</v>
      </c>
      <c r="B1735" s="149">
        <v>793</v>
      </c>
      <c r="C1735" s="84" t="s">
        <v>69</v>
      </c>
      <c r="D1735" s="84" t="s">
        <v>70</v>
      </c>
      <c r="E1735" s="84" t="s">
        <v>525</v>
      </c>
      <c r="F1735" s="84"/>
      <c r="G1735" s="87">
        <f>G1736</f>
        <v>1292921.26</v>
      </c>
      <c r="H1735" s="87"/>
      <c r="I1735" s="87"/>
      <c r="J1735" s="177"/>
    </row>
    <row r="1736" spans="1:18" ht="30.75" customHeight="1">
      <c r="A1736" s="82" t="s">
        <v>148</v>
      </c>
      <c r="B1736" s="149">
        <v>793</v>
      </c>
      <c r="C1736" s="84" t="s">
        <v>69</v>
      </c>
      <c r="D1736" s="84" t="s">
        <v>70</v>
      </c>
      <c r="E1736" s="84" t="s">
        <v>525</v>
      </c>
      <c r="F1736" s="84" t="s">
        <v>149</v>
      </c>
      <c r="G1736" s="87">
        <f>G1737</f>
        <v>1292921.26</v>
      </c>
      <c r="H1736" s="87"/>
      <c r="I1736" s="87"/>
      <c r="J1736" s="177"/>
    </row>
    <row r="1737" spans="1:18" ht="30.75" customHeight="1">
      <c r="A1737" s="82" t="s">
        <v>150</v>
      </c>
      <c r="B1737" s="149">
        <v>793</v>
      </c>
      <c r="C1737" s="84" t="s">
        <v>69</v>
      </c>
      <c r="D1737" s="84" t="s">
        <v>70</v>
      </c>
      <c r="E1737" s="84" t="s">
        <v>525</v>
      </c>
      <c r="F1737" s="84" t="s">
        <v>151</v>
      </c>
      <c r="G1737" s="87">
        <v>1292921.26</v>
      </c>
      <c r="H1737" s="87"/>
      <c r="I1737" s="87"/>
      <c r="J1737" s="177"/>
    </row>
    <row r="1738" spans="1:18" s="18" customFormat="1" ht="25.5" hidden="1">
      <c r="A1738" s="135" t="s">
        <v>482</v>
      </c>
      <c r="B1738" s="149">
        <v>793</v>
      </c>
      <c r="C1738" s="84" t="s">
        <v>69</v>
      </c>
      <c r="D1738" s="84" t="s">
        <v>70</v>
      </c>
      <c r="E1738" s="84" t="s">
        <v>220</v>
      </c>
      <c r="F1738" s="84"/>
      <c r="G1738" s="87">
        <f t="shared" ref="G1738:I1740" si="448">G1739</f>
        <v>0</v>
      </c>
      <c r="H1738" s="87">
        <f t="shared" si="448"/>
        <v>0</v>
      </c>
      <c r="I1738" s="87">
        <f t="shared" si="448"/>
        <v>0</v>
      </c>
      <c r="J1738" s="177"/>
      <c r="K1738" s="200"/>
      <c r="L1738" s="200"/>
      <c r="M1738" s="200"/>
      <c r="N1738" s="200"/>
      <c r="O1738" s="200"/>
      <c r="P1738" s="200"/>
      <c r="Q1738" s="200"/>
      <c r="R1738" s="200"/>
    </row>
    <row r="1739" spans="1:18" s="18" customFormat="1" ht="25.5" hidden="1">
      <c r="A1739" s="82" t="s">
        <v>99</v>
      </c>
      <c r="B1739" s="149">
        <v>793</v>
      </c>
      <c r="C1739" s="84" t="s">
        <v>69</v>
      </c>
      <c r="D1739" s="84" t="s">
        <v>70</v>
      </c>
      <c r="E1739" s="84" t="s">
        <v>221</v>
      </c>
      <c r="F1739" s="84"/>
      <c r="G1739" s="87">
        <f t="shared" si="448"/>
        <v>0</v>
      </c>
      <c r="H1739" s="87">
        <f t="shared" si="448"/>
        <v>0</v>
      </c>
      <c r="I1739" s="87">
        <f t="shared" si="448"/>
        <v>0</v>
      </c>
      <c r="J1739" s="177"/>
      <c r="K1739" s="200"/>
      <c r="L1739" s="200"/>
      <c r="M1739" s="200"/>
      <c r="N1739" s="200"/>
      <c r="O1739" s="200"/>
      <c r="P1739" s="200"/>
      <c r="Q1739" s="200"/>
      <c r="R1739" s="200"/>
    </row>
    <row r="1740" spans="1:18" s="18" customFormat="1" ht="10.5" hidden="1" customHeight="1">
      <c r="A1740" s="287" t="s">
        <v>353</v>
      </c>
      <c r="B1740" s="149">
        <v>793</v>
      </c>
      <c r="C1740" s="84" t="s">
        <v>69</v>
      </c>
      <c r="D1740" s="84" t="s">
        <v>70</v>
      </c>
      <c r="E1740" s="84" t="s">
        <v>221</v>
      </c>
      <c r="F1740" s="84" t="s">
        <v>149</v>
      </c>
      <c r="G1740" s="87">
        <f t="shared" si="448"/>
        <v>0</v>
      </c>
      <c r="H1740" s="87">
        <f t="shared" si="448"/>
        <v>0</v>
      </c>
      <c r="I1740" s="87">
        <f t="shared" si="448"/>
        <v>0</v>
      </c>
      <c r="J1740" s="177"/>
      <c r="K1740" s="200"/>
      <c r="L1740" s="200"/>
      <c r="M1740" s="200"/>
      <c r="N1740" s="200"/>
      <c r="O1740" s="200"/>
      <c r="P1740" s="200"/>
      <c r="Q1740" s="200"/>
      <c r="R1740" s="200"/>
    </row>
    <row r="1741" spans="1:18" s="18" customFormat="1" ht="29.25" hidden="1" customHeight="1">
      <c r="A1741" s="82" t="s">
        <v>150</v>
      </c>
      <c r="B1741" s="149">
        <v>793</v>
      </c>
      <c r="C1741" s="84" t="s">
        <v>69</v>
      </c>
      <c r="D1741" s="84" t="s">
        <v>70</v>
      </c>
      <c r="E1741" s="84" t="s">
        <v>221</v>
      </c>
      <c r="F1741" s="84" t="s">
        <v>151</v>
      </c>
      <c r="G1741" s="87">
        <f>1260000+503974.1-1763974.1</f>
        <v>0</v>
      </c>
      <c r="H1741" s="87">
        <f>1260000-1260000</f>
        <v>0</v>
      </c>
      <c r="I1741" s="87">
        <f>1260000-1260000</f>
        <v>0</v>
      </c>
      <c r="J1741" s="177"/>
      <c r="K1741" s="200"/>
      <c r="L1741" s="200"/>
      <c r="M1741" s="200"/>
      <c r="N1741" s="200"/>
      <c r="O1741" s="200"/>
      <c r="P1741" s="200"/>
      <c r="Q1741" s="200"/>
      <c r="R1741" s="200"/>
    </row>
    <row r="1742" spans="1:18" s="28" customFormat="1" ht="27.75" customHeight="1">
      <c r="A1742" s="82" t="s">
        <v>486</v>
      </c>
      <c r="B1742" s="149">
        <v>793</v>
      </c>
      <c r="C1742" s="84" t="s">
        <v>69</v>
      </c>
      <c r="D1742" s="84" t="s">
        <v>70</v>
      </c>
      <c r="E1742" s="84" t="s">
        <v>286</v>
      </c>
      <c r="F1742" s="168"/>
      <c r="G1742" s="87">
        <f>G1743+G1746+G1749</f>
        <v>2044763.1</v>
      </c>
      <c r="H1742" s="87">
        <f t="shared" ref="H1742:I1742" si="449">H1743+H1746+H1749</f>
        <v>1567174</v>
      </c>
      <c r="I1742" s="87">
        <f t="shared" si="449"/>
        <v>1595221</v>
      </c>
      <c r="J1742" s="177"/>
      <c r="K1742" s="204"/>
      <c r="L1742" s="204"/>
      <c r="M1742" s="204"/>
      <c r="N1742" s="204"/>
      <c r="O1742" s="204"/>
      <c r="P1742" s="204"/>
      <c r="Q1742" s="204"/>
      <c r="R1742" s="204"/>
    </row>
    <row r="1743" spans="1:18" s="28" customFormat="1" ht="54" hidden="1" customHeight="1">
      <c r="A1743" s="82" t="s">
        <v>356</v>
      </c>
      <c r="B1743" s="149">
        <v>793</v>
      </c>
      <c r="C1743" s="84" t="s">
        <v>69</v>
      </c>
      <c r="D1743" s="84" t="s">
        <v>70</v>
      </c>
      <c r="E1743" s="84" t="s">
        <v>375</v>
      </c>
      <c r="F1743" s="168"/>
      <c r="G1743" s="87">
        <f t="shared" ref="G1743:I1744" si="450">G1744</f>
        <v>0</v>
      </c>
      <c r="H1743" s="87">
        <f t="shared" si="450"/>
        <v>0</v>
      </c>
      <c r="I1743" s="87">
        <f t="shared" si="450"/>
        <v>0</v>
      </c>
      <c r="J1743" s="177"/>
      <c r="K1743" s="204"/>
      <c r="L1743" s="204"/>
      <c r="M1743" s="204"/>
      <c r="N1743" s="204"/>
      <c r="O1743" s="204"/>
      <c r="P1743" s="204"/>
      <c r="Q1743" s="204"/>
      <c r="R1743" s="204"/>
    </row>
    <row r="1744" spans="1:18" s="28" customFormat="1" ht="16.5" hidden="1" customHeight="1">
      <c r="A1744" s="82" t="s">
        <v>63</v>
      </c>
      <c r="B1744" s="149">
        <v>793</v>
      </c>
      <c r="C1744" s="84" t="s">
        <v>69</v>
      </c>
      <c r="D1744" s="84" t="s">
        <v>70</v>
      </c>
      <c r="E1744" s="84" t="s">
        <v>375</v>
      </c>
      <c r="F1744" s="84" t="s">
        <v>64</v>
      </c>
      <c r="G1744" s="87">
        <f t="shared" si="450"/>
        <v>0</v>
      </c>
      <c r="H1744" s="87">
        <f t="shared" si="450"/>
        <v>0</v>
      </c>
      <c r="I1744" s="87">
        <f t="shared" si="450"/>
        <v>0</v>
      </c>
      <c r="J1744" s="177"/>
      <c r="K1744" s="204"/>
      <c r="L1744" s="204"/>
      <c r="M1744" s="204"/>
      <c r="N1744" s="204"/>
      <c r="O1744" s="204"/>
      <c r="P1744" s="204"/>
      <c r="Q1744" s="204"/>
      <c r="R1744" s="204"/>
    </row>
    <row r="1745" spans="1:18" ht="38.25" hidden="1">
      <c r="A1745" s="82" t="s">
        <v>340</v>
      </c>
      <c r="B1745" s="149">
        <v>793</v>
      </c>
      <c r="C1745" s="84" t="s">
        <v>69</v>
      </c>
      <c r="D1745" s="84" t="s">
        <v>70</v>
      </c>
      <c r="E1745" s="84" t="s">
        <v>375</v>
      </c>
      <c r="F1745" s="84" t="s">
        <v>341</v>
      </c>
      <c r="G1745" s="87"/>
      <c r="H1745" s="87"/>
      <c r="I1745" s="87"/>
      <c r="J1745" s="177"/>
    </row>
    <row r="1746" spans="1:18" ht="25.5" customHeight="1">
      <c r="A1746" s="82" t="s">
        <v>663</v>
      </c>
      <c r="B1746" s="149">
        <v>793</v>
      </c>
      <c r="C1746" s="84" t="s">
        <v>69</v>
      </c>
      <c r="D1746" s="84" t="s">
        <v>70</v>
      </c>
      <c r="E1746" s="84" t="s">
        <v>686</v>
      </c>
      <c r="F1746" s="84"/>
      <c r="G1746" s="87">
        <f t="shared" ref="G1746:I1747" si="451">G1747</f>
        <v>280789</v>
      </c>
      <c r="H1746" s="87">
        <f t="shared" si="451"/>
        <v>307174</v>
      </c>
      <c r="I1746" s="87">
        <f t="shared" si="451"/>
        <v>335221</v>
      </c>
      <c r="J1746" s="177"/>
    </row>
    <row r="1747" spans="1:18" ht="15.75" customHeight="1">
      <c r="A1747" s="82" t="s">
        <v>358</v>
      </c>
      <c r="B1747" s="149">
        <v>793</v>
      </c>
      <c r="C1747" s="84" t="s">
        <v>69</v>
      </c>
      <c r="D1747" s="84" t="s">
        <v>70</v>
      </c>
      <c r="E1747" s="84" t="s">
        <v>686</v>
      </c>
      <c r="F1747" s="84" t="s">
        <v>149</v>
      </c>
      <c r="G1747" s="87">
        <f t="shared" si="451"/>
        <v>280789</v>
      </c>
      <c r="H1747" s="87">
        <f t="shared" si="451"/>
        <v>307174</v>
      </c>
      <c r="I1747" s="87">
        <f t="shared" si="451"/>
        <v>335221</v>
      </c>
      <c r="J1747" s="177"/>
    </row>
    <row r="1748" spans="1:18" ht="36" customHeight="1">
      <c r="A1748" s="82" t="s">
        <v>672</v>
      </c>
      <c r="B1748" s="149">
        <v>793</v>
      </c>
      <c r="C1748" s="84" t="s">
        <v>69</v>
      </c>
      <c r="D1748" s="84" t="s">
        <v>70</v>
      </c>
      <c r="E1748" s="84" t="s">
        <v>686</v>
      </c>
      <c r="F1748" s="84" t="s">
        <v>671</v>
      </c>
      <c r="G1748" s="87">
        <v>280789</v>
      </c>
      <c r="H1748" s="87">
        <v>307174</v>
      </c>
      <c r="I1748" s="87">
        <v>335221</v>
      </c>
      <c r="J1748" s="177"/>
    </row>
    <row r="1749" spans="1:18" s="18" customFormat="1">
      <c r="A1749" s="82" t="s">
        <v>1060</v>
      </c>
      <c r="B1749" s="149">
        <v>793</v>
      </c>
      <c r="C1749" s="84" t="s">
        <v>69</v>
      </c>
      <c r="D1749" s="84" t="s">
        <v>70</v>
      </c>
      <c r="E1749" s="84" t="s">
        <v>1059</v>
      </c>
      <c r="F1749" s="84"/>
      <c r="G1749" s="87">
        <f t="shared" ref="G1749:I1749" si="452">G1750</f>
        <v>1763974.1</v>
      </c>
      <c r="H1749" s="87">
        <f t="shared" si="452"/>
        <v>1260000</v>
      </c>
      <c r="I1749" s="87">
        <f t="shared" si="452"/>
        <v>1260000</v>
      </c>
      <c r="J1749" s="177"/>
      <c r="K1749" s="200"/>
      <c r="L1749" s="200"/>
      <c r="M1749" s="200"/>
      <c r="N1749" s="200"/>
      <c r="O1749" s="200"/>
      <c r="P1749" s="200"/>
      <c r="Q1749" s="200"/>
      <c r="R1749" s="200"/>
    </row>
    <row r="1750" spans="1:18" s="18" customFormat="1" ht="10.5" customHeight="1">
      <c r="A1750" s="287" t="s">
        <v>353</v>
      </c>
      <c r="B1750" s="149">
        <v>793</v>
      </c>
      <c r="C1750" s="84" t="s">
        <v>69</v>
      </c>
      <c r="D1750" s="84" t="s">
        <v>70</v>
      </c>
      <c r="E1750" s="84" t="s">
        <v>1059</v>
      </c>
      <c r="F1750" s="84" t="s">
        <v>149</v>
      </c>
      <c r="G1750" s="87">
        <v>1763974.1</v>
      </c>
      <c r="H1750" s="87">
        <v>1260000</v>
      </c>
      <c r="I1750" s="87">
        <v>1260000</v>
      </c>
      <c r="J1750" s="177"/>
      <c r="K1750" s="200"/>
      <c r="L1750" s="200"/>
      <c r="M1750" s="200"/>
      <c r="N1750" s="200"/>
      <c r="O1750" s="200"/>
      <c r="P1750" s="200"/>
      <c r="Q1750" s="200"/>
      <c r="R1750" s="200"/>
    </row>
    <row r="1751" spans="1:18" s="18" customFormat="1" ht="29.25" customHeight="1">
      <c r="A1751" s="82" t="s">
        <v>150</v>
      </c>
      <c r="B1751" s="149">
        <v>793</v>
      </c>
      <c r="C1751" s="84" t="s">
        <v>69</v>
      </c>
      <c r="D1751" s="84" t="s">
        <v>70</v>
      </c>
      <c r="E1751" s="84" t="s">
        <v>1059</v>
      </c>
      <c r="F1751" s="84" t="s">
        <v>151</v>
      </c>
      <c r="G1751" s="87">
        <f>G1750</f>
        <v>1763974.1</v>
      </c>
      <c r="H1751" s="87">
        <f t="shared" ref="H1751:I1751" si="453">H1750</f>
        <v>1260000</v>
      </c>
      <c r="I1751" s="87">
        <f t="shared" si="453"/>
        <v>1260000</v>
      </c>
      <c r="J1751" s="177"/>
      <c r="K1751" s="200"/>
      <c r="L1751" s="200"/>
      <c r="M1751" s="200"/>
      <c r="N1751" s="200"/>
      <c r="O1751" s="200"/>
      <c r="P1751" s="200"/>
      <c r="Q1751" s="200"/>
      <c r="R1751" s="200"/>
    </row>
    <row r="1752" spans="1:18" ht="26.25" customHeight="1">
      <c r="A1752" s="82" t="s">
        <v>169</v>
      </c>
      <c r="B1752" s="149">
        <v>793</v>
      </c>
      <c r="C1752" s="84" t="s">
        <v>69</v>
      </c>
      <c r="D1752" s="84" t="s">
        <v>70</v>
      </c>
      <c r="E1752" s="84" t="s">
        <v>233</v>
      </c>
      <c r="F1752" s="84"/>
      <c r="G1752" s="87">
        <f>G1753</f>
        <v>85000</v>
      </c>
      <c r="H1752" s="87">
        <f>H1753</f>
        <v>0</v>
      </c>
      <c r="I1752" s="87">
        <f>I1753</f>
        <v>0</v>
      </c>
      <c r="J1752" s="177"/>
    </row>
    <row r="1753" spans="1:18" ht="29.25" customHeight="1">
      <c r="A1753" s="82" t="s">
        <v>169</v>
      </c>
      <c r="B1753" s="149">
        <v>793</v>
      </c>
      <c r="C1753" s="84" t="s">
        <v>69</v>
      </c>
      <c r="D1753" s="84" t="s">
        <v>70</v>
      </c>
      <c r="E1753" s="84" t="s">
        <v>275</v>
      </c>
      <c r="F1753" s="84"/>
      <c r="G1753" s="87">
        <f>G1755</f>
        <v>85000</v>
      </c>
      <c r="H1753" s="87">
        <f>H1755</f>
        <v>0</v>
      </c>
      <c r="I1753" s="87">
        <f>I1755</f>
        <v>0</v>
      </c>
      <c r="J1753" s="177"/>
    </row>
    <row r="1754" spans="1:18" ht="25.5" customHeight="1">
      <c r="A1754" s="82" t="s">
        <v>358</v>
      </c>
      <c r="B1754" s="149">
        <v>793</v>
      </c>
      <c r="C1754" s="84" t="s">
        <v>69</v>
      </c>
      <c r="D1754" s="84" t="s">
        <v>70</v>
      </c>
      <c r="E1754" s="84" t="s">
        <v>275</v>
      </c>
      <c r="F1754" s="84" t="s">
        <v>149</v>
      </c>
      <c r="G1754" s="87">
        <f>G1755</f>
        <v>85000</v>
      </c>
      <c r="H1754" s="87">
        <f>H1755</f>
        <v>0</v>
      </c>
      <c r="I1754" s="87">
        <f>I1755</f>
        <v>0</v>
      </c>
      <c r="J1754" s="177"/>
    </row>
    <row r="1755" spans="1:18" ht="30.75" customHeight="1">
      <c r="A1755" s="82" t="s">
        <v>152</v>
      </c>
      <c r="B1755" s="149">
        <v>793</v>
      </c>
      <c r="C1755" s="84" t="s">
        <v>69</v>
      </c>
      <c r="D1755" s="84" t="s">
        <v>70</v>
      </c>
      <c r="E1755" s="84" t="s">
        <v>275</v>
      </c>
      <c r="F1755" s="84" t="s">
        <v>151</v>
      </c>
      <c r="G1755" s="87">
        <v>85000</v>
      </c>
      <c r="H1755" s="87">
        <v>0</v>
      </c>
      <c r="I1755" s="87">
        <v>0</v>
      </c>
      <c r="J1755" s="177"/>
    </row>
    <row r="1756" spans="1:18" s="28" customFormat="1" ht="24.75" hidden="1" customHeight="1">
      <c r="A1756" s="139" t="s">
        <v>169</v>
      </c>
      <c r="B1756" s="149">
        <v>793</v>
      </c>
      <c r="C1756" s="84" t="s">
        <v>69</v>
      </c>
      <c r="D1756" s="84" t="s">
        <v>70</v>
      </c>
      <c r="E1756" s="84" t="s">
        <v>233</v>
      </c>
      <c r="F1756" s="168"/>
      <c r="G1756" s="87">
        <f t="shared" ref="G1756:I1756" si="454">G1757</f>
        <v>0</v>
      </c>
      <c r="H1756" s="87">
        <f t="shared" si="454"/>
        <v>0</v>
      </c>
      <c r="I1756" s="87">
        <f t="shared" si="454"/>
        <v>0</v>
      </c>
      <c r="J1756" s="177"/>
      <c r="K1756" s="204"/>
      <c r="L1756" s="204"/>
      <c r="M1756" s="204"/>
      <c r="N1756" s="204"/>
      <c r="O1756" s="204"/>
      <c r="P1756" s="204"/>
      <c r="Q1756" s="204"/>
      <c r="R1756" s="204"/>
    </row>
    <row r="1757" spans="1:18" ht="25.5" hidden="1">
      <c r="A1757" s="139" t="s">
        <v>169</v>
      </c>
      <c r="B1757" s="149">
        <v>793</v>
      </c>
      <c r="C1757" s="84" t="s">
        <v>69</v>
      </c>
      <c r="D1757" s="84" t="s">
        <v>70</v>
      </c>
      <c r="E1757" s="84" t="s">
        <v>275</v>
      </c>
      <c r="F1757" s="84"/>
      <c r="G1757" s="87">
        <f>G1758+G1760</f>
        <v>0</v>
      </c>
      <c r="H1757" s="87">
        <f>H1758+H1760</f>
        <v>0</v>
      </c>
      <c r="I1757" s="87">
        <f>I1758+I1760</f>
        <v>0</v>
      </c>
      <c r="J1757" s="177"/>
    </row>
    <row r="1758" spans="1:18" hidden="1">
      <c r="A1758" s="82"/>
      <c r="B1758" s="149">
        <v>793</v>
      </c>
      <c r="C1758" s="84" t="s">
        <v>69</v>
      </c>
      <c r="D1758" s="84" t="s">
        <v>70</v>
      </c>
      <c r="E1758" s="84" t="s">
        <v>275</v>
      </c>
      <c r="F1758" s="84"/>
      <c r="G1758" s="87"/>
      <c r="H1758" s="87"/>
      <c r="I1758" s="87"/>
      <c r="J1758" s="177"/>
    </row>
    <row r="1759" spans="1:18" ht="30.75" hidden="1" customHeight="1">
      <c r="A1759" s="82"/>
      <c r="B1759" s="149">
        <v>793</v>
      </c>
      <c r="C1759" s="84" t="s">
        <v>69</v>
      </c>
      <c r="D1759" s="84" t="s">
        <v>70</v>
      </c>
      <c r="E1759" s="84" t="s">
        <v>275</v>
      </c>
      <c r="F1759" s="84"/>
      <c r="G1759" s="87"/>
      <c r="H1759" s="87"/>
      <c r="I1759" s="87"/>
      <c r="J1759" s="177"/>
    </row>
    <row r="1760" spans="1:18" ht="24" hidden="1" customHeight="1">
      <c r="A1760" s="287" t="s">
        <v>148</v>
      </c>
      <c r="B1760" s="149">
        <v>793</v>
      </c>
      <c r="C1760" s="84" t="s">
        <v>69</v>
      </c>
      <c r="D1760" s="84" t="s">
        <v>70</v>
      </c>
      <c r="E1760" s="84" t="s">
        <v>275</v>
      </c>
      <c r="F1760" s="84" t="s">
        <v>149</v>
      </c>
      <c r="G1760" s="87">
        <f>G1761</f>
        <v>0</v>
      </c>
      <c r="H1760" s="87">
        <f>H1761</f>
        <v>0</v>
      </c>
      <c r="I1760" s="87">
        <f>I1761</f>
        <v>0</v>
      </c>
      <c r="J1760" s="177"/>
    </row>
    <row r="1761" spans="1:18" ht="18" hidden="1" customHeight="1">
      <c r="A1761" s="82" t="s">
        <v>150</v>
      </c>
      <c r="B1761" s="149">
        <v>793</v>
      </c>
      <c r="C1761" s="84" t="s">
        <v>69</v>
      </c>
      <c r="D1761" s="84" t="s">
        <v>70</v>
      </c>
      <c r="E1761" s="84" t="s">
        <v>275</v>
      </c>
      <c r="F1761" s="84" t="s">
        <v>151</v>
      </c>
      <c r="G1761" s="87"/>
      <c r="H1761" s="87"/>
      <c r="I1761" s="87"/>
      <c r="J1761" s="177"/>
    </row>
    <row r="1762" spans="1:18">
      <c r="A1762" s="135" t="s">
        <v>153</v>
      </c>
      <c r="B1762" s="149">
        <v>793</v>
      </c>
      <c r="C1762" s="84" t="s">
        <v>69</v>
      </c>
      <c r="D1762" s="84" t="s">
        <v>54</v>
      </c>
      <c r="E1762" s="84"/>
      <c r="F1762" s="84"/>
      <c r="G1762" s="87">
        <f>G1768+G1764</f>
        <v>31189498.18</v>
      </c>
      <c r="H1762" s="87">
        <f t="shared" ref="H1762:I1762" si="455">H1768+H1764</f>
        <v>8650651.1400000006</v>
      </c>
      <c r="I1762" s="87">
        <f t="shared" si="455"/>
        <v>34621808.240000002</v>
      </c>
      <c r="J1762" s="177"/>
    </row>
    <row r="1763" spans="1:18" s="32" customFormat="1" ht="12.75" hidden="1" customHeight="1">
      <c r="A1763" s="268"/>
      <c r="B1763" s="149"/>
      <c r="C1763" s="270"/>
      <c r="D1763" s="84"/>
      <c r="E1763" s="84"/>
      <c r="F1763" s="84"/>
      <c r="G1763" s="87"/>
      <c r="H1763" s="87"/>
      <c r="I1763" s="87"/>
      <c r="J1763" s="177"/>
      <c r="K1763" s="203"/>
      <c r="L1763" s="203"/>
      <c r="M1763" s="203"/>
      <c r="N1763" s="203"/>
      <c r="O1763" s="203"/>
      <c r="P1763" s="203"/>
      <c r="Q1763" s="203"/>
      <c r="R1763" s="203"/>
    </row>
    <row r="1764" spans="1:18" s="32" customFormat="1" ht="30.75" customHeight="1">
      <c r="A1764" s="288" t="s">
        <v>470</v>
      </c>
      <c r="B1764" s="149">
        <v>793</v>
      </c>
      <c r="C1764" s="84" t="s">
        <v>69</v>
      </c>
      <c r="D1764" s="84" t="s">
        <v>54</v>
      </c>
      <c r="E1764" s="84" t="s">
        <v>205</v>
      </c>
      <c r="F1764" s="84"/>
      <c r="G1764" s="87">
        <f>G1765+G364+G361</f>
        <v>3685500</v>
      </c>
      <c r="H1764" s="87">
        <f>H1765+H364</f>
        <v>2225475</v>
      </c>
      <c r="I1764" s="87">
        <f>I1765+I364</f>
        <v>2225475</v>
      </c>
      <c r="J1764" s="177"/>
      <c r="K1764" s="203"/>
      <c r="L1764" s="203"/>
      <c r="M1764" s="203"/>
      <c r="N1764" s="203"/>
      <c r="O1764" s="203"/>
      <c r="P1764" s="203"/>
      <c r="Q1764" s="203"/>
      <c r="R1764" s="203"/>
    </row>
    <row r="1765" spans="1:18" ht="33" customHeight="1">
      <c r="A1765" s="82" t="s">
        <v>185</v>
      </c>
      <c r="B1765" s="149">
        <v>793</v>
      </c>
      <c r="C1765" s="84" t="s">
        <v>69</v>
      </c>
      <c r="D1765" s="84" t="s">
        <v>54</v>
      </c>
      <c r="E1765" s="84" t="s">
        <v>410</v>
      </c>
      <c r="F1765" s="84"/>
      <c r="G1765" s="87">
        <f t="shared" ref="G1765:I1766" si="456">G1766</f>
        <v>3685500</v>
      </c>
      <c r="H1765" s="87">
        <f t="shared" si="456"/>
        <v>2225475</v>
      </c>
      <c r="I1765" s="87">
        <f t="shared" si="456"/>
        <v>2225475</v>
      </c>
      <c r="J1765" s="177"/>
    </row>
    <row r="1766" spans="1:18" ht="33" customHeight="1">
      <c r="A1766" s="82" t="s">
        <v>148</v>
      </c>
      <c r="B1766" s="149">
        <v>793</v>
      </c>
      <c r="C1766" s="84" t="s">
        <v>69</v>
      </c>
      <c r="D1766" s="84" t="s">
        <v>54</v>
      </c>
      <c r="E1766" s="84" t="s">
        <v>410</v>
      </c>
      <c r="F1766" s="84" t="s">
        <v>149</v>
      </c>
      <c r="G1766" s="87">
        <f t="shared" si="456"/>
        <v>3685500</v>
      </c>
      <c r="H1766" s="87">
        <f t="shared" si="456"/>
        <v>2225475</v>
      </c>
      <c r="I1766" s="87">
        <f t="shared" si="456"/>
        <v>2225475</v>
      </c>
      <c r="J1766" s="177"/>
    </row>
    <row r="1767" spans="1:18" ht="33" customHeight="1">
      <c r="A1767" s="82" t="s">
        <v>150</v>
      </c>
      <c r="B1767" s="149">
        <v>793</v>
      </c>
      <c r="C1767" s="84" t="s">
        <v>69</v>
      </c>
      <c r="D1767" s="84" t="s">
        <v>54</v>
      </c>
      <c r="E1767" s="84" t="s">
        <v>410</v>
      </c>
      <c r="F1767" s="84" t="s">
        <v>151</v>
      </c>
      <c r="G1767" s="87">
        <f>5699991.57-2014491.57</f>
        <v>3685500</v>
      </c>
      <c r="H1767" s="87">
        <v>2225475</v>
      </c>
      <c r="I1767" s="87">
        <v>2225475</v>
      </c>
      <c r="J1767" s="177"/>
    </row>
    <row r="1768" spans="1:18" s="46" customFormat="1" ht="25.5">
      <c r="A1768" s="82" t="s">
        <v>486</v>
      </c>
      <c r="B1768" s="149">
        <v>793</v>
      </c>
      <c r="C1768" s="84" t="s">
        <v>69</v>
      </c>
      <c r="D1768" s="84" t="s">
        <v>54</v>
      </c>
      <c r="E1768" s="84" t="s">
        <v>286</v>
      </c>
      <c r="F1768" s="84"/>
      <c r="G1768" s="87">
        <f>G1769+G1778+G1772+G1775</f>
        <v>27503998.18</v>
      </c>
      <c r="H1768" s="87">
        <f>H1769+H1778+H1772</f>
        <v>6425176.1399999997</v>
      </c>
      <c r="I1768" s="87">
        <f>I1769+I1778+I1772</f>
        <v>32396333.240000002</v>
      </c>
      <c r="J1768" s="177"/>
      <c r="K1768" s="222"/>
      <c r="L1768" s="222"/>
      <c r="M1768" s="222"/>
      <c r="N1768" s="222"/>
      <c r="O1768" s="222"/>
      <c r="P1768" s="222"/>
      <c r="Q1768" s="222"/>
      <c r="R1768" s="222"/>
    </row>
    <row r="1769" spans="1:18" ht="58.5" customHeight="1">
      <c r="A1769" s="142" t="s">
        <v>288</v>
      </c>
      <c r="B1769" s="149">
        <v>793</v>
      </c>
      <c r="C1769" s="84" t="s">
        <v>69</v>
      </c>
      <c r="D1769" s="84" t="s">
        <v>54</v>
      </c>
      <c r="E1769" s="84" t="s">
        <v>287</v>
      </c>
      <c r="F1769" s="84"/>
      <c r="G1769" s="87">
        <f>G1770</f>
        <v>5925317.3300000001</v>
      </c>
      <c r="H1769" s="87">
        <f t="shared" ref="H1769:I1769" si="457">H1770</f>
        <v>6237176.1399999997</v>
      </c>
      <c r="I1769" s="87">
        <f t="shared" si="457"/>
        <v>6237176.1399999997</v>
      </c>
      <c r="J1769" s="177"/>
    </row>
    <row r="1770" spans="1:18" ht="38.25">
      <c r="A1770" s="82" t="s">
        <v>347</v>
      </c>
      <c r="B1770" s="149">
        <v>793</v>
      </c>
      <c r="C1770" s="84" t="s">
        <v>69</v>
      </c>
      <c r="D1770" s="84" t="s">
        <v>54</v>
      </c>
      <c r="E1770" s="84" t="s">
        <v>287</v>
      </c>
      <c r="F1770" s="84" t="s">
        <v>348</v>
      </c>
      <c r="G1770" s="87">
        <f>G1771</f>
        <v>5925317.3300000001</v>
      </c>
      <c r="H1770" s="87">
        <f>H1771</f>
        <v>6237176.1399999997</v>
      </c>
      <c r="I1770" s="87">
        <f>I1771</f>
        <v>6237176.1399999997</v>
      </c>
      <c r="J1770" s="177"/>
    </row>
    <row r="1771" spans="1:18">
      <c r="A1771" s="82" t="s">
        <v>349</v>
      </c>
      <c r="B1771" s="149">
        <v>793</v>
      </c>
      <c r="C1771" s="84" t="s">
        <v>69</v>
      </c>
      <c r="D1771" s="84" t="s">
        <v>54</v>
      </c>
      <c r="E1771" s="84" t="s">
        <v>287</v>
      </c>
      <c r="F1771" s="84" t="s">
        <v>350</v>
      </c>
      <c r="G1771" s="87">
        <v>5925317.3300000001</v>
      </c>
      <c r="H1771" s="87">
        <v>6237176.1399999997</v>
      </c>
      <c r="I1771" s="87">
        <v>6237176.1399999997</v>
      </c>
      <c r="J1771" s="177"/>
    </row>
    <row r="1772" spans="1:18" ht="55.5" customHeight="1">
      <c r="A1772" s="142" t="s">
        <v>289</v>
      </c>
      <c r="B1772" s="149">
        <v>793</v>
      </c>
      <c r="C1772" s="84" t="s">
        <v>69</v>
      </c>
      <c r="D1772" s="84" t="s">
        <v>54</v>
      </c>
      <c r="E1772" s="84" t="s">
        <v>373</v>
      </c>
      <c r="F1772" s="84"/>
      <c r="G1772" s="87">
        <f t="shared" ref="G1772:I1776" si="458">G1773</f>
        <v>14441810.85</v>
      </c>
      <c r="H1772" s="87">
        <f t="shared" si="458"/>
        <v>0</v>
      </c>
      <c r="I1772" s="87">
        <f t="shared" si="458"/>
        <v>25971157.100000001</v>
      </c>
      <c r="J1772" s="177"/>
    </row>
    <row r="1773" spans="1:18" ht="38.25">
      <c r="A1773" s="82" t="s">
        <v>347</v>
      </c>
      <c r="B1773" s="149">
        <v>793</v>
      </c>
      <c r="C1773" s="84" t="s">
        <v>69</v>
      </c>
      <c r="D1773" s="84" t="s">
        <v>54</v>
      </c>
      <c r="E1773" s="84" t="s">
        <v>373</v>
      </c>
      <c r="F1773" s="84" t="s">
        <v>348</v>
      </c>
      <c r="G1773" s="87">
        <f t="shared" si="458"/>
        <v>14441810.85</v>
      </c>
      <c r="H1773" s="87">
        <f t="shared" si="458"/>
        <v>0</v>
      </c>
      <c r="I1773" s="87">
        <f t="shared" si="458"/>
        <v>25971157.100000001</v>
      </c>
      <c r="J1773" s="177"/>
    </row>
    <row r="1774" spans="1:18">
      <c r="A1774" s="82" t="s">
        <v>349</v>
      </c>
      <c r="B1774" s="149">
        <v>793</v>
      </c>
      <c r="C1774" s="84" t="s">
        <v>69</v>
      </c>
      <c r="D1774" s="84" t="s">
        <v>54</v>
      </c>
      <c r="E1774" s="84" t="s">
        <v>373</v>
      </c>
      <c r="F1774" s="84" t="s">
        <v>350</v>
      </c>
      <c r="G1774" s="87">
        <v>14441810.85</v>
      </c>
      <c r="H1774" s="87">
        <v>0</v>
      </c>
      <c r="I1774" s="87">
        <v>25971157.100000001</v>
      </c>
      <c r="J1774" s="177"/>
    </row>
    <row r="1775" spans="1:18" ht="81" customHeight="1">
      <c r="A1775" s="142" t="s">
        <v>1051</v>
      </c>
      <c r="B1775" s="149">
        <v>793</v>
      </c>
      <c r="C1775" s="84" t="s">
        <v>69</v>
      </c>
      <c r="D1775" s="84" t="s">
        <v>54</v>
      </c>
      <c r="E1775" s="84" t="s">
        <v>1043</v>
      </c>
      <c r="F1775" s="84"/>
      <c r="G1775" s="87">
        <f t="shared" si="458"/>
        <v>6948870</v>
      </c>
      <c r="H1775" s="87">
        <f t="shared" si="458"/>
        <v>0</v>
      </c>
      <c r="I1775" s="87">
        <f t="shared" si="458"/>
        <v>0</v>
      </c>
      <c r="J1775" s="177"/>
    </row>
    <row r="1776" spans="1:18" ht="38.25">
      <c r="A1776" s="82" t="s">
        <v>347</v>
      </c>
      <c r="B1776" s="149">
        <v>793</v>
      </c>
      <c r="C1776" s="84" t="s">
        <v>69</v>
      </c>
      <c r="D1776" s="84" t="s">
        <v>54</v>
      </c>
      <c r="E1776" s="84" t="s">
        <v>1043</v>
      </c>
      <c r="F1776" s="84" t="s">
        <v>348</v>
      </c>
      <c r="G1776" s="87">
        <f t="shared" si="458"/>
        <v>6948870</v>
      </c>
      <c r="H1776" s="87">
        <f t="shared" si="458"/>
        <v>0</v>
      </c>
      <c r="I1776" s="87">
        <f t="shared" si="458"/>
        <v>0</v>
      </c>
      <c r="J1776" s="177"/>
    </row>
    <row r="1777" spans="1:18">
      <c r="A1777" s="82" t="s">
        <v>349</v>
      </c>
      <c r="B1777" s="149">
        <v>793</v>
      </c>
      <c r="C1777" s="84" t="s">
        <v>69</v>
      </c>
      <c r="D1777" s="84" t="s">
        <v>54</v>
      </c>
      <c r="E1777" s="84" t="s">
        <v>1043</v>
      </c>
      <c r="F1777" s="84" t="s">
        <v>350</v>
      </c>
      <c r="G1777" s="87">
        <v>6948870</v>
      </c>
      <c r="H1777" s="87">
        <v>0</v>
      </c>
      <c r="I1777" s="87"/>
      <c r="J1777" s="177"/>
    </row>
    <row r="1778" spans="1:18" s="18" customFormat="1" ht="25.5">
      <c r="A1778" s="82" t="s">
        <v>359</v>
      </c>
      <c r="B1778" s="149">
        <v>793</v>
      </c>
      <c r="C1778" s="84" t="s">
        <v>69</v>
      </c>
      <c r="D1778" s="84" t="s">
        <v>54</v>
      </c>
      <c r="E1778" s="84" t="s">
        <v>291</v>
      </c>
      <c r="F1778" s="84"/>
      <c r="G1778" s="87">
        <f t="shared" ref="G1778:I1779" si="459">G1779</f>
        <v>188000</v>
      </c>
      <c r="H1778" s="87">
        <f t="shared" si="459"/>
        <v>188000</v>
      </c>
      <c r="I1778" s="87">
        <f t="shared" si="459"/>
        <v>188000</v>
      </c>
      <c r="J1778" s="177"/>
      <c r="K1778" s="200"/>
      <c r="L1778" s="200"/>
      <c r="M1778" s="200"/>
      <c r="N1778" s="200"/>
      <c r="O1778" s="200"/>
      <c r="P1778" s="200"/>
      <c r="Q1778" s="200"/>
      <c r="R1778" s="200"/>
    </row>
    <row r="1779" spans="1:18" s="18" customFormat="1" ht="25.5">
      <c r="A1779" s="82" t="s">
        <v>357</v>
      </c>
      <c r="B1779" s="149">
        <v>793</v>
      </c>
      <c r="C1779" s="84" t="s">
        <v>69</v>
      </c>
      <c r="D1779" s="84" t="s">
        <v>54</v>
      </c>
      <c r="E1779" s="84" t="s">
        <v>291</v>
      </c>
      <c r="F1779" s="84" t="s">
        <v>149</v>
      </c>
      <c r="G1779" s="87">
        <f t="shared" si="459"/>
        <v>188000</v>
      </c>
      <c r="H1779" s="87">
        <f t="shared" si="459"/>
        <v>188000</v>
      </c>
      <c r="I1779" s="87">
        <f t="shared" si="459"/>
        <v>188000</v>
      </c>
      <c r="J1779" s="177"/>
      <c r="K1779" s="200"/>
      <c r="L1779" s="200"/>
      <c r="M1779" s="200"/>
      <c r="N1779" s="200"/>
      <c r="O1779" s="200"/>
      <c r="P1779" s="200"/>
      <c r="Q1779" s="200"/>
      <c r="R1779" s="200"/>
    </row>
    <row r="1780" spans="1:18" s="18" customFormat="1" ht="25.5">
      <c r="A1780" s="82" t="s">
        <v>354</v>
      </c>
      <c r="B1780" s="149">
        <v>793</v>
      </c>
      <c r="C1780" s="84" t="s">
        <v>69</v>
      </c>
      <c r="D1780" s="84" t="s">
        <v>54</v>
      </c>
      <c r="E1780" s="84" t="s">
        <v>291</v>
      </c>
      <c r="F1780" s="84" t="s">
        <v>355</v>
      </c>
      <c r="G1780" s="87">
        <v>188000</v>
      </c>
      <c r="H1780" s="87">
        <v>188000</v>
      </c>
      <c r="I1780" s="87">
        <v>188000</v>
      </c>
      <c r="J1780" s="177"/>
      <c r="K1780" s="200"/>
      <c r="L1780" s="200"/>
      <c r="M1780" s="200"/>
      <c r="N1780" s="200"/>
      <c r="O1780" s="200"/>
      <c r="P1780" s="200"/>
      <c r="Q1780" s="200"/>
      <c r="R1780" s="200"/>
    </row>
    <row r="1781" spans="1:18" s="32" customFormat="1" ht="17.25" customHeight="1">
      <c r="A1781" s="275" t="s">
        <v>360</v>
      </c>
      <c r="B1781" s="155">
        <v>793</v>
      </c>
      <c r="C1781" s="156" t="s">
        <v>72</v>
      </c>
      <c r="D1781" s="156"/>
      <c r="E1781" s="156"/>
      <c r="F1781" s="156"/>
      <c r="G1781" s="157">
        <f>G1797+G1782</f>
        <v>441360</v>
      </c>
      <c r="H1781" s="157">
        <f>H1797+H1782</f>
        <v>445360</v>
      </c>
      <c r="I1781" s="157">
        <f>I1797+I1782</f>
        <v>445360</v>
      </c>
      <c r="J1781" s="196"/>
      <c r="K1781" s="203"/>
      <c r="L1781" s="203"/>
      <c r="M1781" s="203"/>
      <c r="N1781" s="203"/>
      <c r="O1781" s="203"/>
      <c r="P1781" s="203"/>
      <c r="Q1781" s="203"/>
      <c r="R1781" s="203"/>
    </row>
    <row r="1782" spans="1:18" s="32" customFormat="1" ht="17.25" hidden="1" customHeight="1">
      <c r="A1782" s="276" t="s">
        <v>495</v>
      </c>
      <c r="B1782" s="149">
        <v>757</v>
      </c>
      <c r="C1782" s="84" t="s">
        <v>72</v>
      </c>
      <c r="D1782" s="84" t="s">
        <v>19</v>
      </c>
      <c r="E1782" s="156"/>
      <c r="F1782" s="156"/>
      <c r="G1782" s="157">
        <f>G1783+G1793</f>
        <v>0</v>
      </c>
      <c r="H1782" s="157">
        <f>H1783+H1793</f>
        <v>0</v>
      </c>
      <c r="I1782" s="157">
        <f>I1783+I1793</f>
        <v>0</v>
      </c>
      <c r="J1782" s="196"/>
      <c r="K1782" s="203"/>
      <c r="L1782" s="203"/>
      <c r="M1782" s="203"/>
      <c r="N1782" s="203"/>
      <c r="O1782" s="203"/>
      <c r="P1782" s="203"/>
      <c r="Q1782" s="203"/>
      <c r="R1782" s="203"/>
    </row>
    <row r="1783" spans="1:18" ht="27.75" hidden="1" customHeight="1">
      <c r="A1783" s="139" t="s">
        <v>484</v>
      </c>
      <c r="B1783" s="149">
        <v>757</v>
      </c>
      <c r="C1783" s="84" t="s">
        <v>72</v>
      </c>
      <c r="D1783" s="84" t="s">
        <v>19</v>
      </c>
      <c r="E1783" s="84" t="s">
        <v>195</v>
      </c>
      <c r="F1783" s="84"/>
      <c r="G1783" s="87">
        <f>G1785+G1788+G1790</f>
        <v>0</v>
      </c>
      <c r="H1783" s="87">
        <f>H1785+H1788+H1790</f>
        <v>0</v>
      </c>
      <c r="I1783" s="87">
        <f>I1785+I1788+I1790</f>
        <v>0</v>
      </c>
      <c r="J1783" s="177"/>
    </row>
    <row r="1784" spans="1:18" ht="19.5" hidden="1" customHeight="1">
      <c r="A1784" s="82" t="s">
        <v>32</v>
      </c>
      <c r="B1784" s="149">
        <v>757</v>
      </c>
      <c r="C1784" s="84" t="s">
        <v>72</v>
      </c>
      <c r="D1784" s="84" t="s">
        <v>19</v>
      </c>
      <c r="E1784" s="84" t="s">
        <v>40</v>
      </c>
      <c r="F1784" s="84" t="s">
        <v>33</v>
      </c>
      <c r="G1784" s="87"/>
      <c r="H1784" s="87"/>
      <c r="I1784" s="87"/>
      <c r="J1784" s="177"/>
    </row>
    <row r="1785" spans="1:18" ht="39" hidden="1" customHeight="1">
      <c r="A1785" s="82" t="s">
        <v>112</v>
      </c>
      <c r="B1785" s="149">
        <v>757</v>
      </c>
      <c r="C1785" s="84" t="s">
        <v>72</v>
      </c>
      <c r="D1785" s="84" t="s">
        <v>19</v>
      </c>
      <c r="E1785" s="84" t="s">
        <v>196</v>
      </c>
      <c r="F1785" s="84"/>
      <c r="G1785" s="87">
        <f>G1786</f>
        <v>0</v>
      </c>
      <c r="H1785" s="87">
        <f t="shared" ref="H1785:I1785" si="460">H1786</f>
        <v>0</v>
      </c>
      <c r="I1785" s="87">
        <f t="shared" si="460"/>
        <v>0</v>
      </c>
      <c r="J1785" s="177"/>
    </row>
    <row r="1786" spans="1:18" ht="25.5" hidden="1">
      <c r="A1786" s="82" t="s">
        <v>30</v>
      </c>
      <c r="B1786" s="149">
        <v>757</v>
      </c>
      <c r="C1786" s="84" t="s">
        <v>72</v>
      </c>
      <c r="D1786" s="84" t="s">
        <v>19</v>
      </c>
      <c r="E1786" s="84" t="s">
        <v>196</v>
      </c>
      <c r="F1786" s="84" t="s">
        <v>31</v>
      </c>
      <c r="G1786" s="87">
        <f>G1787</f>
        <v>0</v>
      </c>
      <c r="H1786" s="87">
        <f>H1787</f>
        <v>0</v>
      </c>
      <c r="I1786" s="87">
        <f>I1787</f>
        <v>0</v>
      </c>
      <c r="J1786" s="177"/>
    </row>
    <row r="1787" spans="1:18" ht="19.5" hidden="1" customHeight="1">
      <c r="A1787" s="82" t="s">
        <v>32</v>
      </c>
      <c r="B1787" s="149">
        <v>757</v>
      </c>
      <c r="C1787" s="84" t="s">
        <v>72</v>
      </c>
      <c r="D1787" s="84" t="s">
        <v>19</v>
      </c>
      <c r="E1787" s="84" t="s">
        <v>196</v>
      </c>
      <c r="F1787" s="84" t="s">
        <v>33</v>
      </c>
      <c r="G1787" s="87"/>
      <c r="H1787" s="87"/>
      <c r="I1787" s="87"/>
      <c r="J1787" s="177"/>
    </row>
    <row r="1788" spans="1:18" s="32" customFormat="1" ht="25.5" hidden="1" customHeight="1">
      <c r="A1788" s="82" t="s">
        <v>30</v>
      </c>
      <c r="B1788" s="149">
        <v>757</v>
      </c>
      <c r="C1788" s="84" t="s">
        <v>72</v>
      </c>
      <c r="D1788" s="84" t="s">
        <v>19</v>
      </c>
      <c r="E1788" s="84" t="s">
        <v>546</v>
      </c>
      <c r="F1788" s="84" t="s">
        <v>31</v>
      </c>
      <c r="G1788" s="87">
        <f>G1789</f>
        <v>0</v>
      </c>
      <c r="H1788" s="87">
        <v>0</v>
      </c>
      <c r="I1788" s="87">
        <v>0</v>
      </c>
      <c r="J1788" s="177"/>
      <c r="K1788" s="203"/>
      <c r="L1788" s="203"/>
      <c r="M1788" s="203"/>
      <c r="N1788" s="203"/>
      <c r="O1788" s="203"/>
      <c r="P1788" s="203"/>
      <c r="Q1788" s="203"/>
      <c r="R1788" s="203"/>
    </row>
    <row r="1789" spans="1:18" s="32" customFormat="1" ht="17.25" hidden="1" customHeight="1">
      <c r="A1789" s="82" t="s">
        <v>32</v>
      </c>
      <c r="B1789" s="149">
        <v>757</v>
      </c>
      <c r="C1789" s="84" t="s">
        <v>72</v>
      </c>
      <c r="D1789" s="84" t="s">
        <v>19</v>
      </c>
      <c r="E1789" s="84" t="s">
        <v>546</v>
      </c>
      <c r="F1789" s="84" t="s">
        <v>33</v>
      </c>
      <c r="G1789" s="87"/>
      <c r="H1789" s="87">
        <v>0</v>
      </c>
      <c r="I1789" s="87">
        <v>0</v>
      </c>
      <c r="J1789" s="177"/>
      <c r="K1789" s="203"/>
      <c r="L1789" s="203"/>
      <c r="M1789" s="203"/>
      <c r="N1789" s="203"/>
      <c r="O1789" s="203"/>
      <c r="P1789" s="203"/>
      <c r="Q1789" s="203"/>
      <c r="R1789" s="203"/>
    </row>
    <row r="1790" spans="1:18" s="32" customFormat="1" ht="65.25" hidden="1" customHeight="1">
      <c r="A1790" s="82" t="s">
        <v>615</v>
      </c>
      <c r="B1790" s="149">
        <v>757</v>
      </c>
      <c r="C1790" s="84" t="s">
        <v>72</v>
      </c>
      <c r="D1790" s="84" t="s">
        <v>19</v>
      </c>
      <c r="E1790" s="84" t="s">
        <v>614</v>
      </c>
      <c r="F1790" s="84"/>
      <c r="G1790" s="87">
        <f>G1791</f>
        <v>0</v>
      </c>
      <c r="H1790" s="87">
        <f t="shared" ref="H1790:I1790" si="461">H1791</f>
        <v>0</v>
      </c>
      <c r="I1790" s="87">
        <f t="shared" si="461"/>
        <v>0</v>
      </c>
      <c r="J1790" s="177"/>
      <c r="K1790" s="203"/>
      <c r="L1790" s="203"/>
      <c r="M1790" s="203"/>
      <c r="N1790" s="203"/>
      <c r="O1790" s="203"/>
      <c r="P1790" s="203"/>
      <c r="Q1790" s="203"/>
      <c r="R1790" s="203"/>
    </row>
    <row r="1791" spans="1:18" s="32" customFormat="1" ht="25.5" hidden="1" customHeight="1">
      <c r="A1791" s="82" t="s">
        <v>30</v>
      </c>
      <c r="B1791" s="149">
        <v>757</v>
      </c>
      <c r="C1791" s="84" t="s">
        <v>72</v>
      </c>
      <c r="D1791" s="84" t="s">
        <v>19</v>
      </c>
      <c r="E1791" s="84" t="s">
        <v>614</v>
      </c>
      <c r="F1791" s="84" t="s">
        <v>31</v>
      </c>
      <c r="G1791" s="87">
        <f>G1792</f>
        <v>0</v>
      </c>
      <c r="H1791" s="87">
        <v>0</v>
      </c>
      <c r="I1791" s="87">
        <v>0</v>
      </c>
      <c r="J1791" s="177"/>
      <c r="K1791" s="203"/>
      <c r="L1791" s="203"/>
      <c r="M1791" s="203"/>
      <c r="N1791" s="203"/>
      <c r="O1791" s="203"/>
      <c r="P1791" s="203"/>
      <c r="Q1791" s="203"/>
      <c r="R1791" s="203"/>
    </row>
    <row r="1792" spans="1:18" s="32" customFormat="1" ht="17.25" hidden="1" customHeight="1">
      <c r="A1792" s="82" t="s">
        <v>32</v>
      </c>
      <c r="B1792" s="149">
        <v>757</v>
      </c>
      <c r="C1792" s="84" t="s">
        <v>72</v>
      </c>
      <c r="D1792" s="84" t="s">
        <v>19</v>
      </c>
      <c r="E1792" s="84" t="s">
        <v>614</v>
      </c>
      <c r="F1792" s="84" t="s">
        <v>33</v>
      </c>
      <c r="G1792" s="87"/>
      <c r="H1792" s="87">
        <v>0</v>
      </c>
      <c r="I1792" s="87">
        <v>0</v>
      </c>
      <c r="J1792" s="177"/>
      <c r="K1792" s="203"/>
      <c r="L1792" s="203"/>
      <c r="M1792" s="203"/>
      <c r="N1792" s="203"/>
      <c r="O1792" s="203"/>
      <c r="P1792" s="203"/>
      <c r="Q1792" s="203"/>
      <c r="R1792" s="203"/>
    </row>
    <row r="1793" spans="1:18" s="18" customFormat="1" ht="25.5" hidden="1">
      <c r="A1793" s="82" t="s">
        <v>474</v>
      </c>
      <c r="B1793" s="149">
        <v>757</v>
      </c>
      <c r="C1793" s="84" t="s">
        <v>72</v>
      </c>
      <c r="D1793" s="84" t="s">
        <v>19</v>
      </c>
      <c r="E1793" s="84" t="s">
        <v>262</v>
      </c>
      <c r="F1793" s="84"/>
      <c r="G1793" s="87">
        <f>G1794</f>
        <v>0</v>
      </c>
      <c r="H1793" s="87">
        <f t="shared" ref="H1793:I1795" si="462">H1794</f>
        <v>0</v>
      </c>
      <c r="I1793" s="87">
        <f t="shared" si="462"/>
        <v>0</v>
      </c>
      <c r="J1793" s="177"/>
      <c r="K1793" s="200"/>
      <c r="L1793" s="200"/>
      <c r="M1793" s="200"/>
      <c r="N1793" s="200"/>
      <c r="O1793" s="200"/>
      <c r="P1793" s="200"/>
      <c r="Q1793" s="200"/>
      <c r="R1793" s="200"/>
    </row>
    <row r="1794" spans="1:18" s="18" customFormat="1" ht="25.5" hidden="1">
      <c r="A1794" s="82" t="s">
        <v>473</v>
      </c>
      <c r="B1794" s="149">
        <v>757</v>
      </c>
      <c r="C1794" s="84" t="s">
        <v>72</v>
      </c>
      <c r="D1794" s="84" t="s">
        <v>19</v>
      </c>
      <c r="E1794" s="84" t="s">
        <v>445</v>
      </c>
      <c r="F1794" s="84"/>
      <c r="G1794" s="87">
        <f>G1795</f>
        <v>0</v>
      </c>
      <c r="H1794" s="87">
        <f t="shared" si="462"/>
        <v>0</v>
      </c>
      <c r="I1794" s="87">
        <f t="shared" si="462"/>
        <v>0</v>
      </c>
      <c r="J1794" s="177"/>
      <c r="K1794" s="200"/>
      <c r="L1794" s="200"/>
      <c r="M1794" s="200"/>
      <c r="N1794" s="200"/>
      <c r="O1794" s="200"/>
      <c r="P1794" s="200"/>
      <c r="Q1794" s="200"/>
      <c r="R1794" s="200"/>
    </row>
    <row r="1795" spans="1:18" s="18" customFormat="1" ht="25.5" hidden="1">
      <c r="A1795" s="82" t="s">
        <v>96</v>
      </c>
      <c r="B1795" s="149">
        <v>757</v>
      </c>
      <c r="C1795" s="84" t="s">
        <v>72</v>
      </c>
      <c r="D1795" s="84" t="s">
        <v>19</v>
      </c>
      <c r="E1795" s="84" t="s">
        <v>445</v>
      </c>
      <c r="F1795" s="84" t="s">
        <v>348</v>
      </c>
      <c r="G1795" s="87">
        <f>G1796</f>
        <v>0</v>
      </c>
      <c r="H1795" s="87">
        <f t="shared" si="462"/>
        <v>0</v>
      </c>
      <c r="I1795" s="87">
        <f t="shared" si="462"/>
        <v>0</v>
      </c>
      <c r="J1795" s="177"/>
      <c r="K1795" s="200"/>
      <c r="L1795" s="200"/>
      <c r="M1795" s="200"/>
      <c r="N1795" s="200"/>
      <c r="O1795" s="200"/>
      <c r="P1795" s="200"/>
      <c r="Q1795" s="200"/>
      <c r="R1795" s="200"/>
    </row>
    <row r="1796" spans="1:18" s="18" customFormat="1" ht="89.25" hidden="1">
      <c r="A1796" s="133" t="s">
        <v>420</v>
      </c>
      <c r="B1796" s="149">
        <v>757</v>
      </c>
      <c r="C1796" s="84" t="s">
        <v>72</v>
      </c>
      <c r="D1796" s="84" t="s">
        <v>19</v>
      </c>
      <c r="E1796" s="84" t="s">
        <v>445</v>
      </c>
      <c r="F1796" s="84" t="s">
        <v>419</v>
      </c>
      <c r="G1796" s="87">
        <f>50000-50000</f>
        <v>0</v>
      </c>
      <c r="H1796" s="87"/>
      <c r="I1796" s="87"/>
      <c r="J1796" s="177"/>
      <c r="K1796" s="200"/>
      <c r="L1796" s="200"/>
      <c r="M1796" s="200"/>
      <c r="N1796" s="200"/>
      <c r="O1796" s="200"/>
      <c r="P1796" s="200"/>
      <c r="Q1796" s="200"/>
      <c r="R1796" s="200"/>
    </row>
    <row r="1797" spans="1:18" s="33" customFormat="1" ht="15" customHeight="1">
      <c r="A1797" s="82" t="s">
        <v>71</v>
      </c>
      <c r="B1797" s="149">
        <v>793</v>
      </c>
      <c r="C1797" s="84" t="s">
        <v>72</v>
      </c>
      <c r="D1797" s="84" t="s">
        <v>28</v>
      </c>
      <c r="E1797" s="168"/>
      <c r="F1797" s="168"/>
      <c r="G1797" s="93">
        <f>G1798</f>
        <v>441360</v>
      </c>
      <c r="H1797" s="93">
        <f>H1798+H1354</f>
        <v>445360</v>
      </c>
      <c r="I1797" s="93">
        <f>I1798+I1354</f>
        <v>445360</v>
      </c>
      <c r="J1797" s="195"/>
      <c r="K1797" s="211"/>
      <c r="L1797" s="211"/>
      <c r="M1797" s="211"/>
      <c r="N1797" s="211"/>
      <c r="O1797" s="211"/>
      <c r="P1797" s="211"/>
      <c r="Q1797" s="211"/>
      <c r="R1797" s="211"/>
    </row>
    <row r="1798" spans="1:18" s="28" customFormat="1" ht="28.5" customHeight="1">
      <c r="A1798" s="139" t="s">
        <v>484</v>
      </c>
      <c r="B1798" s="149">
        <v>793</v>
      </c>
      <c r="C1798" s="84" t="s">
        <v>72</v>
      </c>
      <c r="D1798" s="84" t="s">
        <v>28</v>
      </c>
      <c r="E1798" s="84" t="s">
        <v>195</v>
      </c>
      <c r="F1798" s="84"/>
      <c r="G1798" s="87">
        <f>G1799+G1802+G1805</f>
        <v>441360</v>
      </c>
      <c r="H1798" s="87">
        <f t="shared" ref="H1798:I1798" si="463">H1799+H1802+H1805</f>
        <v>445360</v>
      </c>
      <c r="I1798" s="87">
        <f t="shared" si="463"/>
        <v>445360</v>
      </c>
      <c r="J1798" s="177"/>
      <c r="K1798" s="204"/>
      <c r="L1798" s="204"/>
      <c r="M1798" s="204"/>
      <c r="N1798" s="204"/>
      <c r="O1798" s="204"/>
      <c r="P1798" s="204"/>
      <c r="Q1798" s="204"/>
      <c r="R1798" s="204"/>
    </row>
    <row r="1799" spans="1:18" s="28" customFormat="1" ht="27.75" customHeight="1">
      <c r="A1799" s="139" t="s">
        <v>73</v>
      </c>
      <c r="B1799" s="149">
        <v>793</v>
      </c>
      <c r="C1799" s="84" t="s">
        <v>72</v>
      </c>
      <c r="D1799" s="84" t="s">
        <v>28</v>
      </c>
      <c r="E1799" s="84" t="s">
        <v>206</v>
      </c>
      <c r="F1799" s="84"/>
      <c r="G1799" s="87">
        <f>G1800</f>
        <v>441360</v>
      </c>
      <c r="H1799" s="87">
        <f t="shared" ref="H1799:I1799" si="464">H1800</f>
        <v>445360</v>
      </c>
      <c r="I1799" s="87">
        <f t="shared" si="464"/>
        <v>445360</v>
      </c>
      <c r="J1799" s="177"/>
      <c r="K1799" s="204"/>
      <c r="L1799" s="204"/>
      <c r="M1799" s="204"/>
      <c r="N1799" s="204"/>
      <c r="O1799" s="204"/>
      <c r="P1799" s="204"/>
      <c r="Q1799" s="204"/>
      <c r="R1799" s="204"/>
    </row>
    <row r="1800" spans="1:18" s="32" customFormat="1" ht="28.5" customHeight="1">
      <c r="A1800" s="82" t="s">
        <v>36</v>
      </c>
      <c r="B1800" s="149">
        <v>793</v>
      </c>
      <c r="C1800" s="84" t="s">
        <v>72</v>
      </c>
      <c r="D1800" s="84" t="s">
        <v>28</v>
      </c>
      <c r="E1800" s="84" t="s">
        <v>206</v>
      </c>
      <c r="F1800" s="84" t="s">
        <v>37</v>
      </c>
      <c r="G1800" s="87">
        <f>G1801</f>
        <v>441360</v>
      </c>
      <c r="H1800" s="87">
        <f>H1801</f>
        <v>445360</v>
      </c>
      <c r="I1800" s="87">
        <f>I1801</f>
        <v>445360</v>
      </c>
      <c r="J1800" s="177"/>
      <c r="K1800" s="203"/>
      <c r="L1800" s="203"/>
      <c r="M1800" s="203"/>
      <c r="N1800" s="203"/>
      <c r="O1800" s="203"/>
      <c r="P1800" s="203"/>
      <c r="Q1800" s="203"/>
      <c r="R1800" s="203"/>
    </row>
    <row r="1801" spans="1:18" s="32" customFormat="1" ht="25.5">
      <c r="A1801" s="82" t="s">
        <v>38</v>
      </c>
      <c r="B1801" s="149">
        <v>793</v>
      </c>
      <c r="C1801" s="84" t="s">
        <v>72</v>
      </c>
      <c r="D1801" s="84" t="s">
        <v>28</v>
      </c>
      <c r="E1801" s="84" t="s">
        <v>206</v>
      </c>
      <c r="F1801" s="84" t="s">
        <v>39</v>
      </c>
      <c r="G1801" s="87">
        <f>445360-20000+16000</f>
        <v>441360</v>
      </c>
      <c r="H1801" s="87">
        <v>445360</v>
      </c>
      <c r="I1801" s="87">
        <v>445360</v>
      </c>
      <c r="J1801" s="177"/>
      <c r="K1801" s="205"/>
      <c r="L1801" s="203"/>
      <c r="M1801" s="203"/>
      <c r="N1801" s="203"/>
      <c r="O1801" s="203"/>
      <c r="P1801" s="203"/>
      <c r="Q1801" s="203"/>
      <c r="R1801" s="203"/>
    </row>
    <row r="1802" spans="1:18" s="28" customFormat="1" ht="51" hidden="1" customHeight="1">
      <c r="A1802" s="139"/>
      <c r="B1802" s="149"/>
      <c r="C1802" s="84"/>
      <c r="D1802" s="84"/>
      <c r="E1802" s="84"/>
      <c r="F1802" s="84"/>
      <c r="G1802" s="87"/>
      <c r="H1802" s="87"/>
      <c r="I1802" s="87"/>
      <c r="J1802" s="177"/>
      <c r="K1802" s="204"/>
      <c r="L1802" s="204"/>
      <c r="M1802" s="204"/>
      <c r="N1802" s="204"/>
      <c r="O1802" s="204"/>
      <c r="P1802" s="204"/>
      <c r="Q1802" s="204"/>
      <c r="R1802" s="204"/>
    </row>
    <row r="1803" spans="1:18" s="32" customFormat="1" ht="28.5" hidden="1" customHeight="1">
      <c r="A1803" s="82"/>
      <c r="B1803" s="149"/>
      <c r="C1803" s="84"/>
      <c r="D1803" s="84"/>
      <c r="E1803" s="84"/>
      <c r="F1803" s="84"/>
      <c r="G1803" s="87"/>
      <c r="H1803" s="87"/>
      <c r="I1803" s="87"/>
      <c r="J1803" s="177"/>
      <c r="K1803" s="203"/>
      <c r="L1803" s="203"/>
      <c r="M1803" s="203"/>
      <c r="N1803" s="203"/>
      <c r="O1803" s="203"/>
      <c r="P1803" s="203"/>
      <c r="Q1803" s="203"/>
      <c r="R1803" s="203"/>
    </row>
    <row r="1804" spans="1:18" s="32" customFormat="1" hidden="1">
      <c r="A1804" s="82"/>
      <c r="B1804" s="149"/>
      <c r="C1804" s="84"/>
      <c r="D1804" s="84"/>
      <c r="E1804" s="84"/>
      <c r="F1804" s="84"/>
      <c r="G1804" s="87"/>
      <c r="H1804" s="87"/>
      <c r="I1804" s="87"/>
      <c r="J1804" s="177"/>
      <c r="K1804" s="205"/>
      <c r="L1804" s="203"/>
      <c r="M1804" s="203"/>
      <c r="N1804" s="203"/>
      <c r="O1804" s="203"/>
      <c r="P1804" s="203"/>
      <c r="Q1804" s="203"/>
      <c r="R1804" s="203"/>
    </row>
    <row r="1805" spans="1:18" s="28" customFormat="1" ht="51" hidden="1" customHeight="1">
      <c r="A1805" s="139"/>
      <c r="B1805" s="149"/>
      <c r="C1805" s="84"/>
      <c r="D1805" s="84"/>
      <c r="E1805" s="84"/>
      <c r="F1805" s="84"/>
      <c r="G1805" s="87"/>
      <c r="H1805" s="87"/>
      <c r="I1805" s="87"/>
      <c r="J1805" s="177"/>
      <c r="K1805" s="204"/>
      <c r="L1805" s="204"/>
      <c r="M1805" s="204"/>
      <c r="N1805" s="204"/>
      <c r="O1805" s="204"/>
      <c r="P1805" s="204"/>
      <c r="Q1805" s="204"/>
      <c r="R1805" s="204"/>
    </row>
    <row r="1806" spans="1:18" s="32" customFormat="1" ht="28.5" hidden="1" customHeight="1">
      <c r="A1806" s="82"/>
      <c r="B1806" s="149"/>
      <c r="C1806" s="84"/>
      <c r="D1806" s="84"/>
      <c r="E1806" s="84"/>
      <c r="F1806" s="84"/>
      <c r="G1806" s="87"/>
      <c r="H1806" s="87"/>
      <c r="I1806" s="87"/>
      <c r="J1806" s="177"/>
      <c r="K1806" s="203"/>
      <c r="L1806" s="203"/>
      <c r="M1806" s="203"/>
      <c r="N1806" s="203"/>
      <c r="O1806" s="203"/>
      <c r="P1806" s="203"/>
      <c r="Q1806" s="203"/>
      <c r="R1806" s="203"/>
    </row>
    <row r="1807" spans="1:18" s="32" customFormat="1" hidden="1">
      <c r="A1807" s="82"/>
      <c r="B1807" s="149"/>
      <c r="C1807" s="84"/>
      <c r="D1807" s="84"/>
      <c r="E1807" s="84"/>
      <c r="F1807" s="84"/>
      <c r="G1807" s="87"/>
      <c r="H1807" s="87"/>
      <c r="I1807" s="87"/>
      <c r="J1807" s="177"/>
      <c r="K1807" s="205"/>
      <c r="L1807" s="203"/>
      <c r="M1807" s="203"/>
      <c r="N1807" s="203"/>
      <c r="O1807" s="203"/>
      <c r="P1807" s="203"/>
      <c r="Q1807" s="203"/>
      <c r="R1807" s="203"/>
    </row>
    <row r="1808" spans="1:18" ht="25.5">
      <c r="A1808" s="134" t="s">
        <v>300</v>
      </c>
      <c r="B1808" s="273">
        <v>793</v>
      </c>
      <c r="C1808" s="270" t="s">
        <v>23</v>
      </c>
      <c r="D1808" s="270"/>
      <c r="E1808" s="270"/>
      <c r="F1808" s="270"/>
      <c r="G1808" s="267">
        <f t="shared" ref="G1808:G1813" si="465">G1809</f>
        <v>300950.79999999981</v>
      </c>
      <c r="H1808" s="267">
        <f t="shared" ref="H1808:I1813" si="466">H1809</f>
        <v>5130000</v>
      </c>
      <c r="I1808" s="267">
        <f t="shared" si="466"/>
        <v>5130000</v>
      </c>
      <c r="J1808" s="191"/>
    </row>
    <row r="1809" spans="1:18" ht="28.5" customHeight="1">
      <c r="A1809" s="135" t="s">
        <v>301</v>
      </c>
      <c r="B1809" s="149">
        <v>793</v>
      </c>
      <c r="C1809" s="84" t="s">
        <v>23</v>
      </c>
      <c r="D1809" s="84" t="s">
        <v>19</v>
      </c>
      <c r="E1809" s="156"/>
      <c r="F1809" s="156"/>
      <c r="G1809" s="87">
        <f t="shared" si="465"/>
        <v>300950.79999999981</v>
      </c>
      <c r="H1809" s="87">
        <f t="shared" si="466"/>
        <v>5130000</v>
      </c>
      <c r="I1809" s="87">
        <f t="shared" si="466"/>
        <v>5130000</v>
      </c>
      <c r="J1809" s="177"/>
    </row>
    <row r="1810" spans="1:18" s="28" customFormat="1" ht="38.25">
      <c r="A1810" s="82" t="s">
        <v>442</v>
      </c>
      <c r="B1810" s="149">
        <v>793</v>
      </c>
      <c r="C1810" s="84" t="s">
        <v>23</v>
      </c>
      <c r="D1810" s="84" t="s">
        <v>19</v>
      </c>
      <c r="E1810" s="84" t="s">
        <v>229</v>
      </c>
      <c r="F1810" s="168"/>
      <c r="G1810" s="87">
        <f t="shared" si="465"/>
        <v>300950.79999999981</v>
      </c>
      <c r="H1810" s="87">
        <f t="shared" si="466"/>
        <v>5130000</v>
      </c>
      <c r="I1810" s="87">
        <f t="shared" si="466"/>
        <v>5130000</v>
      </c>
      <c r="J1810" s="177"/>
      <c r="K1810" s="204"/>
      <c r="L1810" s="204"/>
      <c r="M1810" s="204"/>
      <c r="N1810" s="204"/>
      <c r="O1810" s="204"/>
      <c r="P1810" s="204"/>
      <c r="Q1810" s="204"/>
      <c r="R1810" s="204"/>
    </row>
    <row r="1811" spans="1:18" s="28" customFormat="1" ht="25.5">
      <c r="A1811" s="82" t="s">
        <v>302</v>
      </c>
      <c r="B1811" s="149">
        <v>793</v>
      </c>
      <c r="C1811" s="84" t="s">
        <v>23</v>
      </c>
      <c r="D1811" s="84" t="s">
        <v>19</v>
      </c>
      <c r="E1811" s="84" t="s">
        <v>235</v>
      </c>
      <c r="F1811" s="168"/>
      <c r="G1811" s="87">
        <f t="shared" si="465"/>
        <v>300950.79999999981</v>
      </c>
      <c r="H1811" s="87">
        <f t="shared" si="466"/>
        <v>5130000</v>
      </c>
      <c r="I1811" s="87">
        <f t="shared" si="466"/>
        <v>5130000</v>
      </c>
      <c r="J1811" s="177"/>
      <c r="K1811" s="204"/>
      <c r="L1811" s="204"/>
      <c r="M1811" s="204"/>
      <c r="N1811" s="204"/>
      <c r="O1811" s="204"/>
      <c r="P1811" s="204"/>
      <c r="Q1811" s="204"/>
      <c r="R1811" s="204"/>
    </row>
    <row r="1812" spans="1:18">
      <c r="A1812" s="82" t="s">
        <v>303</v>
      </c>
      <c r="B1812" s="149">
        <v>793</v>
      </c>
      <c r="C1812" s="84" t="s">
        <v>23</v>
      </c>
      <c r="D1812" s="84" t="s">
        <v>19</v>
      </c>
      <c r="E1812" s="84" t="s">
        <v>236</v>
      </c>
      <c r="F1812" s="84"/>
      <c r="G1812" s="87">
        <f t="shared" si="465"/>
        <v>300950.79999999981</v>
      </c>
      <c r="H1812" s="87">
        <f t="shared" si="466"/>
        <v>5130000</v>
      </c>
      <c r="I1812" s="87">
        <f t="shared" si="466"/>
        <v>5130000</v>
      </c>
      <c r="J1812" s="177"/>
    </row>
    <row r="1813" spans="1:18" ht="25.5">
      <c r="A1813" s="82" t="s">
        <v>304</v>
      </c>
      <c r="B1813" s="149">
        <v>793</v>
      </c>
      <c r="C1813" s="84" t="s">
        <v>23</v>
      </c>
      <c r="D1813" s="84" t="s">
        <v>19</v>
      </c>
      <c r="E1813" s="84" t="s">
        <v>236</v>
      </c>
      <c r="F1813" s="84" t="s">
        <v>305</v>
      </c>
      <c r="G1813" s="87">
        <f t="shared" si="465"/>
        <v>300950.79999999981</v>
      </c>
      <c r="H1813" s="87">
        <f t="shared" si="466"/>
        <v>5130000</v>
      </c>
      <c r="I1813" s="87">
        <f t="shared" si="466"/>
        <v>5130000</v>
      </c>
      <c r="J1813" s="177"/>
    </row>
    <row r="1814" spans="1:18">
      <c r="A1814" s="82" t="s">
        <v>306</v>
      </c>
      <c r="B1814" s="149">
        <v>793</v>
      </c>
      <c r="C1814" s="84" t="s">
        <v>23</v>
      </c>
      <c r="D1814" s="84" t="s">
        <v>19</v>
      </c>
      <c r="E1814" s="84" t="s">
        <v>236</v>
      </c>
      <c r="F1814" s="84" t="s">
        <v>307</v>
      </c>
      <c r="G1814" s="87">
        <f>5130000-4829049.2</f>
        <v>300950.79999999981</v>
      </c>
      <c r="H1814" s="87">
        <v>5130000</v>
      </c>
      <c r="I1814" s="87">
        <v>5130000</v>
      </c>
      <c r="J1814" s="177"/>
    </row>
    <row r="1815" spans="1:18" s="124" customFormat="1">
      <c r="A1815" s="282" t="s">
        <v>74</v>
      </c>
      <c r="B1815" s="273"/>
      <c r="C1815" s="162"/>
      <c r="D1815" s="162"/>
      <c r="E1815" s="162"/>
      <c r="F1815" s="162"/>
      <c r="G1815" s="96">
        <f>G1139++G1292+G1377+G1710+G1465+G1808+G1485+G1683+G1781+G1659+G1704</f>
        <v>333688915.79000002</v>
      </c>
      <c r="H1815" s="96">
        <f>H1139++H1292+H1377+H1710+H1465+H1808+H1485+H1683+H1781+H1659</f>
        <v>140255816.69</v>
      </c>
      <c r="I1815" s="96">
        <f>I1139++I1292+I1377+I1710+I1465+I1808+I1485+I1683+I1781+I1659</f>
        <v>363688966.15999997</v>
      </c>
      <c r="J1815" s="192"/>
      <c r="K1815" s="208"/>
      <c r="L1815" s="208"/>
      <c r="M1815" s="207"/>
      <c r="N1815" s="207"/>
      <c r="O1815" s="207"/>
      <c r="P1815" s="207"/>
      <c r="Q1815" s="208"/>
      <c r="R1815" s="207"/>
    </row>
    <row r="1816" spans="1:18" s="124" customFormat="1" hidden="1">
      <c r="A1816" s="282"/>
      <c r="B1816" s="273"/>
      <c r="C1816" s="162"/>
      <c r="D1816" s="162"/>
      <c r="E1816" s="162"/>
      <c r="F1816" s="162"/>
      <c r="G1816" s="96"/>
      <c r="H1816" s="96"/>
      <c r="I1816" s="96"/>
      <c r="J1816" s="192"/>
      <c r="K1816" s="208"/>
      <c r="L1816" s="208"/>
      <c r="M1816" s="207"/>
      <c r="N1816" s="207"/>
      <c r="O1816" s="207"/>
      <c r="P1816" s="207"/>
      <c r="Q1816" s="208"/>
      <c r="R1816" s="207"/>
    </row>
    <row r="1817" spans="1:18" s="124" customFormat="1" hidden="1">
      <c r="A1817" s="282"/>
      <c r="B1817" s="273"/>
      <c r="C1817" s="162"/>
      <c r="D1817" s="162"/>
      <c r="E1817" s="162"/>
      <c r="F1817" s="162"/>
      <c r="G1817" s="96"/>
      <c r="H1817" s="96"/>
      <c r="I1817" s="96"/>
      <c r="J1817" s="192"/>
      <c r="K1817" s="208"/>
      <c r="L1817" s="208"/>
      <c r="M1817" s="207"/>
      <c r="N1817" s="207"/>
      <c r="O1817" s="207"/>
      <c r="P1817" s="208"/>
      <c r="Q1817" s="208"/>
      <c r="R1817" s="207"/>
    </row>
    <row r="1818" spans="1:18" s="124" customFormat="1" hidden="1">
      <c r="A1818" s="282"/>
      <c r="B1818" s="273"/>
      <c r="C1818" s="162"/>
      <c r="D1818" s="162"/>
      <c r="E1818" s="162"/>
      <c r="F1818" s="162"/>
      <c r="G1818" s="96"/>
      <c r="H1818" s="96"/>
      <c r="I1818" s="96"/>
      <c r="J1818" s="192"/>
      <c r="K1818" s="208"/>
      <c r="L1818" s="208"/>
      <c r="M1818" s="207"/>
      <c r="N1818" s="207"/>
      <c r="O1818" s="207"/>
      <c r="P1818" s="208"/>
      <c r="Q1818" s="208"/>
      <c r="R1818" s="207"/>
    </row>
    <row r="1819" spans="1:18" s="124" customFormat="1" hidden="1">
      <c r="A1819" s="282"/>
      <c r="B1819" s="273"/>
      <c r="C1819" s="162"/>
      <c r="D1819" s="162"/>
      <c r="E1819" s="162"/>
      <c r="F1819" s="162"/>
      <c r="G1819" s="96"/>
      <c r="H1819" s="96"/>
      <c r="I1819" s="96"/>
      <c r="J1819" s="192"/>
      <c r="K1819" s="208"/>
      <c r="L1819" s="208"/>
      <c r="M1819" s="207"/>
      <c r="N1819" s="207"/>
      <c r="O1819" s="207"/>
      <c r="P1819" s="207"/>
      <c r="Q1819" s="208"/>
      <c r="R1819" s="207"/>
    </row>
    <row r="1820" spans="1:18" s="124" customFormat="1" hidden="1">
      <c r="A1820" s="282"/>
      <c r="B1820" s="273"/>
      <c r="C1820" s="162"/>
      <c r="D1820" s="162"/>
      <c r="E1820" s="162"/>
      <c r="F1820" s="162"/>
      <c r="G1820" s="96"/>
      <c r="H1820" s="96"/>
      <c r="I1820" s="96"/>
      <c r="J1820" s="192"/>
      <c r="K1820" s="208"/>
      <c r="L1820" s="208"/>
      <c r="M1820" s="207"/>
      <c r="N1820" s="207"/>
      <c r="O1820" s="207"/>
      <c r="P1820" s="207"/>
      <c r="Q1820" s="208"/>
      <c r="R1820" s="207"/>
    </row>
    <row r="1821" spans="1:18" s="124" customFormat="1" hidden="1">
      <c r="A1821" s="282"/>
      <c r="B1821" s="273"/>
      <c r="C1821" s="162"/>
      <c r="D1821" s="162"/>
      <c r="E1821" s="162"/>
      <c r="F1821" s="162"/>
      <c r="G1821" s="96"/>
      <c r="H1821" s="96"/>
      <c r="I1821" s="96"/>
      <c r="J1821" s="192"/>
      <c r="K1821" s="208"/>
      <c r="L1821" s="208"/>
      <c r="M1821" s="207"/>
      <c r="N1821" s="207"/>
      <c r="O1821" s="207"/>
      <c r="P1821" s="207"/>
      <c r="Q1821" s="208"/>
      <c r="R1821" s="207"/>
    </row>
    <row r="1822" spans="1:18" s="124" customFormat="1" hidden="1">
      <c r="A1822" s="282"/>
      <c r="B1822" s="273"/>
      <c r="C1822" s="162"/>
      <c r="D1822" s="162"/>
      <c r="E1822" s="162"/>
      <c r="F1822" s="162"/>
      <c r="G1822" s="96"/>
      <c r="H1822" s="96"/>
      <c r="I1822" s="96"/>
      <c r="J1822" s="192"/>
      <c r="K1822" s="208"/>
      <c r="L1822" s="208"/>
      <c r="M1822" s="207"/>
      <c r="N1822" s="207"/>
      <c r="O1822" s="207"/>
      <c r="P1822" s="207"/>
      <c r="Q1822" s="208"/>
      <c r="R1822" s="207"/>
    </row>
    <row r="1823" spans="1:18" s="124" customFormat="1" hidden="1">
      <c r="A1823" s="282"/>
      <c r="B1823" s="273"/>
      <c r="C1823" s="162"/>
      <c r="D1823" s="162"/>
      <c r="E1823" s="162"/>
      <c r="F1823" s="162"/>
      <c r="G1823" s="289"/>
      <c r="H1823" s="96"/>
      <c r="I1823" s="96"/>
      <c r="J1823" s="192"/>
      <c r="K1823" s="208"/>
      <c r="L1823" s="208"/>
      <c r="M1823" s="207"/>
      <c r="N1823" s="207"/>
      <c r="O1823" s="207"/>
      <c r="P1823" s="207"/>
      <c r="Q1823" s="208"/>
      <c r="R1823" s="207"/>
    </row>
    <row r="1824" spans="1:18" s="124" customFormat="1" hidden="1">
      <c r="A1824" s="282"/>
      <c r="B1824" s="273"/>
      <c r="C1824" s="162"/>
      <c r="D1824" s="162"/>
      <c r="E1824" s="162"/>
      <c r="F1824" s="162"/>
      <c r="G1824" s="96"/>
      <c r="H1824" s="96"/>
      <c r="I1824" s="96"/>
      <c r="J1824" s="192"/>
      <c r="K1824" s="208"/>
      <c r="L1824" s="208"/>
      <c r="M1824" s="207"/>
      <c r="N1824" s="207"/>
      <c r="O1824" s="207"/>
      <c r="P1824" s="207"/>
      <c r="Q1824" s="208"/>
      <c r="R1824" s="207"/>
    </row>
    <row r="1825" spans="1:18" s="90" customFormat="1" ht="25.5">
      <c r="A1825" s="321" t="s">
        <v>990</v>
      </c>
      <c r="B1825" s="318">
        <v>794</v>
      </c>
      <c r="C1825" s="325"/>
      <c r="D1825" s="325"/>
      <c r="E1825" s="325"/>
      <c r="F1825" s="325"/>
      <c r="G1825" s="324"/>
      <c r="H1825" s="324"/>
      <c r="I1825" s="324"/>
      <c r="J1825" s="197"/>
      <c r="K1825" s="209"/>
      <c r="L1825" s="186"/>
      <c r="M1825" s="186"/>
      <c r="N1825" s="186"/>
      <c r="O1825" s="186"/>
      <c r="P1825" s="186"/>
      <c r="Q1825" s="209"/>
      <c r="R1825" s="186"/>
    </row>
    <row r="1826" spans="1:18">
      <c r="A1826" s="290" t="s">
        <v>18</v>
      </c>
      <c r="B1826" s="273">
        <v>794</v>
      </c>
      <c r="C1826" s="270" t="s">
        <v>19</v>
      </c>
      <c r="D1826" s="270"/>
      <c r="E1826" s="270"/>
      <c r="F1826" s="270"/>
      <c r="G1826" s="267">
        <f>G1827+G2259</f>
        <v>3254488.71</v>
      </c>
      <c r="H1826" s="267">
        <f>H1827+H2259</f>
        <v>3280281.71</v>
      </c>
      <c r="I1826" s="267">
        <f>I1827+I2259</f>
        <v>3306331.71</v>
      </c>
      <c r="J1826" s="191"/>
    </row>
    <row r="1827" spans="1:18" ht="38.25">
      <c r="A1827" s="82" t="s">
        <v>361</v>
      </c>
      <c r="B1827" s="149">
        <v>794</v>
      </c>
      <c r="C1827" s="84" t="s">
        <v>19</v>
      </c>
      <c r="D1827" s="84" t="s">
        <v>70</v>
      </c>
      <c r="E1827" s="84"/>
      <c r="F1827" s="84"/>
      <c r="G1827" s="87">
        <f>G1828</f>
        <v>3254488.71</v>
      </c>
      <c r="H1827" s="87">
        <f>H1828</f>
        <v>3280281.71</v>
      </c>
      <c r="I1827" s="87">
        <f>I1828</f>
        <v>3306331.71</v>
      </c>
      <c r="J1827" s="177"/>
      <c r="K1827" s="209"/>
      <c r="L1827" s="209"/>
    </row>
    <row r="1828" spans="1:18" s="46" customFormat="1">
      <c r="A1828" s="82" t="s">
        <v>362</v>
      </c>
      <c r="B1828" s="149">
        <v>794</v>
      </c>
      <c r="C1828" s="84" t="s">
        <v>19</v>
      </c>
      <c r="D1828" s="84" t="s">
        <v>70</v>
      </c>
      <c r="E1828" s="84" t="s">
        <v>263</v>
      </c>
      <c r="F1828" s="84"/>
      <c r="G1828" s="87">
        <f>G1829+G1833+G1837</f>
        <v>3254488.71</v>
      </c>
      <c r="H1828" s="87">
        <f>H1829+H1833+H1837</f>
        <v>3280281.71</v>
      </c>
      <c r="I1828" s="87">
        <f>I1829+I1833+I1837</f>
        <v>3306331.71</v>
      </c>
      <c r="J1828" s="177"/>
      <c r="K1828" s="222"/>
      <c r="L1828" s="222"/>
      <c r="M1828" s="222"/>
      <c r="N1828" s="222"/>
      <c r="O1828" s="222"/>
      <c r="P1828" s="222"/>
      <c r="Q1828" s="222"/>
      <c r="R1828" s="222"/>
    </row>
    <row r="1829" spans="1:18" s="33" customFormat="1" ht="25.5">
      <c r="A1829" s="82" t="s">
        <v>363</v>
      </c>
      <c r="B1829" s="149">
        <v>794</v>
      </c>
      <c r="C1829" s="84" t="s">
        <v>19</v>
      </c>
      <c r="D1829" s="84" t="s">
        <v>70</v>
      </c>
      <c r="E1829" s="84" t="s">
        <v>264</v>
      </c>
      <c r="F1829" s="168"/>
      <c r="G1829" s="87">
        <f t="shared" ref="G1829:I1831" si="467">G1830</f>
        <v>1575485.85</v>
      </c>
      <c r="H1829" s="87">
        <f t="shared" si="467"/>
        <v>1187858</v>
      </c>
      <c r="I1829" s="87">
        <f t="shared" si="467"/>
        <v>1199736</v>
      </c>
      <c r="J1829" s="177"/>
      <c r="K1829" s="211"/>
      <c r="L1829" s="211"/>
      <c r="M1829" s="211"/>
      <c r="N1829" s="211"/>
      <c r="O1829" s="211"/>
      <c r="P1829" s="211"/>
      <c r="Q1829" s="211"/>
      <c r="R1829" s="211"/>
    </row>
    <row r="1830" spans="1:18" s="33" customFormat="1" ht="25.5">
      <c r="A1830" s="82" t="s">
        <v>76</v>
      </c>
      <c r="B1830" s="149">
        <v>794</v>
      </c>
      <c r="C1830" s="84" t="s">
        <v>19</v>
      </c>
      <c r="D1830" s="84" t="s">
        <v>70</v>
      </c>
      <c r="E1830" s="84" t="s">
        <v>265</v>
      </c>
      <c r="F1830" s="84"/>
      <c r="G1830" s="87">
        <f t="shared" si="467"/>
        <v>1575485.85</v>
      </c>
      <c r="H1830" s="87">
        <f t="shared" si="467"/>
        <v>1187858</v>
      </c>
      <c r="I1830" s="87">
        <f t="shared" si="467"/>
        <v>1199736</v>
      </c>
      <c r="J1830" s="177"/>
      <c r="K1830" s="211"/>
      <c r="L1830" s="211"/>
      <c r="M1830" s="211"/>
      <c r="N1830" s="211"/>
      <c r="O1830" s="211"/>
      <c r="P1830" s="211"/>
      <c r="Q1830" s="211"/>
      <c r="R1830" s="211"/>
    </row>
    <row r="1831" spans="1:18" s="33" customFormat="1" ht="63.75">
      <c r="A1831" s="146" t="s">
        <v>55</v>
      </c>
      <c r="B1831" s="149">
        <v>794</v>
      </c>
      <c r="C1831" s="84" t="s">
        <v>19</v>
      </c>
      <c r="D1831" s="84" t="s">
        <v>70</v>
      </c>
      <c r="E1831" s="84" t="s">
        <v>265</v>
      </c>
      <c r="F1831" s="84" t="s">
        <v>58</v>
      </c>
      <c r="G1831" s="87">
        <f t="shared" si="467"/>
        <v>1575485.85</v>
      </c>
      <c r="H1831" s="87">
        <f t="shared" si="467"/>
        <v>1187858</v>
      </c>
      <c r="I1831" s="87">
        <f t="shared" si="467"/>
        <v>1199736</v>
      </c>
      <c r="J1831" s="177"/>
      <c r="K1831" s="211"/>
      <c r="L1831" s="211"/>
      <c r="M1831" s="211"/>
      <c r="N1831" s="211"/>
      <c r="O1831" s="211"/>
      <c r="P1831" s="211"/>
      <c r="Q1831" s="211"/>
      <c r="R1831" s="211"/>
    </row>
    <row r="1832" spans="1:18" ht="25.5">
      <c r="A1832" s="146" t="s">
        <v>56</v>
      </c>
      <c r="B1832" s="149">
        <v>794</v>
      </c>
      <c r="C1832" s="84" t="s">
        <v>19</v>
      </c>
      <c r="D1832" s="84" t="s">
        <v>70</v>
      </c>
      <c r="E1832" s="84" t="s">
        <v>265</v>
      </c>
      <c r="F1832" s="84" t="s">
        <v>59</v>
      </c>
      <c r="G1832" s="87">
        <f>1176097+310947.04+88441.81</f>
        <v>1575485.85</v>
      </c>
      <c r="H1832" s="87">
        <f>912333+275525</f>
        <v>1187858</v>
      </c>
      <c r="I1832" s="87">
        <f>921456+278280</f>
        <v>1199736</v>
      </c>
      <c r="J1832" s="177"/>
    </row>
    <row r="1833" spans="1:18" s="33" customFormat="1" ht="25.5">
      <c r="A1833" s="82" t="s">
        <v>364</v>
      </c>
      <c r="B1833" s="149">
        <v>794</v>
      </c>
      <c r="C1833" s="84" t="s">
        <v>19</v>
      </c>
      <c r="D1833" s="84" t="s">
        <v>70</v>
      </c>
      <c r="E1833" s="84" t="s">
        <v>266</v>
      </c>
      <c r="F1833" s="168"/>
      <c r="G1833" s="87">
        <f t="shared" ref="G1833:I1835" si="468">G1834</f>
        <v>165512</v>
      </c>
      <c r="H1833" s="87">
        <f t="shared" si="468"/>
        <v>505512</v>
      </c>
      <c r="I1833" s="87">
        <f t="shared" si="468"/>
        <v>505512</v>
      </c>
      <c r="J1833" s="177"/>
      <c r="K1833" s="211"/>
      <c r="L1833" s="211"/>
      <c r="M1833" s="211"/>
      <c r="N1833" s="211"/>
      <c r="O1833" s="211"/>
      <c r="P1833" s="211"/>
      <c r="Q1833" s="211"/>
      <c r="R1833" s="211"/>
    </row>
    <row r="1834" spans="1:18" s="33" customFormat="1" ht="25.5">
      <c r="A1834" s="82" t="s">
        <v>76</v>
      </c>
      <c r="B1834" s="149">
        <v>794</v>
      </c>
      <c r="C1834" s="84" t="s">
        <v>19</v>
      </c>
      <c r="D1834" s="84" t="s">
        <v>70</v>
      </c>
      <c r="E1834" s="84" t="s">
        <v>267</v>
      </c>
      <c r="F1834" s="84"/>
      <c r="G1834" s="87">
        <f>G1835</f>
        <v>165512</v>
      </c>
      <c r="H1834" s="87">
        <f t="shared" si="468"/>
        <v>505512</v>
      </c>
      <c r="I1834" s="87">
        <f t="shared" si="468"/>
        <v>505512</v>
      </c>
      <c r="J1834" s="177"/>
      <c r="K1834" s="211"/>
      <c r="L1834" s="211"/>
      <c r="M1834" s="211"/>
      <c r="N1834" s="211"/>
      <c r="O1834" s="211"/>
      <c r="P1834" s="211"/>
      <c r="Q1834" s="211"/>
      <c r="R1834" s="211"/>
    </row>
    <row r="1835" spans="1:18" s="33" customFormat="1" ht="63.75">
      <c r="A1835" s="146" t="s">
        <v>55</v>
      </c>
      <c r="B1835" s="149">
        <v>794</v>
      </c>
      <c r="C1835" s="84" t="s">
        <v>19</v>
      </c>
      <c r="D1835" s="84" t="s">
        <v>70</v>
      </c>
      <c r="E1835" s="84" t="s">
        <v>267</v>
      </c>
      <c r="F1835" s="84" t="s">
        <v>58</v>
      </c>
      <c r="G1835" s="87">
        <f t="shared" si="468"/>
        <v>165512</v>
      </c>
      <c r="H1835" s="87">
        <f t="shared" si="468"/>
        <v>505512</v>
      </c>
      <c r="I1835" s="87">
        <f t="shared" si="468"/>
        <v>505512</v>
      </c>
      <c r="J1835" s="177"/>
      <c r="K1835" s="221"/>
      <c r="L1835" s="211"/>
      <c r="M1835" s="211"/>
      <c r="N1835" s="211"/>
      <c r="O1835" s="211"/>
      <c r="P1835" s="211"/>
      <c r="Q1835" s="211"/>
      <c r="R1835" s="211"/>
    </row>
    <row r="1836" spans="1:18" s="33" customFormat="1" ht="25.5">
      <c r="A1836" s="146" t="s">
        <v>56</v>
      </c>
      <c r="B1836" s="149">
        <v>794</v>
      </c>
      <c r="C1836" s="84" t="s">
        <v>19</v>
      </c>
      <c r="D1836" s="84" t="s">
        <v>70</v>
      </c>
      <c r="E1836" s="84" t="s">
        <v>267</v>
      </c>
      <c r="F1836" s="84" t="s">
        <v>59</v>
      </c>
      <c r="G1836" s="87">
        <f>505512-340000</f>
        <v>165512</v>
      </c>
      <c r="H1836" s="87">
        <f>505512</f>
        <v>505512</v>
      </c>
      <c r="I1836" s="87">
        <f>505512</f>
        <v>505512</v>
      </c>
      <c r="J1836" s="177"/>
      <c r="K1836" s="211"/>
      <c r="L1836" s="211"/>
      <c r="M1836" s="221"/>
      <c r="N1836" s="211"/>
      <c r="O1836" s="211"/>
      <c r="P1836" s="211"/>
      <c r="Q1836" s="211"/>
      <c r="R1836" s="211"/>
    </row>
    <row r="1837" spans="1:18" ht="25.5">
      <c r="A1837" s="146" t="s">
        <v>365</v>
      </c>
      <c r="B1837" s="149">
        <v>794</v>
      </c>
      <c r="C1837" s="84" t="s">
        <v>19</v>
      </c>
      <c r="D1837" s="84" t="s">
        <v>70</v>
      </c>
      <c r="E1837" s="84" t="s">
        <v>268</v>
      </c>
      <c r="F1837" s="84"/>
      <c r="G1837" s="87">
        <f>G1838</f>
        <v>1513490.8599999999</v>
      </c>
      <c r="H1837" s="87">
        <f>H1838</f>
        <v>1586911.71</v>
      </c>
      <c r="I1837" s="87">
        <f>I1838</f>
        <v>1601083.71</v>
      </c>
      <c r="J1837" s="177"/>
      <c r="Q1837" s="211"/>
    </row>
    <row r="1838" spans="1:18" s="33" customFormat="1" ht="25.5">
      <c r="A1838" s="82" t="s">
        <v>76</v>
      </c>
      <c r="B1838" s="149">
        <v>794</v>
      </c>
      <c r="C1838" s="84" t="s">
        <v>19</v>
      </c>
      <c r="D1838" s="84" t="s">
        <v>70</v>
      </c>
      <c r="E1838" s="84" t="s">
        <v>269</v>
      </c>
      <c r="F1838" s="168"/>
      <c r="G1838" s="87">
        <f>G1839+G1841</f>
        <v>1513490.8599999999</v>
      </c>
      <c r="H1838" s="87">
        <f t="shared" ref="H1838:I1838" si="469">H1839+H1841</f>
        <v>1586911.71</v>
      </c>
      <c r="I1838" s="87">
        <f t="shared" si="469"/>
        <v>1601083.71</v>
      </c>
      <c r="J1838" s="177"/>
      <c r="K1838" s="211"/>
      <c r="L1838" s="211"/>
      <c r="M1838" s="211"/>
      <c r="N1838" s="211"/>
      <c r="O1838" s="211"/>
      <c r="P1838" s="211"/>
      <c r="Q1838" s="211"/>
      <c r="R1838" s="211"/>
    </row>
    <row r="1839" spans="1:18" ht="63.75">
      <c r="A1839" s="146" t="s">
        <v>55</v>
      </c>
      <c r="B1839" s="149">
        <v>794</v>
      </c>
      <c r="C1839" s="84" t="s">
        <v>19</v>
      </c>
      <c r="D1839" s="84" t="s">
        <v>70</v>
      </c>
      <c r="E1839" s="84" t="s">
        <v>269</v>
      </c>
      <c r="F1839" s="84" t="s">
        <v>58</v>
      </c>
      <c r="G1839" s="87">
        <f>G1840</f>
        <v>1168379.71</v>
      </c>
      <c r="H1839" s="87">
        <f>H1840</f>
        <v>1232411.71</v>
      </c>
      <c r="I1839" s="87">
        <f>I1840</f>
        <v>1246583.71</v>
      </c>
      <c r="J1839" s="177"/>
      <c r="Q1839" s="211"/>
    </row>
    <row r="1840" spans="1:18" ht="25.5">
      <c r="A1840" s="146" t="s">
        <v>56</v>
      </c>
      <c r="B1840" s="149">
        <v>794</v>
      </c>
      <c r="C1840" s="84" t="s">
        <v>19</v>
      </c>
      <c r="D1840" s="84" t="s">
        <v>70</v>
      </c>
      <c r="E1840" s="84" t="s">
        <v>269</v>
      </c>
      <c r="F1840" s="84" t="s">
        <v>59</v>
      </c>
      <c r="G1840" s="87">
        <f>1569173-350793.29-50000</f>
        <v>1168379.71</v>
      </c>
      <c r="H1840" s="87">
        <f>166000+1088483+328722-350793.29</f>
        <v>1232411.71</v>
      </c>
      <c r="I1840" s="87">
        <f>166000+1099368+332009-350793.29</f>
        <v>1246583.71</v>
      </c>
      <c r="J1840" s="177"/>
      <c r="Q1840" s="211"/>
    </row>
    <row r="1841" spans="1:18" ht="25.5">
      <c r="A1841" s="82" t="s">
        <v>36</v>
      </c>
      <c r="B1841" s="149">
        <v>794</v>
      </c>
      <c r="C1841" s="84" t="s">
        <v>19</v>
      </c>
      <c r="D1841" s="84" t="s">
        <v>70</v>
      </c>
      <c r="E1841" s="84" t="s">
        <v>269</v>
      </c>
      <c r="F1841" s="84" t="s">
        <v>37</v>
      </c>
      <c r="G1841" s="87">
        <f>G1842</f>
        <v>345111.15</v>
      </c>
      <c r="H1841" s="87">
        <f>H1842</f>
        <v>354500</v>
      </c>
      <c r="I1841" s="87">
        <f>I1842</f>
        <v>354500</v>
      </c>
      <c r="J1841" s="177"/>
      <c r="Q1841" s="211"/>
    </row>
    <row r="1842" spans="1:18" ht="25.5">
      <c r="A1842" s="82" t="s">
        <v>38</v>
      </c>
      <c r="B1842" s="149">
        <v>794</v>
      </c>
      <c r="C1842" s="84" t="s">
        <v>19</v>
      </c>
      <c r="D1842" s="84" t="s">
        <v>70</v>
      </c>
      <c r="E1842" s="84" t="s">
        <v>269</v>
      </c>
      <c r="F1842" s="84" t="s">
        <v>39</v>
      </c>
      <c r="G1842" s="87">
        <f>354500-9388.85</f>
        <v>345111.15</v>
      </c>
      <c r="H1842" s="87">
        <v>354500</v>
      </c>
      <c r="I1842" s="87">
        <v>354500</v>
      </c>
      <c r="J1842" s="177"/>
      <c r="Q1842" s="211"/>
    </row>
    <row r="1843" spans="1:18" s="124" customFormat="1">
      <c r="A1843" s="282" t="s">
        <v>74</v>
      </c>
      <c r="B1843" s="273"/>
      <c r="C1843" s="162"/>
      <c r="D1843" s="162"/>
      <c r="E1843" s="162"/>
      <c r="F1843" s="162"/>
      <c r="G1843" s="96">
        <f>G1826</f>
        <v>3254488.71</v>
      </c>
      <c r="H1843" s="96">
        <f t="shared" ref="H1843:I1843" si="470">H1826</f>
        <v>3280281.71</v>
      </c>
      <c r="I1843" s="96">
        <f t="shared" si="470"/>
        <v>3306331.71</v>
      </c>
      <c r="J1843" s="192"/>
      <c r="K1843" s="207"/>
      <c r="L1843" s="207"/>
      <c r="M1843" s="207"/>
      <c r="N1843" s="207"/>
      <c r="O1843" s="207"/>
      <c r="P1843" s="207"/>
      <c r="Q1843" s="207"/>
      <c r="R1843" s="207"/>
    </row>
    <row r="1844" spans="1:18" s="124" customFormat="1" ht="38.25" hidden="1">
      <c r="A1844" s="277" t="s">
        <v>401</v>
      </c>
      <c r="B1844" s="273">
        <v>795</v>
      </c>
      <c r="C1844" s="162"/>
      <c r="D1844" s="162"/>
      <c r="E1844" s="162"/>
      <c r="F1844" s="162"/>
      <c r="G1844" s="96"/>
      <c r="H1844" s="96"/>
      <c r="I1844" s="96"/>
      <c r="J1844" s="192"/>
      <c r="K1844" s="207"/>
      <c r="L1844" s="207"/>
      <c r="M1844" s="207"/>
      <c r="N1844" s="207"/>
      <c r="O1844" s="207"/>
      <c r="P1844" s="207"/>
      <c r="Q1844" s="207"/>
      <c r="R1844" s="207"/>
    </row>
    <row r="1845" spans="1:18" hidden="1">
      <c r="A1845" s="275" t="s">
        <v>18</v>
      </c>
      <c r="B1845" s="273">
        <v>795</v>
      </c>
      <c r="C1845" s="270" t="s">
        <v>19</v>
      </c>
      <c r="D1845" s="270"/>
      <c r="E1845" s="270"/>
      <c r="F1845" s="270"/>
      <c r="G1845" s="267">
        <f>G1846</f>
        <v>0</v>
      </c>
      <c r="H1845" s="267">
        <f t="shared" ref="H1845:I1845" si="471">H1846</f>
        <v>0</v>
      </c>
      <c r="I1845" s="267">
        <f t="shared" si="471"/>
        <v>0</v>
      </c>
      <c r="J1845" s="191"/>
      <c r="K1845" s="207"/>
      <c r="L1845" s="207"/>
    </row>
    <row r="1846" spans="1:18" hidden="1">
      <c r="A1846" s="137" t="s">
        <v>22</v>
      </c>
      <c r="B1846" s="149">
        <v>795</v>
      </c>
      <c r="C1846" s="84" t="s">
        <v>19</v>
      </c>
      <c r="D1846" s="84" t="s">
        <v>23</v>
      </c>
      <c r="E1846" s="84"/>
      <c r="F1846" s="84"/>
      <c r="G1846" s="87">
        <f>G1847</f>
        <v>0</v>
      </c>
      <c r="H1846" s="87">
        <f t="shared" ref="H1846:I1846" si="472">H1847</f>
        <v>0</v>
      </c>
      <c r="I1846" s="87">
        <f t="shared" si="472"/>
        <v>0</v>
      </c>
      <c r="J1846" s="177"/>
      <c r="K1846" s="207"/>
      <c r="L1846" s="207"/>
    </row>
    <row r="1847" spans="1:18" ht="25.5" hidden="1" customHeight="1">
      <c r="A1847" s="82" t="s">
        <v>164</v>
      </c>
      <c r="B1847" s="83">
        <v>795</v>
      </c>
      <c r="C1847" s="84" t="s">
        <v>19</v>
      </c>
      <c r="D1847" s="84" t="s">
        <v>23</v>
      </c>
      <c r="E1847" s="84" t="s">
        <v>210</v>
      </c>
      <c r="F1847" s="84"/>
      <c r="G1847" s="87">
        <f t="shared" ref="G1847:I1848" si="473">G1848</f>
        <v>0</v>
      </c>
      <c r="H1847" s="87">
        <f t="shared" si="473"/>
        <v>0</v>
      </c>
      <c r="I1847" s="87">
        <f t="shared" si="473"/>
        <v>0</v>
      </c>
      <c r="J1847" s="177"/>
      <c r="K1847" s="207"/>
      <c r="L1847" s="207"/>
    </row>
    <row r="1848" spans="1:18" ht="27" hidden="1" customHeight="1">
      <c r="A1848" s="82" t="s">
        <v>405</v>
      </c>
      <c r="B1848" s="83">
        <v>795</v>
      </c>
      <c r="C1848" s="84" t="s">
        <v>19</v>
      </c>
      <c r="D1848" s="84" t="s">
        <v>23</v>
      </c>
      <c r="E1848" s="84" t="s">
        <v>404</v>
      </c>
      <c r="F1848" s="84"/>
      <c r="G1848" s="87">
        <f t="shared" si="473"/>
        <v>0</v>
      </c>
      <c r="H1848" s="87">
        <f t="shared" si="473"/>
        <v>0</v>
      </c>
      <c r="I1848" s="87">
        <f t="shared" si="473"/>
        <v>0</v>
      </c>
      <c r="J1848" s="177"/>
      <c r="K1848" s="207"/>
      <c r="L1848" s="207"/>
    </row>
    <row r="1849" spans="1:18" ht="19.5" hidden="1" customHeight="1">
      <c r="A1849" s="82" t="s">
        <v>63</v>
      </c>
      <c r="B1849" s="83">
        <v>795</v>
      </c>
      <c r="C1849" s="84" t="s">
        <v>19</v>
      </c>
      <c r="D1849" s="84" t="s">
        <v>23</v>
      </c>
      <c r="E1849" s="84" t="s">
        <v>404</v>
      </c>
      <c r="F1849" s="84" t="s">
        <v>64</v>
      </c>
      <c r="G1849" s="87">
        <f>G1850</f>
        <v>0</v>
      </c>
      <c r="H1849" s="87">
        <v>0</v>
      </c>
      <c r="I1849" s="87">
        <v>0</v>
      </c>
      <c r="J1849" s="177"/>
      <c r="K1849" s="207"/>
      <c r="L1849" s="207"/>
    </row>
    <row r="1850" spans="1:18" ht="18.75" hidden="1" customHeight="1">
      <c r="A1850" s="82" t="s">
        <v>328</v>
      </c>
      <c r="B1850" s="83">
        <v>795</v>
      </c>
      <c r="C1850" s="84" t="s">
        <v>19</v>
      </c>
      <c r="D1850" s="84" t="s">
        <v>23</v>
      </c>
      <c r="E1850" s="84" t="s">
        <v>404</v>
      </c>
      <c r="F1850" s="84" t="s">
        <v>327</v>
      </c>
      <c r="G1850" s="87"/>
      <c r="H1850" s="87">
        <v>0</v>
      </c>
      <c r="I1850" s="87">
        <v>0</v>
      </c>
      <c r="J1850" s="177"/>
      <c r="K1850" s="207"/>
      <c r="L1850" s="207"/>
    </row>
    <row r="1851" spans="1:18" s="22" customFormat="1" hidden="1">
      <c r="A1851" s="268" t="s">
        <v>86</v>
      </c>
      <c r="B1851" s="273">
        <v>795</v>
      </c>
      <c r="C1851" s="162" t="s">
        <v>54</v>
      </c>
      <c r="D1851" s="162"/>
      <c r="E1851" s="162"/>
      <c r="F1851" s="162"/>
      <c r="G1851" s="96">
        <f>G1937+G1852</f>
        <v>0</v>
      </c>
      <c r="H1851" s="96">
        <f>H1937+H1852</f>
        <v>0</v>
      </c>
      <c r="I1851" s="96">
        <f>I1937+I1852</f>
        <v>0</v>
      </c>
      <c r="J1851" s="192"/>
      <c r="K1851" s="207"/>
      <c r="L1851" s="207"/>
      <c r="M1851" s="207"/>
      <c r="N1851" s="207"/>
      <c r="O1851" s="207"/>
      <c r="P1851" s="207"/>
      <c r="Q1851" s="207"/>
      <c r="R1851" s="207"/>
    </row>
    <row r="1852" spans="1:18" s="3" customFormat="1" hidden="1">
      <c r="A1852" s="291" t="s">
        <v>172</v>
      </c>
      <c r="B1852" s="273">
        <v>795</v>
      </c>
      <c r="C1852" s="156" t="s">
        <v>54</v>
      </c>
      <c r="D1852" s="156" t="s">
        <v>123</v>
      </c>
      <c r="E1852" s="156"/>
      <c r="F1852" s="156"/>
      <c r="G1852" s="157">
        <f>G1853+G1921+G1928+G1931</f>
        <v>0</v>
      </c>
      <c r="H1852" s="157">
        <f>H1853+H1921+H1925</f>
        <v>0</v>
      </c>
      <c r="I1852" s="157">
        <f>I1853+I1921</f>
        <v>0</v>
      </c>
      <c r="J1852" s="196"/>
      <c r="K1852" s="207"/>
      <c r="L1852" s="207"/>
      <c r="M1852" s="199"/>
      <c r="N1852" s="199"/>
      <c r="O1852" s="199"/>
      <c r="P1852" s="199"/>
      <c r="Q1852" s="199"/>
      <c r="R1852" s="199"/>
    </row>
    <row r="1853" spans="1:18" s="18" customFormat="1" ht="27" hidden="1" customHeight="1">
      <c r="A1853" s="82" t="s">
        <v>489</v>
      </c>
      <c r="B1853" s="83">
        <v>795</v>
      </c>
      <c r="C1853" s="84" t="s">
        <v>54</v>
      </c>
      <c r="D1853" s="84" t="s">
        <v>123</v>
      </c>
      <c r="E1853" s="84" t="s">
        <v>234</v>
      </c>
      <c r="F1853" s="84"/>
      <c r="G1853" s="87">
        <f>G1854+G1882+G1909+G1903</f>
        <v>0</v>
      </c>
      <c r="H1853" s="87">
        <f t="shared" ref="H1853:I1853" si="474">H1854+H1882+H1909+H1903</f>
        <v>0</v>
      </c>
      <c r="I1853" s="87">
        <f t="shared" si="474"/>
        <v>0</v>
      </c>
      <c r="J1853" s="177"/>
      <c r="K1853" s="196"/>
      <c r="L1853" s="196"/>
      <c r="M1853" s="177"/>
      <c r="N1853" s="177"/>
      <c r="O1853" s="177"/>
      <c r="P1853" s="200"/>
      <c r="Q1853" s="215"/>
      <c r="R1853" s="200"/>
    </row>
    <row r="1854" spans="1:18" s="18" customFormat="1" ht="75" hidden="1" customHeight="1">
      <c r="A1854" s="133" t="s">
        <v>389</v>
      </c>
      <c r="B1854" s="83">
        <v>795</v>
      </c>
      <c r="C1854" s="84" t="s">
        <v>54</v>
      </c>
      <c r="D1854" s="84" t="s">
        <v>123</v>
      </c>
      <c r="E1854" s="84" t="s">
        <v>101</v>
      </c>
      <c r="F1854" s="84"/>
      <c r="G1854" s="87">
        <f>G1858+G1861+G1872+G1867+G1864+G1879+G1855</f>
        <v>0</v>
      </c>
      <c r="H1854" s="87">
        <f t="shared" ref="H1854" si="475">H1858+H1861+H1872+H1867+H1864+H1879+H1855</f>
        <v>0</v>
      </c>
      <c r="I1854" s="87">
        <f>I1858+I1861+I1872+I1867+I1864+I1879+I1855</f>
        <v>0</v>
      </c>
      <c r="J1854" s="177"/>
      <c r="K1854" s="202"/>
      <c r="L1854" s="202"/>
      <c r="M1854" s="200"/>
      <c r="N1854" s="200"/>
      <c r="O1854" s="200"/>
      <c r="P1854" s="200"/>
      <c r="Q1854" s="215"/>
      <c r="R1854" s="200"/>
    </row>
    <row r="1855" spans="1:18" s="18" customFormat="1" ht="76.5" hidden="1" customHeight="1">
      <c r="A1855" s="133" t="s">
        <v>668</v>
      </c>
      <c r="B1855" s="83">
        <v>795</v>
      </c>
      <c r="C1855" s="84" t="s">
        <v>54</v>
      </c>
      <c r="D1855" s="84" t="s">
        <v>123</v>
      </c>
      <c r="E1855" s="84" t="s">
        <v>667</v>
      </c>
      <c r="F1855" s="84"/>
      <c r="G1855" s="87">
        <f t="shared" ref="G1855:I1856" si="476">G1856</f>
        <v>0</v>
      </c>
      <c r="H1855" s="87">
        <f t="shared" si="476"/>
        <v>0</v>
      </c>
      <c r="I1855" s="87">
        <f t="shared" si="476"/>
        <v>0</v>
      </c>
      <c r="J1855" s="177"/>
      <c r="K1855" s="202"/>
      <c r="L1855" s="202"/>
      <c r="M1855" s="200"/>
      <c r="N1855" s="200"/>
      <c r="O1855" s="200"/>
      <c r="P1855" s="200"/>
      <c r="Q1855" s="200"/>
      <c r="R1855" s="200"/>
    </row>
    <row r="1856" spans="1:18" s="18" customFormat="1" ht="15" hidden="1" customHeight="1">
      <c r="A1856" s="82" t="s">
        <v>323</v>
      </c>
      <c r="B1856" s="83">
        <v>795</v>
      </c>
      <c r="C1856" s="84" t="s">
        <v>54</v>
      </c>
      <c r="D1856" s="84" t="s">
        <v>123</v>
      </c>
      <c r="E1856" s="84" t="s">
        <v>667</v>
      </c>
      <c r="F1856" s="84" t="s">
        <v>37</v>
      </c>
      <c r="G1856" s="87">
        <f t="shared" si="476"/>
        <v>0</v>
      </c>
      <c r="H1856" s="87">
        <f t="shared" si="476"/>
        <v>0</v>
      </c>
      <c r="I1856" s="87">
        <f t="shared" si="476"/>
        <v>0</v>
      </c>
      <c r="J1856" s="177"/>
      <c r="K1856" s="202"/>
      <c r="L1856" s="202"/>
      <c r="M1856" s="200"/>
      <c r="N1856" s="200"/>
      <c r="O1856" s="200"/>
      <c r="P1856" s="200"/>
      <c r="Q1856" s="200"/>
      <c r="R1856" s="200"/>
    </row>
    <row r="1857" spans="1:18" s="18" customFormat="1" ht="32.25" hidden="1" customHeight="1">
      <c r="A1857" s="82" t="s">
        <v>38</v>
      </c>
      <c r="B1857" s="83">
        <v>795</v>
      </c>
      <c r="C1857" s="84" t="s">
        <v>54</v>
      </c>
      <c r="D1857" s="84" t="s">
        <v>123</v>
      </c>
      <c r="E1857" s="84" t="s">
        <v>667</v>
      </c>
      <c r="F1857" s="84" t="s">
        <v>39</v>
      </c>
      <c r="G1857" s="87"/>
      <c r="H1857" s="87"/>
      <c r="I1857" s="87"/>
      <c r="J1857" s="177"/>
      <c r="K1857" s="202"/>
      <c r="L1857" s="202"/>
      <c r="M1857" s="200"/>
      <c r="N1857" s="200"/>
      <c r="O1857" s="200"/>
      <c r="P1857" s="200"/>
      <c r="Q1857" s="200"/>
      <c r="R1857" s="200"/>
    </row>
    <row r="1858" spans="1:18" s="18" customFormat="1" ht="41.25" hidden="1" customHeight="1">
      <c r="A1858" s="133" t="s">
        <v>390</v>
      </c>
      <c r="B1858" s="83">
        <v>795</v>
      </c>
      <c r="C1858" s="84" t="s">
        <v>54</v>
      </c>
      <c r="D1858" s="84" t="s">
        <v>123</v>
      </c>
      <c r="E1858" s="84" t="s">
        <v>102</v>
      </c>
      <c r="F1858" s="84"/>
      <c r="G1858" s="87">
        <f t="shared" ref="G1858:I1859" si="477">G1859</f>
        <v>0</v>
      </c>
      <c r="H1858" s="87">
        <f t="shared" si="477"/>
        <v>0</v>
      </c>
      <c r="I1858" s="87">
        <f t="shared" si="477"/>
        <v>0</v>
      </c>
      <c r="J1858" s="177"/>
      <c r="K1858" s="202"/>
      <c r="L1858" s="202"/>
      <c r="M1858" s="200"/>
      <c r="N1858" s="200"/>
      <c r="O1858" s="200"/>
      <c r="P1858" s="200"/>
      <c r="Q1858" s="200"/>
      <c r="R1858" s="200"/>
    </row>
    <row r="1859" spans="1:18" s="18" customFormat="1" ht="15" hidden="1" customHeight="1">
      <c r="A1859" s="82" t="s">
        <v>323</v>
      </c>
      <c r="B1859" s="83">
        <v>795</v>
      </c>
      <c r="C1859" s="84" t="s">
        <v>54</v>
      </c>
      <c r="D1859" s="84" t="s">
        <v>123</v>
      </c>
      <c r="E1859" s="84" t="s">
        <v>102</v>
      </c>
      <c r="F1859" s="84" t="s">
        <v>37</v>
      </c>
      <c r="G1859" s="87">
        <f t="shared" si="477"/>
        <v>0</v>
      </c>
      <c r="H1859" s="87">
        <f t="shared" si="477"/>
        <v>0</v>
      </c>
      <c r="I1859" s="87">
        <f t="shared" si="477"/>
        <v>0</v>
      </c>
      <c r="J1859" s="177"/>
      <c r="K1859" s="202"/>
      <c r="L1859" s="202"/>
      <c r="M1859" s="200"/>
      <c r="N1859" s="200"/>
      <c r="O1859" s="200"/>
      <c r="P1859" s="200"/>
      <c r="Q1859" s="200"/>
      <c r="R1859" s="200"/>
    </row>
    <row r="1860" spans="1:18" s="18" customFormat="1" ht="32.25" hidden="1" customHeight="1">
      <c r="A1860" s="82" t="s">
        <v>38</v>
      </c>
      <c r="B1860" s="83">
        <v>795</v>
      </c>
      <c r="C1860" s="84" t="s">
        <v>54</v>
      </c>
      <c r="D1860" s="84" t="s">
        <v>123</v>
      </c>
      <c r="E1860" s="84" t="s">
        <v>102</v>
      </c>
      <c r="F1860" s="84" t="s">
        <v>39</v>
      </c>
      <c r="G1860" s="87"/>
      <c r="H1860" s="87"/>
      <c r="I1860" s="87"/>
      <c r="J1860" s="177"/>
      <c r="K1860" s="202"/>
      <c r="L1860" s="202"/>
      <c r="M1860" s="200"/>
      <c r="N1860" s="200"/>
      <c r="O1860" s="200"/>
      <c r="P1860" s="200"/>
      <c r="Q1860" s="200"/>
      <c r="R1860" s="200"/>
    </row>
    <row r="1861" spans="1:18" ht="63" hidden="1" customHeight="1">
      <c r="A1861" s="133" t="s">
        <v>389</v>
      </c>
      <c r="B1861" s="83">
        <v>795</v>
      </c>
      <c r="C1861" s="84" t="s">
        <v>54</v>
      </c>
      <c r="D1861" s="84" t="s">
        <v>123</v>
      </c>
      <c r="E1861" s="84" t="s">
        <v>132</v>
      </c>
      <c r="F1861" s="84"/>
      <c r="G1861" s="87">
        <f>G1862</f>
        <v>0</v>
      </c>
      <c r="H1861" s="87">
        <f t="shared" ref="H1861:I1861" si="478">H1862</f>
        <v>0</v>
      </c>
      <c r="I1861" s="87">
        <f t="shared" si="478"/>
        <v>0</v>
      </c>
      <c r="J1861" s="177"/>
      <c r="K1861" s="207"/>
      <c r="L1861" s="207"/>
      <c r="M1861" s="209"/>
    </row>
    <row r="1862" spans="1:18" ht="15" hidden="1" customHeight="1">
      <c r="A1862" s="82" t="s">
        <v>156</v>
      </c>
      <c r="B1862" s="83">
        <v>795</v>
      </c>
      <c r="C1862" s="84" t="s">
        <v>54</v>
      </c>
      <c r="D1862" s="84" t="s">
        <v>123</v>
      </c>
      <c r="E1862" s="84" t="s">
        <v>130</v>
      </c>
      <c r="F1862" s="84" t="s">
        <v>157</v>
      </c>
      <c r="G1862" s="87">
        <f>G1863</f>
        <v>0</v>
      </c>
      <c r="H1862" s="87">
        <f>H1863</f>
        <v>0</v>
      </c>
      <c r="I1862" s="87">
        <f>I1863</f>
        <v>0</v>
      </c>
      <c r="J1862" s="177"/>
      <c r="K1862" s="207"/>
      <c r="L1862" s="207"/>
    </row>
    <row r="1863" spans="1:18" ht="15" hidden="1" customHeight="1">
      <c r="A1863" s="82" t="s">
        <v>178</v>
      </c>
      <c r="B1863" s="83">
        <v>795</v>
      </c>
      <c r="C1863" s="84" t="s">
        <v>54</v>
      </c>
      <c r="D1863" s="84" t="s">
        <v>123</v>
      </c>
      <c r="E1863" s="84" t="s">
        <v>130</v>
      </c>
      <c r="F1863" s="84" t="s">
        <v>179</v>
      </c>
      <c r="G1863" s="87"/>
      <c r="H1863" s="87"/>
      <c r="I1863" s="87"/>
      <c r="J1863" s="177"/>
      <c r="K1863" s="207"/>
      <c r="L1863" s="207"/>
    </row>
    <row r="1864" spans="1:18" ht="81.75" hidden="1" customHeight="1">
      <c r="A1864" s="133" t="s">
        <v>421</v>
      </c>
      <c r="B1864" s="83">
        <v>795</v>
      </c>
      <c r="C1864" s="84" t="s">
        <v>54</v>
      </c>
      <c r="D1864" s="84" t="s">
        <v>123</v>
      </c>
      <c r="E1864" s="84" t="s">
        <v>133</v>
      </c>
      <c r="F1864" s="84"/>
      <c r="G1864" s="87">
        <f>G1865</f>
        <v>0</v>
      </c>
      <c r="H1864" s="87">
        <v>0</v>
      </c>
      <c r="I1864" s="87">
        <v>0</v>
      </c>
      <c r="J1864" s="177"/>
      <c r="K1864" s="207"/>
      <c r="L1864" s="207"/>
    </row>
    <row r="1865" spans="1:18" ht="24" hidden="1" customHeight="1">
      <c r="A1865" s="82" t="s">
        <v>323</v>
      </c>
      <c r="B1865" s="83">
        <v>795</v>
      </c>
      <c r="C1865" s="84" t="s">
        <v>54</v>
      </c>
      <c r="D1865" s="84" t="s">
        <v>123</v>
      </c>
      <c r="E1865" s="84" t="s">
        <v>131</v>
      </c>
      <c r="F1865" s="84" t="s">
        <v>37</v>
      </c>
      <c r="G1865" s="87">
        <f>G1866</f>
        <v>0</v>
      </c>
      <c r="H1865" s="87">
        <v>0</v>
      </c>
      <c r="I1865" s="87">
        <v>0</v>
      </c>
      <c r="J1865" s="177"/>
      <c r="K1865" s="207"/>
      <c r="L1865" s="207"/>
    </row>
    <row r="1866" spans="1:18" ht="41.25" hidden="1" customHeight="1">
      <c r="A1866" s="82" t="s">
        <v>38</v>
      </c>
      <c r="B1866" s="83">
        <v>795</v>
      </c>
      <c r="C1866" s="84" t="s">
        <v>54</v>
      </c>
      <c r="D1866" s="84" t="s">
        <v>123</v>
      </c>
      <c r="E1866" s="84" t="s">
        <v>131</v>
      </c>
      <c r="F1866" s="84" t="s">
        <v>39</v>
      </c>
      <c r="G1866" s="87"/>
      <c r="H1866" s="87">
        <v>0</v>
      </c>
      <c r="I1866" s="87">
        <v>0</v>
      </c>
      <c r="J1866" s="177"/>
      <c r="K1866" s="207"/>
      <c r="L1866" s="207"/>
    </row>
    <row r="1867" spans="1:18" ht="78" hidden="1" customHeight="1">
      <c r="A1867" s="133" t="s">
        <v>530</v>
      </c>
      <c r="B1867" s="83">
        <v>795</v>
      </c>
      <c r="C1867" s="84" t="s">
        <v>54</v>
      </c>
      <c r="D1867" s="84" t="s">
        <v>123</v>
      </c>
      <c r="E1867" s="84" t="s">
        <v>529</v>
      </c>
      <c r="F1867" s="84"/>
      <c r="G1867" s="87">
        <f>G1868+G1870</f>
        <v>0</v>
      </c>
      <c r="H1867" s="87">
        <v>0</v>
      </c>
      <c r="I1867" s="87">
        <v>0</v>
      </c>
      <c r="J1867" s="177"/>
      <c r="K1867" s="207"/>
      <c r="L1867" s="207"/>
    </row>
    <row r="1868" spans="1:18" ht="18" hidden="1" customHeight="1">
      <c r="A1868" s="82" t="s">
        <v>323</v>
      </c>
      <c r="B1868" s="83">
        <v>795</v>
      </c>
      <c r="C1868" s="84" t="s">
        <v>54</v>
      </c>
      <c r="D1868" s="84" t="s">
        <v>123</v>
      </c>
      <c r="E1868" s="84" t="s">
        <v>528</v>
      </c>
      <c r="F1868" s="84" t="s">
        <v>37</v>
      </c>
      <c r="G1868" s="87">
        <f>G1869</f>
        <v>0</v>
      </c>
      <c r="H1868" s="87">
        <v>0</v>
      </c>
      <c r="I1868" s="87">
        <v>0</v>
      </c>
      <c r="J1868" s="177"/>
      <c r="K1868" s="207"/>
      <c r="L1868" s="207"/>
    </row>
    <row r="1869" spans="1:18" ht="27.75" hidden="1" customHeight="1">
      <c r="A1869" s="82" t="s">
        <v>38</v>
      </c>
      <c r="B1869" s="83">
        <v>795</v>
      </c>
      <c r="C1869" s="84" t="s">
        <v>54</v>
      </c>
      <c r="D1869" s="84" t="s">
        <v>123</v>
      </c>
      <c r="E1869" s="84" t="s">
        <v>528</v>
      </c>
      <c r="F1869" s="84" t="s">
        <v>39</v>
      </c>
      <c r="G1869" s="87"/>
      <c r="H1869" s="87">
        <v>0</v>
      </c>
      <c r="I1869" s="87">
        <v>0</v>
      </c>
      <c r="J1869" s="177"/>
      <c r="K1869" s="207"/>
      <c r="L1869" s="207"/>
    </row>
    <row r="1870" spans="1:18" ht="36.75" hidden="1" customHeight="1">
      <c r="A1870" s="82" t="s">
        <v>96</v>
      </c>
      <c r="B1870" s="83">
        <v>795</v>
      </c>
      <c r="C1870" s="84" t="s">
        <v>54</v>
      </c>
      <c r="D1870" s="84" t="s">
        <v>123</v>
      </c>
      <c r="E1870" s="84" t="s">
        <v>528</v>
      </c>
      <c r="F1870" s="84" t="s">
        <v>348</v>
      </c>
      <c r="G1870" s="87">
        <f>G1871</f>
        <v>0</v>
      </c>
      <c r="H1870" s="87">
        <v>0</v>
      </c>
      <c r="I1870" s="87">
        <v>0</v>
      </c>
      <c r="J1870" s="177"/>
      <c r="K1870" s="207"/>
      <c r="L1870" s="207"/>
    </row>
    <row r="1871" spans="1:18" ht="27.75" hidden="1" customHeight="1">
      <c r="A1871" s="82" t="s">
        <v>349</v>
      </c>
      <c r="B1871" s="83">
        <v>795</v>
      </c>
      <c r="C1871" s="84" t="s">
        <v>54</v>
      </c>
      <c r="D1871" s="84" t="s">
        <v>123</v>
      </c>
      <c r="E1871" s="84" t="s">
        <v>528</v>
      </c>
      <c r="F1871" s="84" t="s">
        <v>350</v>
      </c>
      <c r="G1871" s="87"/>
      <c r="H1871" s="87"/>
      <c r="I1871" s="87"/>
      <c r="J1871" s="177"/>
      <c r="K1871" s="207"/>
      <c r="L1871" s="207"/>
    </row>
    <row r="1872" spans="1:18" s="18" customFormat="1" ht="62.25" hidden="1" customHeight="1">
      <c r="A1872" s="82" t="s">
        <v>527</v>
      </c>
      <c r="B1872" s="83">
        <v>795</v>
      </c>
      <c r="C1872" s="84" t="s">
        <v>54</v>
      </c>
      <c r="D1872" s="84" t="s">
        <v>123</v>
      </c>
      <c r="E1872" s="84" t="s">
        <v>187</v>
      </c>
      <c r="F1872" s="84"/>
      <c r="G1872" s="87">
        <f>G1873+G1877+G1876</f>
        <v>0</v>
      </c>
      <c r="H1872" s="87">
        <v>0</v>
      </c>
      <c r="I1872" s="87">
        <v>0</v>
      </c>
      <c r="J1872" s="177"/>
      <c r="K1872" s="202"/>
      <c r="L1872" s="202"/>
      <c r="M1872" s="200"/>
      <c r="N1872" s="200"/>
      <c r="O1872" s="200"/>
      <c r="P1872" s="200"/>
      <c r="Q1872" s="200"/>
      <c r="R1872" s="200"/>
    </row>
    <row r="1873" spans="1:18" s="18" customFormat="1" ht="32.25" hidden="1" customHeight="1">
      <c r="A1873" s="82" t="s">
        <v>323</v>
      </c>
      <c r="B1873" s="83">
        <v>795</v>
      </c>
      <c r="C1873" s="84" t="s">
        <v>54</v>
      </c>
      <c r="D1873" s="84" t="s">
        <v>123</v>
      </c>
      <c r="E1873" s="84" t="s">
        <v>187</v>
      </c>
      <c r="F1873" s="84" t="s">
        <v>37</v>
      </c>
      <c r="G1873" s="87">
        <f>G1874</f>
        <v>0</v>
      </c>
      <c r="H1873" s="87">
        <v>0</v>
      </c>
      <c r="I1873" s="87">
        <v>0</v>
      </c>
      <c r="J1873" s="177"/>
      <c r="K1873" s="202"/>
      <c r="L1873" s="202"/>
      <c r="M1873" s="200"/>
      <c r="N1873" s="200"/>
      <c r="O1873" s="200"/>
      <c r="P1873" s="200"/>
      <c r="Q1873" s="200"/>
      <c r="R1873" s="200"/>
    </row>
    <row r="1874" spans="1:18" s="18" customFormat="1" ht="32.25" hidden="1" customHeight="1">
      <c r="A1874" s="82" t="s">
        <v>38</v>
      </c>
      <c r="B1874" s="83">
        <v>795</v>
      </c>
      <c r="C1874" s="84" t="s">
        <v>54</v>
      </c>
      <c r="D1874" s="84" t="s">
        <v>123</v>
      </c>
      <c r="E1874" s="84" t="s">
        <v>187</v>
      </c>
      <c r="F1874" s="84" t="s">
        <v>39</v>
      </c>
      <c r="G1874" s="87"/>
      <c r="H1874" s="87">
        <v>0</v>
      </c>
      <c r="I1874" s="87">
        <v>0</v>
      </c>
      <c r="J1874" s="177"/>
      <c r="K1874" s="202"/>
      <c r="L1874" s="202"/>
      <c r="M1874" s="200"/>
      <c r="N1874" s="200"/>
      <c r="O1874" s="200"/>
      <c r="P1874" s="200"/>
      <c r="Q1874" s="200"/>
      <c r="R1874" s="200"/>
    </row>
    <row r="1875" spans="1:18" ht="18" hidden="1" customHeight="1">
      <c r="A1875" s="82" t="s">
        <v>323</v>
      </c>
      <c r="B1875" s="83">
        <v>795</v>
      </c>
      <c r="C1875" s="84" t="s">
        <v>54</v>
      </c>
      <c r="D1875" s="84" t="s">
        <v>123</v>
      </c>
      <c r="E1875" s="84" t="s">
        <v>187</v>
      </c>
      <c r="F1875" s="84" t="s">
        <v>37</v>
      </c>
      <c r="G1875" s="87">
        <f>G1876</f>
        <v>0</v>
      </c>
      <c r="H1875" s="87">
        <v>0</v>
      </c>
      <c r="I1875" s="87">
        <v>0</v>
      </c>
      <c r="J1875" s="177"/>
      <c r="K1875" s="207"/>
      <c r="L1875" s="207"/>
    </row>
    <row r="1876" spans="1:18" ht="29.25" hidden="1" customHeight="1">
      <c r="A1876" s="82" t="s">
        <v>38</v>
      </c>
      <c r="B1876" s="83">
        <v>795</v>
      </c>
      <c r="C1876" s="84" t="s">
        <v>54</v>
      </c>
      <c r="D1876" s="84" t="s">
        <v>123</v>
      </c>
      <c r="E1876" s="84" t="s">
        <v>187</v>
      </c>
      <c r="F1876" s="84" t="s">
        <v>39</v>
      </c>
      <c r="G1876" s="87"/>
      <c r="H1876" s="87"/>
      <c r="I1876" s="87"/>
      <c r="J1876" s="177"/>
      <c r="K1876" s="207"/>
      <c r="L1876" s="207"/>
    </row>
    <row r="1877" spans="1:18" ht="18" hidden="1" customHeight="1">
      <c r="A1877" s="82" t="s">
        <v>156</v>
      </c>
      <c r="B1877" s="83">
        <v>795</v>
      </c>
      <c r="C1877" s="84" t="s">
        <v>54</v>
      </c>
      <c r="D1877" s="84" t="s">
        <v>123</v>
      </c>
      <c r="E1877" s="84" t="s">
        <v>187</v>
      </c>
      <c r="F1877" s="84" t="s">
        <v>157</v>
      </c>
      <c r="G1877" s="87">
        <f>G1878</f>
        <v>0</v>
      </c>
      <c r="H1877" s="87">
        <v>0</v>
      </c>
      <c r="I1877" s="87">
        <v>0</v>
      </c>
      <c r="J1877" s="177"/>
      <c r="K1877" s="207"/>
      <c r="L1877" s="207"/>
    </row>
    <row r="1878" spans="1:18" ht="15" hidden="1" customHeight="1">
      <c r="A1878" s="82" t="s">
        <v>178</v>
      </c>
      <c r="B1878" s="83">
        <v>795</v>
      </c>
      <c r="C1878" s="84" t="s">
        <v>54</v>
      </c>
      <c r="D1878" s="84" t="s">
        <v>123</v>
      </c>
      <c r="E1878" s="84" t="s">
        <v>187</v>
      </c>
      <c r="F1878" s="84" t="s">
        <v>179</v>
      </c>
      <c r="G1878" s="87"/>
      <c r="H1878" s="87"/>
      <c r="I1878" s="87"/>
      <c r="J1878" s="177"/>
      <c r="K1878" s="207"/>
      <c r="L1878" s="207"/>
    </row>
    <row r="1879" spans="1:18" ht="78" hidden="1" customHeight="1">
      <c r="A1879" s="133" t="s">
        <v>657</v>
      </c>
      <c r="B1879" s="83">
        <v>795</v>
      </c>
      <c r="C1879" s="84" t="s">
        <v>54</v>
      </c>
      <c r="D1879" s="84" t="s">
        <v>123</v>
      </c>
      <c r="E1879" s="84" t="s">
        <v>659</v>
      </c>
      <c r="F1879" s="84"/>
      <c r="G1879" s="87">
        <f>G1880</f>
        <v>0</v>
      </c>
      <c r="H1879" s="87">
        <v>0</v>
      </c>
      <c r="I1879" s="87">
        <v>0</v>
      </c>
      <c r="J1879" s="177"/>
      <c r="K1879" s="207"/>
      <c r="L1879" s="207"/>
    </row>
    <row r="1880" spans="1:18" ht="18" hidden="1" customHeight="1">
      <c r="A1880" s="82" t="s">
        <v>156</v>
      </c>
      <c r="B1880" s="83">
        <v>795</v>
      </c>
      <c r="C1880" s="84" t="s">
        <v>54</v>
      </c>
      <c r="D1880" s="84" t="s">
        <v>123</v>
      </c>
      <c r="E1880" s="84" t="s">
        <v>659</v>
      </c>
      <c r="F1880" s="84" t="s">
        <v>157</v>
      </c>
      <c r="G1880" s="87">
        <f>G1881</f>
        <v>0</v>
      </c>
      <c r="H1880" s="87">
        <v>0</v>
      </c>
      <c r="I1880" s="87">
        <v>0</v>
      </c>
      <c r="J1880" s="177"/>
      <c r="K1880" s="207"/>
      <c r="L1880" s="207"/>
    </row>
    <row r="1881" spans="1:18" ht="27.75" hidden="1" customHeight="1">
      <c r="A1881" s="82" t="s">
        <v>178</v>
      </c>
      <c r="B1881" s="83">
        <v>795</v>
      </c>
      <c r="C1881" s="84" t="s">
        <v>54</v>
      </c>
      <c r="D1881" s="84" t="s">
        <v>123</v>
      </c>
      <c r="E1881" s="84" t="s">
        <v>659</v>
      </c>
      <c r="F1881" s="84" t="s">
        <v>179</v>
      </c>
      <c r="G1881" s="87"/>
      <c r="H1881" s="87">
        <v>0</v>
      </c>
      <c r="I1881" s="87">
        <v>0</v>
      </c>
      <c r="J1881" s="177"/>
      <c r="K1881" s="207"/>
      <c r="L1881" s="207"/>
    </row>
    <row r="1882" spans="1:18" ht="63.75" hidden="1" customHeight="1">
      <c r="A1882" s="82" t="s">
        <v>391</v>
      </c>
      <c r="B1882" s="83">
        <v>795</v>
      </c>
      <c r="C1882" s="84" t="s">
        <v>54</v>
      </c>
      <c r="D1882" s="84" t="s">
        <v>123</v>
      </c>
      <c r="E1882" s="84" t="s">
        <v>105</v>
      </c>
      <c r="F1882" s="84"/>
      <c r="G1882" s="87">
        <f>G1883+G1890+G1900+G1906+G1897</f>
        <v>0</v>
      </c>
      <c r="H1882" s="87">
        <f t="shared" ref="H1882:I1882" si="479">H1883+H1890+H1900</f>
        <v>0</v>
      </c>
      <c r="I1882" s="87">
        <f t="shared" si="479"/>
        <v>0</v>
      </c>
      <c r="J1882" s="177"/>
      <c r="K1882" s="207"/>
      <c r="L1882" s="207"/>
      <c r="M1882" s="209"/>
    </row>
    <row r="1883" spans="1:18" ht="48.75" hidden="1" customHeight="1">
      <c r="A1883" s="82" t="s">
        <v>392</v>
      </c>
      <c r="B1883" s="83">
        <v>795</v>
      </c>
      <c r="C1883" s="84" t="s">
        <v>54</v>
      </c>
      <c r="D1883" s="84" t="s">
        <v>123</v>
      </c>
      <c r="E1883" s="84" t="s">
        <v>106</v>
      </c>
      <c r="F1883" s="84"/>
      <c r="G1883" s="87">
        <f>G1884+G1886+G1888</f>
        <v>0</v>
      </c>
      <c r="H1883" s="87">
        <f t="shared" ref="H1883:I1883" si="480">H1884+H1886+H1888</f>
        <v>0</v>
      </c>
      <c r="I1883" s="87">
        <f t="shared" si="480"/>
        <v>0</v>
      </c>
      <c r="J1883" s="177"/>
      <c r="K1883" s="207"/>
      <c r="L1883" s="207"/>
      <c r="M1883" s="209"/>
    </row>
    <row r="1884" spans="1:18" s="18" customFormat="1" ht="15.75" hidden="1" customHeight="1">
      <c r="A1884" s="82" t="s">
        <v>63</v>
      </c>
      <c r="B1884" s="83">
        <v>795</v>
      </c>
      <c r="C1884" s="84" t="s">
        <v>54</v>
      </c>
      <c r="D1884" s="84" t="s">
        <v>123</v>
      </c>
      <c r="E1884" s="84" t="s">
        <v>106</v>
      </c>
      <c r="F1884" s="84" t="s">
        <v>64</v>
      </c>
      <c r="G1884" s="87">
        <f>G1885</f>
        <v>0</v>
      </c>
      <c r="H1884" s="292">
        <v>0</v>
      </c>
      <c r="I1884" s="292">
        <v>0</v>
      </c>
      <c r="J1884" s="201"/>
      <c r="K1884" s="223"/>
      <c r="L1884" s="202"/>
      <c r="M1884" s="200"/>
      <c r="N1884" s="200"/>
      <c r="O1884" s="200"/>
      <c r="P1884" s="200"/>
      <c r="Q1884" s="200"/>
      <c r="R1884" s="200"/>
    </row>
    <row r="1885" spans="1:18" s="18" customFormat="1" ht="15.75" hidden="1" customHeight="1">
      <c r="A1885" s="82" t="s">
        <v>180</v>
      </c>
      <c r="B1885" s="83">
        <v>795</v>
      </c>
      <c r="C1885" s="84" t="s">
        <v>54</v>
      </c>
      <c r="D1885" s="84" t="s">
        <v>123</v>
      </c>
      <c r="E1885" s="84" t="s">
        <v>106</v>
      </c>
      <c r="F1885" s="84" t="s">
        <v>181</v>
      </c>
      <c r="G1885" s="87">
        <f>5198269.13-268287.5-423091+149078.6-4655969.23</f>
        <v>0</v>
      </c>
      <c r="H1885" s="292">
        <v>0</v>
      </c>
      <c r="I1885" s="292">
        <v>0</v>
      </c>
      <c r="J1885" s="201"/>
      <c r="K1885" s="223"/>
      <c r="L1885" s="202"/>
      <c r="M1885" s="200"/>
      <c r="N1885" s="200"/>
      <c r="O1885" s="200"/>
      <c r="P1885" s="200"/>
      <c r="Q1885" s="200"/>
      <c r="R1885" s="200"/>
    </row>
    <row r="1886" spans="1:18" ht="22.5" hidden="1" customHeight="1">
      <c r="A1886" s="82" t="s">
        <v>156</v>
      </c>
      <c r="B1886" s="83">
        <v>795</v>
      </c>
      <c r="C1886" s="84" t="s">
        <v>54</v>
      </c>
      <c r="D1886" s="84" t="s">
        <v>123</v>
      </c>
      <c r="E1886" s="84" t="s">
        <v>106</v>
      </c>
      <c r="F1886" s="84" t="s">
        <v>157</v>
      </c>
      <c r="G1886" s="87">
        <f>G1887</f>
        <v>0</v>
      </c>
      <c r="H1886" s="87">
        <f>H1887</f>
        <v>0</v>
      </c>
      <c r="I1886" s="87">
        <f>I1887</f>
        <v>0</v>
      </c>
      <c r="J1886" s="177"/>
      <c r="K1886" s="207"/>
      <c r="L1886" s="207"/>
    </row>
    <row r="1887" spans="1:18" ht="16.5" hidden="1" customHeight="1">
      <c r="A1887" s="82" t="s">
        <v>178</v>
      </c>
      <c r="B1887" s="83">
        <v>795</v>
      </c>
      <c r="C1887" s="84" t="s">
        <v>54</v>
      </c>
      <c r="D1887" s="84" t="s">
        <v>123</v>
      </c>
      <c r="E1887" s="84" t="s">
        <v>106</v>
      </c>
      <c r="F1887" s="84" t="s">
        <v>179</v>
      </c>
      <c r="G1887" s="87"/>
      <c r="H1887" s="87"/>
      <c r="I1887" s="87"/>
      <c r="J1887" s="177"/>
      <c r="K1887" s="207"/>
      <c r="L1887" s="207"/>
    </row>
    <row r="1888" spans="1:18" ht="22.5" hidden="1" customHeight="1">
      <c r="A1888" s="82" t="s">
        <v>323</v>
      </c>
      <c r="B1888" s="83">
        <v>795</v>
      </c>
      <c r="C1888" s="84" t="s">
        <v>54</v>
      </c>
      <c r="D1888" s="84" t="s">
        <v>123</v>
      </c>
      <c r="E1888" s="84" t="s">
        <v>106</v>
      </c>
      <c r="F1888" s="84" t="s">
        <v>37</v>
      </c>
      <c r="G1888" s="87">
        <f>G1889</f>
        <v>0</v>
      </c>
      <c r="H1888" s="87">
        <f>H1889</f>
        <v>0</v>
      </c>
      <c r="I1888" s="87">
        <f>I1889</f>
        <v>0</v>
      </c>
      <c r="J1888" s="177"/>
      <c r="K1888" s="207"/>
      <c r="L1888" s="207"/>
    </row>
    <row r="1889" spans="1:18" ht="30.75" hidden="1" customHeight="1">
      <c r="A1889" s="82" t="s">
        <v>38</v>
      </c>
      <c r="B1889" s="83">
        <v>795</v>
      </c>
      <c r="C1889" s="84" t="s">
        <v>54</v>
      </c>
      <c r="D1889" s="84" t="s">
        <v>123</v>
      </c>
      <c r="E1889" s="84" t="s">
        <v>106</v>
      </c>
      <c r="F1889" s="84" t="s">
        <v>39</v>
      </c>
      <c r="G1889" s="87"/>
      <c r="H1889" s="87"/>
      <c r="I1889" s="87"/>
      <c r="J1889" s="177"/>
      <c r="K1889" s="207"/>
      <c r="L1889" s="207"/>
    </row>
    <row r="1890" spans="1:18" s="18" customFormat="1" ht="65.25" hidden="1" customHeight="1">
      <c r="A1890" s="82" t="s">
        <v>526</v>
      </c>
      <c r="B1890" s="83">
        <v>795</v>
      </c>
      <c r="C1890" s="84" t="s">
        <v>54</v>
      </c>
      <c r="D1890" s="84" t="s">
        <v>123</v>
      </c>
      <c r="E1890" s="84" t="s">
        <v>46</v>
      </c>
      <c r="F1890" s="84"/>
      <c r="G1890" s="87">
        <f>G1891+G1895+G1893</f>
        <v>0</v>
      </c>
      <c r="H1890" s="87">
        <v>0</v>
      </c>
      <c r="I1890" s="87">
        <v>0</v>
      </c>
      <c r="J1890" s="177"/>
      <c r="K1890" s="223"/>
      <c r="L1890" s="202"/>
      <c r="M1890" s="200"/>
      <c r="N1890" s="200"/>
      <c r="O1890" s="200"/>
      <c r="P1890" s="200"/>
      <c r="Q1890" s="200"/>
      <c r="R1890" s="200"/>
    </row>
    <row r="1891" spans="1:18" s="18" customFormat="1" ht="32.25" hidden="1" customHeight="1">
      <c r="A1891" s="82" t="s">
        <v>323</v>
      </c>
      <c r="B1891" s="83">
        <v>795</v>
      </c>
      <c r="C1891" s="84" t="s">
        <v>54</v>
      </c>
      <c r="D1891" s="84" t="s">
        <v>123</v>
      </c>
      <c r="E1891" s="84" t="s">
        <v>46</v>
      </c>
      <c r="F1891" s="84" t="s">
        <v>37</v>
      </c>
      <c r="G1891" s="87">
        <f>G1892</f>
        <v>0</v>
      </c>
      <c r="H1891" s="87">
        <v>0</v>
      </c>
      <c r="I1891" s="87">
        <v>0</v>
      </c>
      <c r="J1891" s="177"/>
      <c r="K1891" s="223"/>
      <c r="L1891" s="202"/>
      <c r="M1891" s="200"/>
      <c r="N1891" s="200"/>
      <c r="O1891" s="200"/>
      <c r="P1891" s="200"/>
      <c r="Q1891" s="200"/>
      <c r="R1891" s="200"/>
    </row>
    <row r="1892" spans="1:18" s="18" customFormat="1" ht="15.75" hidden="1" customHeight="1">
      <c r="A1892" s="82" t="s">
        <v>38</v>
      </c>
      <c r="B1892" s="83">
        <v>795</v>
      </c>
      <c r="C1892" s="84" t="s">
        <v>54</v>
      </c>
      <c r="D1892" s="84" t="s">
        <v>123</v>
      </c>
      <c r="E1892" s="84" t="s">
        <v>46</v>
      </c>
      <c r="F1892" s="84" t="s">
        <v>39</v>
      </c>
      <c r="G1892" s="87"/>
      <c r="H1892" s="87">
        <v>0</v>
      </c>
      <c r="I1892" s="87">
        <v>0</v>
      </c>
      <c r="J1892" s="177"/>
      <c r="K1892" s="223"/>
      <c r="L1892" s="202"/>
      <c r="M1892" s="200"/>
      <c r="N1892" s="200"/>
      <c r="O1892" s="200"/>
      <c r="P1892" s="200"/>
      <c r="Q1892" s="200"/>
      <c r="R1892" s="200"/>
    </row>
    <row r="1893" spans="1:18" ht="22.5" hidden="1" customHeight="1">
      <c r="A1893" s="82" t="s">
        <v>323</v>
      </c>
      <c r="B1893" s="83">
        <v>795</v>
      </c>
      <c r="C1893" s="84" t="s">
        <v>54</v>
      </c>
      <c r="D1893" s="84" t="s">
        <v>123</v>
      </c>
      <c r="E1893" s="84" t="s">
        <v>46</v>
      </c>
      <c r="F1893" s="84" t="s">
        <v>37</v>
      </c>
      <c r="G1893" s="87">
        <f>G1894</f>
        <v>0</v>
      </c>
      <c r="H1893" s="87">
        <v>0</v>
      </c>
      <c r="I1893" s="87">
        <v>0</v>
      </c>
      <c r="J1893" s="177"/>
      <c r="K1893" s="207"/>
      <c r="L1893" s="207"/>
    </row>
    <row r="1894" spans="1:18" ht="16.5" hidden="1" customHeight="1">
      <c r="A1894" s="82" t="s">
        <v>38</v>
      </c>
      <c r="B1894" s="83">
        <v>795</v>
      </c>
      <c r="C1894" s="84" t="s">
        <v>54</v>
      </c>
      <c r="D1894" s="84" t="s">
        <v>123</v>
      </c>
      <c r="E1894" s="84" t="s">
        <v>46</v>
      </c>
      <c r="F1894" s="84" t="s">
        <v>39</v>
      </c>
      <c r="G1894" s="87"/>
      <c r="H1894" s="87"/>
      <c r="I1894" s="87"/>
      <c r="J1894" s="177"/>
      <c r="K1894" s="207"/>
      <c r="L1894" s="207"/>
    </row>
    <row r="1895" spans="1:18" ht="22.5" hidden="1" customHeight="1">
      <c r="A1895" s="82" t="s">
        <v>156</v>
      </c>
      <c r="B1895" s="83">
        <v>795</v>
      </c>
      <c r="C1895" s="84" t="s">
        <v>54</v>
      </c>
      <c r="D1895" s="84" t="s">
        <v>123</v>
      </c>
      <c r="E1895" s="84" t="s">
        <v>46</v>
      </c>
      <c r="F1895" s="84" t="s">
        <v>157</v>
      </c>
      <c r="G1895" s="87">
        <f>G1896</f>
        <v>0</v>
      </c>
      <c r="H1895" s="87">
        <v>0</v>
      </c>
      <c r="I1895" s="87">
        <v>0</v>
      </c>
      <c r="J1895" s="177"/>
      <c r="K1895" s="207"/>
      <c r="L1895" s="207"/>
    </row>
    <row r="1896" spans="1:18" ht="16.5" hidden="1" customHeight="1">
      <c r="A1896" s="82" t="s">
        <v>178</v>
      </c>
      <c r="B1896" s="83">
        <v>795</v>
      </c>
      <c r="C1896" s="84" t="s">
        <v>54</v>
      </c>
      <c r="D1896" s="84" t="s">
        <v>123</v>
      </c>
      <c r="E1896" s="84" t="s">
        <v>46</v>
      </c>
      <c r="F1896" s="84" t="s">
        <v>179</v>
      </c>
      <c r="G1896" s="87"/>
      <c r="H1896" s="87"/>
      <c r="I1896" s="87"/>
      <c r="J1896" s="177"/>
      <c r="K1896" s="207"/>
      <c r="L1896" s="207"/>
    </row>
    <row r="1897" spans="1:18" ht="62.25" hidden="1" customHeight="1">
      <c r="A1897" s="82" t="s">
        <v>713</v>
      </c>
      <c r="B1897" s="83">
        <v>795</v>
      </c>
      <c r="C1897" s="84" t="s">
        <v>54</v>
      </c>
      <c r="D1897" s="84" t="s">
        <v>123</v>
      </c>
      <c r="E1897" s="84" t="s">
        <v>712</v>
      </c>
      <c r="F1897" s="84"/>
      <c r="G1897" s="87">
        <f>G1898</f>
        <v>0</v>
      </c>
      <c r="H1897" s="87">
        <f t="shared" ref="H1897:I1897" si="481">H1898+H1900+H1902</f>
        <v>0</v>
      </c>
      <c r="I1897" s="87">
        <f t="shared" si="481"/>
        <v>0</v>
      </c>
      <c r="J1897" s="177"/>
      <c r="K1897" s="207"/>
      <c r="L1897" s="207"/>
      <c r="M1897" s="209"/>
    </row>
    <row r="1898" spans="1:18" s="18" customFormat="1" ht="15.75" hidden="1" customHeight="1">
      <c r="A1898" s="82" t="s">
        <v>323</v>
      </c>
      <c r="B1898" s="83">
        <v>795</v>
      </c>
      <c r="C1898" s="84" t="s">
        <v>54</v>
      </c>
      <c r="D1898" s="84" t="s">
        <v>123</v>
      </c>
      <c r="E1898" s="84" t="s">
        <v>712</v>
      </c>
      <c r="F1898" s="84" t="s">
        <v>37</v>
      </c>
      <c r="G1898" s="87">
        <f>G1899</f>
        <v>0</v>
      </c>
      <c r="H1898" s="292">
        <v>0</v>
      </c>
      <c r="I1898" s="292">
        <v>0</v>
      </c>
      <c r="J1898" s="201"/>
      <c r="K1898" s="223"/>
      <c r="L1898" s="202"/>
      <c r="M1898" s="200"/>
      <c r="N1898" s="200"/>
      <c r="O1898" s="200"/>
      <c r="P1898" s="200"/>
      <c r="Q1898" s="200"/>
      <c r="R1898" s="200"/>
    </row>
    <row r="1899" spans="1:18" s="18" customFormat="1" ht="35.25" hidden="1" customHeight="1">
      <c r="A1899" s="82" t="s">
        <v>38</v>
      </c>
      <c r="B1899" s="83">
        <v>795</v>
      </c>
      <c r="C1899" s="84" t="s">
        <v>54</v>
      </c>
      <c r="D1899" s="84" t="s">
        <v>123</v>
      </c>
      <c r="E1899" s="84" t="s">
        <v>712</v>
      </c>
      <c r="F1899" s="84" t="s">
        <v>39</v>
      </c>
      <c r="G1899" s="87"/>
      <c r="H1899" s="292"/>
      <c r="I1899" s="292"/>
      <c r="J1899" s="201"/>
      <c r="K1899" s="223"/>
      <c r="L1899" s="202"/>
      <c r="M1899" s="200"/>
      <c r="N1899" s="200"/>
      <c r="O1899" s="200"/>
      <c r="P1899" s="200"/>
      <c r="Q1899" s="200"/>
      <c r="R1899" s="200"/>
    </row>
    <row r="1900" spans="1:18" ht="68.25" hidden="1" customHeight="1">
      <c r="A1900" s="82" t="s">
        <v>422</v>
      </c>
      <c r="B1900" s="83">
        <v>795</v>
      </c>
      <c r="C1900" s="84" t="s">
        <v>54</v>
      </c>
      <c r="D1900" s="84" t="s">
        <v>123</v>
      </c>
      <c r="E1900" s="84" t="s">
        <v>10</v>
      </c>
      <c r="F1900" s="84"/>
      <c r="G1900" s="87">
        <f>G1901</f>
        <v>0</v>
      </c>
      <c r="H1900" s="87">
        <v>0</v>
      </c>
      <c r="I1900" s="87">
        <v>0</v>
      </c>
      <c r="J1900" s="177"/>
      <c r="K1900" s="207"/>
      <c r="L1900" s="207"/>
    </row>
    <row r="1901" spans="1:18" ht="22.5" hidden="1" customHeight="1">
      <c r="A1901" s="82" t="s">
        <v>156</v>
      </c>
      <c r="B1901" s="83">
        <v>795</v>
      </c>
      <c r="C1901" s="84" t="s">
        <v>54</v>
      </c>
      <c r="D1901" s="84" t="s">
        <v>123</v>
      </c>
      <c r="E1901" s="84" t="s">
        <v>10</v>
      </c>
      <c r="F1901" s="84" t="s">
        <v>157</v>
      </c>
      <c r="G1901" s="87">
        <f>G1902</f>
        <v>0</v>
      </c>
      <c r="H1901" s="87">
        <v>0</v>
      </c>
      <c r="I1901" s="87">
        <v>0</v>
      </c>
      <c r="J1901" s="177"/>
      <c r="K1901" s="207"/>
      <c r="L1901" s="207"/>
    </row>
    <row r="1902" spans="1:18" ht="16.5" hidden="1" customHeight="1">
      <c r="A1902" s="82" t="s">
        <v>178</v>
      </c>
      <c r="B1902" s="83">
        <v>795</v>
      </c>
      <c r="C1902" s="84" t="s">
        <v>54</v>
      </c>
      <c r="D1902" s="84" t="s">
        <v>123</v>
      </c>
      <c r="E1902" s="84" t="s">
        <v>10</v>
      </c>
      <c r="F1902" s="84" t="s">
        <v>179</v>
      </c>
      <c r="G1902" s="87"/>
      <c r="H1902" s="87"/>
      <c r="I1902" s="87"/>
      <c r="J1902" s="177"/>
      <c r="K1902" s="207"/>
      <c r="L1902" s="207"/>
    </row>
    <row r="1903" spans="1:18" ht="63" hidden="1" customHeight="1">
      <c r="A1903" s="82" t="s">
        <v>658</v>
      </c>
      <c r="B1903" s="83">
        <v>795</v>
      </c>
      <c r="C1903" s="84" t="s">
        <v>54</v>
      </c>
      <c r="D1903" s="84" t="s">
        <v>123</v>
      </c>
      <c r="E1903" s="84" t="s">
        <v>299</v>
      </c>
      <c r="F1903" s="84"/>
      <c r="G1903" s="87">
        <f>G1904</f>
        <v>0</v>
      </c>
      <c r="H1903" s="87"/>
      <c r="I1903" s="87"/>
      <c r="J1903" s="177"/>
      <c r="K1903" s="207"/>
      <c r="L1903" s="207"/>
    </row>
    <row r="1904" spans="1:18" ht="16.5" hidden="1" customHeight="1">
      <c r="A1904" s="82" t="s">
        <v>323</v>
      </c>
      <c r="B1904" s="83">
        <v>795</v>
      </c>
      <c r="C1904" s="84" t="s">
        <v>54</v>
      </c>
      <c r="D1904" s="84" t="s">
        <v>123</v>
      </c>
      <c r="E1904" s="84" t="s">
        <v>299</v>
      </c>
      <c r="F1904" s="84" t="s">
        <v>37</v>
      </c>
      <c r="G1904" s="87">
        <f>G1905</f>
        <v>0</v>
      </c>
      <c r="H1904" s="87"/>
      <c r="I1904" s="87"/>
      <c r="J1904" s="177"/>
      <c r="K1904" s="207"/>
      <c r="L1904" s="207"/>
    </row>
    <row r="1905" spans="1:18" ht="28.5" hidden="1" customHeight="1">
      <c r="A1905" s="82" t="s">
        <v>38</v>
      </c>
      <c r="B1905" s="83">
        <v>795</v>
      </c>
      <c r="C1905" s="84" t="s">
        <v>54</v>
      </c>
      <c r="D1905" s="84" t="s">
        <v>123</v>
      </c>
      <c r="E1905" s="84" t="s">
        <v>299</v>
      </c>
      <c r="F1905" s="84" t="s">
        <v>39</v>
      </c>
      <c r="G1905" s="87"/>
      <c r="H1905" s="87"/>
      <c r="I1905" s="87"/>
      <c r="J1905" s="177"/>
      <c r="K1905" s="207"/>
      <c r="L1905" s="207"/>
    </row>
    <row r="1906" spans="1:18" s="18" customFormat="1" ht="76.5" hidden="1" customHeight="1">
      <c r="A1906" s="133" t="s">
        <v>668</v>
      </c>
      <c r="B1906" s="83">
        <v>795</v>
      </c>
      <c r="C1906" s="84" t="s">
        <v>54</v>
      </c>
      <c r="D1906" s="84" t="s">
        <v>123</v>
      </c>
      <c r="E1906" s="84" t="s">
        <v>703</v>
      </c>
      <c r="F1906" s="84"/>
      <c r="G1906" s="87">
        <f t="shared" ref="G1906:I1907" si="482">G1907</f>
        <v>0</v>
      </c>
      <c r="H1906" s="87">
        <f t="shared" si="482"/>
        <v>0</v>
      </c>
      <c r="I1906" s="87">
        <f t="shared" si="482"/>
        <v>0</v>
      </c>
      <c r="J1906" s="177"/>
      <c r="K1906" s="202"/>
      <c r="L1906" s="202"/>
      <c r="M1906" s="200"/>
      <c r="N1906" s="200"/>
      <c r="O1906" s="200"/>
      <c r="P1906" s="200"/>
      <c r="Q1906" s="200"/>
      <c r="R1906" s="200"/>
    </row>
    <row r="1907" spans="1:18" s="18" customFormat="1" ht="15" hidden="1" customHeight="1">
      <c r="A1907" s="82" t="s">
        <v>323</v>
      </c>
      <c r="B1907" s="83">
        <v>795</v>
      </c>
      <c r="C1907" s="84" t="s">
        <v>54</v>
      </c>
      <c r="D1907" s="84" t="s">
        <v>123</v>
      </c>
      <c r="E1907" s="84" t="s">
        <v>703</v>
      </c>
      <c r="F1907" s="84" t="s">
        <v>37</v>
      </c>
      <c r="G1907" s="87">
        <f t="shared" si="482"/>
        <v>0</v>
      </c>
      <c r="H1907" s="87">
        <f t="shared" si="482"/>
        <v>0</v>
      </c>
      <c r="I1907" s="87">
        <f t="shared" si="482"/>
        <v>0</v>
      </c>
      <c r="J1907" s="177"/>
      <c r="K1907" s="202"/>
      <c r="L1907" s="202"/>
      <c r="M1907" s="200"/>
      <c r="N1907" s="200"/>
      <c r="O1907" s="200"/>
      <c r="P1907" s="200"/>
      <c r="Q1907" s="200"/>
      <c r="R1907" s="200"/>
    </row>
    <row r="1908" spans="1:18" s="18" customFormat="1" ht="32.25" hidden="1" customHeight="1">
      <c r="A1908" s="82" t="s">
        <v>38</v>
      </c>
      <c r="B1908" s="83">
        <v>795</v>
      </c>
      <c r="C1908" s="84" t="s">
        <v>54</v>
      </c>
      <c r="D1908" s="84" t="s">
        <v>123</v>
      </c>
      <c r="E1908" s="84" t="s">
        <v>703</v>
      </c>
      <c r="F1908" s="84" t="s">
        <v>39</v>
      </c>
      <c r="G1908" s="87">
        <f>600000-600000</f>
        <v>0</v>
      </c>
      <c r="H1908" s="87">
        <v>0</v>
      </c>
      <c r="I1908" s="87">
        <v>0</v>
      </c>
      <c r="J1908" s="177"/>
      <c r="K1908" s="202"/>
      <c r="L1908" s="202"/>
      <c r="M1908" s="200"/>
      <c r="N1908" s="200"/>
      <c r="O1908" s="200"/>
      <c r="P1908" s="200"/>
      <c r="Q1908" s="200"/>
      <c r="R1908" s="200"/>
    </row>
    <row r="1909" spans="1:18" ht="87" hidden="1" customHeight="1">
      <c r="A1909" s="82" t="s">
        <v>673</v>
      </c>
      <c r="B1909" s="83">
        <v>795</v>
      </c>
      <c r="C1909" s="84" t="s">
        <v>54</v>
      </c>
      <c r="D1909" s="84" t="s">
        <v>123</v>
      </c>
      <c r="E1909" s="84" t="s">
        <v>11</v>
      </c>
      <c r="F1909" s="84"/>
      <c r="G1909" s="87">
        <f>G1910+G1913+G1916</f>
        <v>0</v>
      </c>
      <c r="H1909" s="87">
        <f>H1910+H1913+H1916</f>
        <v>0</v>
      </c>
      <c r="I1909" s="87">
        <f t="shared" ref="I1909" si="483">I1910+I1913+I1916</f>
        <v>0</v>
      </c>
      <c r="J1909" s="177"/>
      <c r="K1909" s="207"/>
      <c r="L1909" s="207"/>
    </row>
    <row r="1910" spans="1:18" ht="91.5" hidden="1" customHeight="1">
      <c r="A1910" s="82" t="s">
        <v>622</v>
      </c>
      <c r="B1910" s="83">
        <v>795</v>
      </c>
      <c r="C1910" s="84" t="s">
        <v>54</v>
      </c>
      <c r="D1910" s="84" t="s">
        <v>123</v>
      </c>
      <c r="E1910" s="84" t="s">
        <v>621</v>
      </c>
      <c r="F1910" s="84"/>
      <c r="G1910" s="87">
        <f>G1911</f>
        <v>0</v>
      </c>
      <c r="H1910" s="87">
        <v>0</v>
      </c>
      <c r="I1910" s="87">
        <v>0</v>
      </c>
      <c r="J1910" s="177"/>
      <c r="K1910" s="207"/>
      <c r="L1910" s="207"/>
    </row>
    <row r="1911" spans="1:18" ht="22.5" hidden="1" customHeight="1">
      <c r="A1911" s="82" t="s">
        <v>156</v>
      </c>
      <c r="B1911" s="83">
        <v>795</v>
      </c>
      <c r="C1911" s="84" t="s">
        <v>54</v>
      </c>
      <c r="D1911" s="84" t="s">
        <v>123</v>
      </c>
      <c r="E1911" s="84" t="s">
        <v>621</v>
      </c>
      <c r="F1911" s="84" t="s">
        <v>157</v>
      </c>
      <c r="G1911" s="87">
        <f>G1912</f>
        <v>0</v>
      </c>
      <c r="H1911" s="87">
        <v>0</v>
      </c>
      <c r="I1911" s="87">
        <v>0</v>
      </c>
      <c r="J1911" s="177"/>
      <c r="K1911" s="207"/>
      <c r="L1911" s="207"/>
    </row>
    <row r="1912" spans="1:18" ht="16.5" hidden="1" customHeight="1">
      <c r="A1912" s="82" t="s">
        <v>170</v>
      </c>
      <c r="B1912" s="83">
        <v>795</v>
      </c>
      <c r="C1912" s="84" t="s">
        <v>54</v>
      </c>
      <c r="D1912" s="84" t="s">
        <v>123</v>
      </c>
      <c r="E1912" s="84" t="s">
        <v>621</v>
      </c>
      <c r="F1912" s="84" t="s">
        <v>171</v>
      </c>
      <c r="G1912" s="87"/>
      <c r="H1912" s="87">
        <v>0</v>
      </c>
      <c r="I1912" s="87">
        <v>0</v>
      </c>
      <c r="J1912" s="177"/>
      <c r="K1912" s="207"/>
      <c r="L1912" s="207"/>
    </row>
    <row r="1913" spans="1:18" ht="48" hidden="1" customHeight="1">
      <c r="A1913" s="82" t="s">
        <v>606</v>
      </c>
      <c r="B1913" s="83">
        <v>795</v>
      </c>
      <c r="C1913" s="84" t="s">
        <v>54</v>
      </c>
      <c r="D1913" s="84" t="s">
        <v>123</v>
      </c>
      <c r="E1913" s="84" t="s">
        <v>406</v>
      </c>
      <c r="F1913" s="84"/>
      <c r="G1913" s="87">
        <f>G1914</f>
        <v>0</v>
      </c>
      <c r="H1913" s="87">
        <v>0</v>
      </c>
      <c r="I1913" s="87">
        <v>0</v>
      </c>
      <c r="J1913" s="177"/>
      <c r="K1913" s="207"/>
      <c r="L1913" s="207"/>
    </row>
    <row r="1914" spans="1:18" ht="22.5" hidden="1" customHeight="1">
      <c r="A1914" s="82" t="s">
        <v>156</v>
      </c>
      <c r="B1914" s="83">
        <v>795</v>
      </c>
      <c r="C1914" s="84" t="s">
        <v>54</v>
      </c>
      <c r="D1914" s="84" t="s">
        <v>123</v>
      </c>
      <c r="E1914" s="84" t="s">
        <v>406</v>
      </c>
      <c r="F1914" s="84" t="s">
        <v>157</v>
      </c>
      <c r="G1914" s="87">
        <f>G1915</f>
        <v>0</v>
      </c>
      <c r="H1914" s="87">
        <v>0</v>
      </c>
      <c r="I1914" s="87">
        <v>0</v>
      </c>
      <c r="J1914" s="177"/>
      <c r="K1914" s="207"/>
      <c r="L1914" s="207"/>
    </row>
    <row r="1915" spans="1:18" ht="16.5" hidden="1" customHeight="1">
      <c r="A1915" s="82" t="s">
        <v>170</v>
      </c>
      <c r="B1915" s="83">
        <v>795</v>
      </c>
      <c r="C1915" s="84" t="s">
        <v>54</v>
      </c>
      <c r="D1915" s="84" t="s">
        <v>123</v>
      </c>
      <c r="E1915" s="84" t="s">
        <v>406</v>
      </c>
      <c r="F1915" s="84" t="s">
        <v>171</v>
      </c>
      <c r="G1915" s="87"/>
      <c r="H1915" s="87">
        <v>0</v>
      </c>
      <c r="I1915" s="87">
        <v>0</v>
      </c>
      <c r="J1915" s="177"/>
      <c r="K1915" s="207"/>
      <c r="L1915" s="207"/>
    </row>
    <row r="1916" spans="1:18" s="18" customFormat="1" ht="122.25" hidden="1" customHeight="1">
      <c r="A1916" s="142" t="s">
        <v>674</v>
      </c>
      <c r="B1916" s="83">
        <v>795</v>
      </c>
      <c r="C1916" s="84" t="s">
        <v>54</v>
      </c>
      <c r="D1916" s="84" t="s">
        <v>123</v>
      </c>
      <c r="E1916" s="84" t="s">
        <v>623</v>
      </c>
      <c r="F1916" s="84"/>
      <c r="G1916" s="87">
        <f>G1917+G1919</f>
        <v>0</v>
      </c>
      <c r="H1916" s="87">
        <f t="shared" ref="H1916:I1916" si="484">H1917+H1919</f>
        <v>0</v>
      </c>
      <c r="I1916" s="87">
        <f t="shared" si="484"/>
        <v>0</v>
      </c>
      <c r="J1916" s="177"/>
      <c r="K1916" s="202"/>
      <c r="L1916" s="202"/>
      <c r="M1916" s="200"/>
      <c r="N1916" s="200"/>
      <c r="O1916" s="200"/>
      <c r="P1916" s="200"/>
      <c r="Q1916" s="200"/>
      <c r="R1916" s="200"/>
    </row>
    <row r="1917" spans="1:18" s="18" customFormat="1" ht="24.75" hidden="1" customHeight="1">
      <c r="A1917" s="82" t="s">
        <v>323</v>
      </c>
      <c r="B1917" s="83">
        <v>795</v>
      </c>
      <c r="C1917" s="84" t="s">
        <v>54</v>
      </c>
      <c r="D1917" s="84" t="s">
        <v>123</v>
      </c>
      <c r="E1917" s="84" t="s">
        <v>623</v>
      </c>
      <c r="F1917" s="84" t="s">
        <v>37</v>
      </c>
      <c r="G1917" s="87">
        <f t="shared" ref="G1917:I1917" si="485">G1918</f>
        <v>0</v>
      </c>
      <c r="H1917" s="87">
        <f t="shared" si="485"/>
        <v>0</v>
      </c>
      <c r="I1917" s="87">
        <f t="shared" si="485"/>
        <v>0</v>
      </c>
      <c r="J1917" s="177"/>
      <c r="K1917" s="202"/>
      <c r="L1917" s="202"/>
      <c r="M1917" s="200"/>
      <c r="N1917" s="200"/>
      <c r="O1917" s="200"/>
      <c r="P1917" s="200"/>
      <c r="Q1917" s="200"/>
      <c r="R1917" s="200"/>
    </row>
    <row r="1918" spans="1:18" s="18" customFormat="1" ht="30.75" hidden="1" customHeight="1">
      <c r="A1918" s="82" t="s">
        <v>38</v>
      </c>
      <c r="B1918" s="83">
        <v>795</v>
      </c>
      <c r="C1918" s="84" t="s">
        <v>54</v>
      </c>
      <c r="D1918" s="84" t="s">
        <v>123</v>
      </c>
      <c r="E1918" s="84" t="s">
        <v>623</v>
      </c>
      <c r="F1918" s="84" t="s">
        <v>39</v>
      </c>
      <c r="G1918" s="87">
        <f>5365800-50+268287.5-5634037.5</f>
        <v>0</v>
      </c>
      <c r="H1918" s="87"/>
      <c r="I1918" s="87"/>
      <c r="J1918" s="177"/>
      <c r="K1918" s="202"/>
      <c r="L1918" s="202"/>
      <c r="M1918" s="200"/>
      <c r="N1918" s="200"/>
      <c r="O1918" s="200"/>
      <c r="P1918" s="200"/>
      <c r="Q1918" s="200"/>
      <c r="R1918" s="200"/>
    </row>
    <row r="1919" spans="1:18" s="90" customFormat="1" ht="22.5" hidden="1" customHeight="1">
      <c r="A1919" s="82" t="s">
        <v>156</v>
      </c>
      <c r="B1919" s="83">
        <v>795</v>
      </c>
      <c r="C1919" s="84" t="s">
        <v>54</v>
      </c>
      <c r="D1919" s="84" t="s">
        <v>123</v>
      </c>
      <c r="E1919" s="84" t="s">
        <v>623</v>
      </c>
      <c r="F1919" s="84" t="s">
        <v>157</v>
      </c>
      <c r="G1919" s="87">
        <f>G1920</f>
        <v>0</v>
      </c>
      <c r="H1919" s="87">
        <f t="shared" ref="H1919:I1919" si="486">H1920</f>
        <v>0</v>
      </c>
      <c r="I1919" s="87">
        <f t="shared" si="486"/>
        <v>0</v>
      </c>
      <c r="J1919" s="177"/>
      <c r="K1919" s="207"/>
      <c r="L1919" s="207"/>
      <c r="M1919" s="186"/>
      <c r="N1919" s="186"/>
      <c r="O1919" s="186"/>
      <c r="P1919" s="186"/>
      <c r="Q1919" s="186"/>
      <c r="R1919" s="186"/>
    </row>
    <row r="1920" spans="1:18" s="90" customFormat="1" ht="16.5" hidden="1" customHeight="1">
      <c r="A1920" s="82" t="s">
        <v>178</v>
      </c>
      <c r="B1920" s="83">
        <v>795</v>
      </c>
      <c r="C1920" s="84" t="s">
        <v>54</v>
      </c>
      <c r="D1920" s="84" t="s">
        <v>123</v>
      </c>
      <c r="E1920" s="84" t="s">
        <v>623</v>
      </c>
      <c r="F1920" s="84" t="s">
        <v>179</v>
      </c>
      <c r="G1920" s="87"/>
      <c r="H1920" s="127"/>
      <c r="I1920" s="127"/>
      <c r="J1920" s="198"/>
      <c r="K1920" s="207"/>
      <c r="L1920" s="207"/>
      <c r="M1920" s="186"/>
      <c r="N1920" s="186"/>
      <c r="O1920" s="186"/>
      <c r="P1920" s="186"/>
      <c r="Q1920" s="186"/>
      <c r="R1920" s="186"/>
    </row>
    <row r="1921" spans="1:18" s="18" customFormat="1" ht="32.25" hidden="1" customHeight="1">
      <c r="A1921" s="82" t="s">
        <v>518</v>
      </c>
      <c r="B1921" s="83">
        <v>795</v>
      </c>
      <c r="C1921" s="84" t="s">
        <v>54</v>
      </c>
      <c r="D1921" s="84" t="s">
        <v>123</v>
      </c>
      <c r="E1921" s="84" t="s">
        <v>202</v>
      </c>
      <c r="F1921" s="84"/>
      <c r="G1921" s="87">
        <f t="shared" ref="G1921:I1926" si="487">G1922</f>
        <v>0</v>
      </c>
      <c r="H1921" s="87">
        <f t="shared" si="487"/>
        <v>0</v>
      </c>
      <c r="I1921" s="87">
        <f>I1922+I1925</f>
        <v>0</v>
      </c>
      <c r="J1921" s="177"/>
      <c r="K1921" s="202"/>
      <c r="L1921" s="202"/>
      <c r="M1921" s="200"/>
      <c r="N1921" s="200"/>
      <c r="O1921" s="200"/>
      <c r="P1921" s="200"/>
      <c r="Q1921" s="200"/>
      <c r="R1921" s="200"/>
    </row>
    <row r="1922" spans="1:18" s="18" customFormat="1" ht="56.25" hidden="1" customHeight="1">
      <c r="A1922" s="82" t="s">
        <v>793</v>
      </c>
      <c r="B1922" s="83">
        <v>795</v>
      </c>
      <c r="C1922" s="84" t="s">
        <v>54</v>
      </c>
      <c r="D1922" s="84" t="s">
        <v>123</v>
      </c>
      <c r="E1922" s="84" t="s">
        <v>418</v>
      </c>
      <c r="F1922" s="84"/>
      <c r="G1922" s="87">
        <f t="shared" si="487"/>
        <v>0</v>
      </c>
      <c r="H1922" s="87">
        <f t="shared" si="487"/>
        <v>0</v>
      </c>
      <c r="I1922" s="87">
        <f t="shared" si="487"/>
        <v>0</v>
      </c>
      <c r="J1922" s="177"/>
      <c r="K1922" s="202"/>
      <c r="L1922" s="202"/>
      <c r="M1922" s="200"/>
      <c r="N1922" s="200"/>
      <c r="O1922" s="200"/>
      <c r="P1922" s="200"/>
      <c r="Q1922" s="200"/>
      <c r="R1922" s="200"/>
    </row>
    <row r="1923" spans="1:18" s="18" customFormat="1" ht="39" hidden="1" customHeight="1">
      <c r="A1923" s="82" t="s">
        <v>96</v>
      </c>
      <c r="B1923" s="83">
        <v>795</v>
      </c>
      <c r="C1923" s="84" t="s">
        <v>54</v>
      </c>
      <c r="D1923" s="84" t="s">
        <v>123</v>
      </c>
      <c r="E1923" s="84" t="s">
        <v>418</v>
      </c>
      <c r="F1923" s="84" t="s">
        <v>348</v>
      </c>
      <c r="G1923" s="87">
        <f t="shared" si="487"/>
        <v>0</v>
      </c>
      <c r="H1923" s="87">
        <f t="shared" si="487"/>
        <v>0</v>
      </c>
      <c r="I1923" s="87">
        <f t="shared" si="487"/>
        <v>0</v>
      </c>
      <c r="J1923" s="177"/>
      <c r="K1923" s="202"/>
      <c r="L1923" s="202"/>
      <c r="M1923" s="200"/>
      <c r="N1923" s="200"/>
      <c r="O1923" s="200"/>
      <c r="P1923" s="200"/>
      <c r="Q1923" s="200"/>
      <c r="R1923" s="200"/>
    </row>
    <row r="1924" spans="1:18" s="18" customFormat="1" ht="15.75" hidden="1" customHeight="1">
      <c r="A1924" s="82" t="s">
        <v>349</v>
      </c>
      <c r="B1924" s="83">
        <v>795</v>
      </c>
      <c r="C1924" s="84" t="s">
        <v>54</v>
      </c>
      <c r="D1924" s="84" t="s">
        <v>123</v>
      </c>
      <c r="E1924" s="84" t="s">
        <v>418</v>
      </c>
      <c r="F1924" s="84" t="s">
        <v>350</v>
      </c>
      <c r="G1924" s="87"/>
      <c r="H1924" s="87"/>
      <c r="I1924" s="87"/>
      <c r="J1924" s="177"/>
      <c r="K1924" s="202"/>
      <c r="L1924" s="202"/>
      <c r="M1924" s="200"/>
      <c r="N1924" s="200"/>
      <c r="O1924" s="200"/>
      <c r="P1924" s="200"/>
      <c r="Q1924" s="200"/>
      <c r="R1924" s="200"/>
    </row>
    <row r="1925" spans="1:18" s="18" customFormat="1" ht="70.5" hidden="1" customHeight="1">
      <c r="A1925" s="82" t="s">
        <v>594</v>
      </c>
      <c r="B1925" s="83">
        <v>795</v>
      </c>
      <c r="C1925" s="84" t="s">
        <v>54</v>
      </c>
      <c r="D1925" s="84" t="s">
        <v>123</v>
      </c>
      <c r="E1925" s="84" t="s">
        <v>593</v>
      </c>
      <c r="F1925" s="84"/>
      <c r="G1925" s="87">
        <f t="shared" si="487"/>
        <v>0</v>
      </c>
      <c r="H1925" s="87">
        <f t="shared" si="487"/>
        <v>0</v>
      </c>
      <c r="I1925" s="87">
        <f t="shared" si="487"/>
        <v>0</v>
      </c>
      <c r="J1925" s="177"/>
      <c r="K1925" s="202"/>
      <c r="L1925" s="202"/>
      <c r="M1925" s="200"/>
      <c r="N1925" s="200"/>
      <c r="O1925" s="200"/>
      <c r="P1925" s="200"/>
      <c r="Q1925" s="200"/>
      <c r="R1925" s="200"/>
    </row>
    <row r="1926" spans="1:18" s="18" customFormat="1" ht="39" hidden="1" customHeight="1">
      <c r="A1926" s="82" t="s">
        <v>96</v>
      </c>
      <c r="B1926" s="83">
        <v>795</v>
      </c>
      <c r="C1926" s="84" t="s">
        <v>54</v>
      </c>
      <c r="D1926" s="84" t="s">
        <v>123</v>
      </c>
      <c r="E1926" s="84" t="s">
        <v>593</v>
      </c>
      <c r="F1926" s="84" t="s">
        <v>348</v>
      </c>
      <c r="G1926" s="87">
        <f t="shared" si="487"/>
        <v>0</v>
      </c>
      <c r="H1926" s="87">
        <f t="shared" si="487"/>
        <v>0</v>
      </c>
      <c r="I1926" s="87">
        <f t="shared" si="487"/>
        <v>0</v>
      </c>
      <c r="J1926" s="177"/>
      <c r="K1926" s="202"/>
      <c r="L1926" s="202"/>
      <c r="M1926" s="200"/>
      <c r="N1926" s="200"/>
      <c r="O1926" s="200"/>
      <c r="P1926" s="200"/>
      <c r="Q1926" s="200"/>
      <c r="R1926" s="200"/>
    </row>
    <row r="1927" spans="1:18" s="18" customFormat="1" ht="15.75" hidden="1" customHeight="1">
      <c r="A1927" s="82" t="s">
        <v>349</v>
      </c>
      <c r="B1927" s="83">
        <v>795</v>
      </c>
      <c r="C1927" s="84" t="s">
        <v>54</v>
      </c>
      <c r="D1927" s="84" t="s">
        <v>123</v>
      </c>
      <c r="E1927" s="84" t="s">
        <v>593</v>
      </c>
      <c r="F1927" s="84" t="s">
        <v>350</v>
      </c>
      <c r="G1927" s="87"/>
      <c r="H1927" s="87"/>
      <c r="I1927" s="87"/>
      <c r="J1927" s="177"/>
      <c r="K1927" s="202"/>
      <c r="L1927" s="202"/>
      <c r="M1927" s="200"/>
      <c r="N1927" s="200"/>
      <c r="O1927" s="200"/>
      <c r="P1927" s="200"/>
      <c r="Q1927" s="200"/>
      <c r="R1927" s="200"/>
    </row>
    <row r="1928" spans="1:18" ht="25.5" hidden="1">
      <c r="A1928" s="139" t="s">
        <v>169</v>
      </c>
      <c r="B1928" s="149">
        <v>793</v>
      </c>
      <c r="C1928" s="84" t="s">
        <v>54</v>
      </c>
      <c r="D1928" s="84" t="s">
        <v>123</v>
      </c>
      <c r="E1928" s="84" t="s">
        <v>233</v>
      </c>
      <c r="F1928" s="149"/>
      <c r="G1928" s="87">
        <f>G1929</f>
        <v>0</v>
      </c>
      <c r="H1928" s="87">
        <f t="shared" ref="H1928:I1928" si="488">H1929</f>
        <v>0</v>
      </c>
      <c r="I1928" s="87">
        <f t="shared" si="488"/>
        <v>0</v>
      </c>
      <c r="J1928" s="177"/>
      <c r="K1928" s="208"/>
      <c r="L1928" s="207"/>
    </row>
    <row r="1929" spans="1:18" ht="25.5" hidden="1">
      <c r="A1929" s="82" t="s">
        <v>323</v>
      </c>
      <c r="B1929" s="149">
        <v>793</v>
      </c>
      <c r="C1929" s="84" t="s">
        <v>54</v>
      </c>
      <c r="D1929" s="84" t="s">
        <v>123</v>
      </c>
      <c r="E1929" s="84" t="s">
        <v>275</v>
      </c>
      <c r="F1929" s="84" t="s">
        <v>37</v>
      </c>
      <c r="G1929" s="87">
        <f>G1930</f>
        <v>0</v>
      </c>
      <c r="H1929" s="87">
        <f>H1930</f>
        <v>0</v>
      </c>
      <c r="I1929" s="87">
        <f>I1930</f>
        <v>0</v>
      </c>
      <c r="J1929" s="177"/>
      <c r="K1929" s="208"/>
      <c r="L1929" s="207"/>
    </row>
    <row r="1930" spans="1:18" ht="35.25" hidden="1" customHeight="1">
      <c r="A1930" s="82" t="s">
        <v>38</v>
      </c>
      <c r="B1930" s="149">
        <v>793</v>
      </c>
      <c r="C1930" s="84" t="s">
        <v>54</v>
      </c>
      <c r="D1930" s="84" t="s">
        <v>123</v>
      </c>
      <c r="E1930" s="84" t="s">
        <v>275</v>
      </c>
      <c r="F1930" s="84" t="s">
        <v>39</v>
      </c>
      <c r="G1930" s="87"/>
      <c r="H1930" s="87"/>
      <c r="I1930" s="87"/>
      <c r="J1930" s="177"/>
      <c r="K1930" s="208"/>
      <c r="L1930" s="207"/>
    </row>
    <row r="1931" spans="1:18" s="28" customFormat="1" ht="24.75" hidden="1" customHeight="1">
      <c r="A1931" s="139" t="s">
        <v>169</v>
      </c>
      <c r="B1931" s="149">
        <v>793</v>
      </c>
      <c r="C1931" s="84" t="s">
        <v>54</v>
      </c>
      <c r="D1931" s="84" t="s">
        <v>123</v>
      </c>
      <c r="E1931" s="84" t="s">
        <v>233</v>
      </c>
      <c r="F1931" s="168"/>
      <c r="G1931" s="87">
        <f t="shared" ref="G1931:I1931" si="489">G1932</f>
        <v>0</v>
      </c>
      <c r="H1931" s="87">
        <f t="shared" si="489"/>
        <v>0</v>
      </c>
      <c r="I1931" s="87">
        <f t="shared" si="489"/>
        <v>0</v>
      </c>
      <c r="J1931" s="177"/>
      <c r="K1931" s="217"/>
      <c r="L1931" s="217"/>
      <c r="M1931" s="204"/>
      <c r="N1931" s="204"/>
      <c r="O1931" s="204"/>
      <c r="P1931" s="204"/>
      <c r="Q1931" s="204"/>
      <c r="R1931" s="204"/>
    </row>
    <row r="1932" spans="1:18" ht="25.5" hidden="1">
      <c r="A1932" s="139" t="s">
        <v>169</v>
      </c>
      <c r="B1932" s="83">
        <v>795</v>
      </c>
      <c r="C1932" s="84" t="s">
        <v>54</v>
      </c>
      <c r="D1932" s="84" t="s">
        <v>123</v>
      </c>
      <c r="E1932" s="84" t="s">
        <v>275</v>
      </c>
      <c r="F1932" s="84"/>
      <c r="G1932" s="87">
        <f>G1933+G1935</f>
        <v>0</v>
      </c>
      <c r="H1932" s="87">
        <f>H1933+H1935</f>
        <v>0</v>
      </c>
      <c r="I1932" s="87">
        <f>I1933+I1935</f>
        <v>0</v>
      </c>
      <c r="J1932" s="177"/>
      <c r="K1932" s="207"/>
      <c r="L1932" s="207"/>
    </row>
    <row r="1933" spans="1:18" hidden="1">
      <c r="A1933" s="82"/>
      <c r="B1933" s="83"/>
      <c r="C1933" s="84" t="s">
        <v>54</v>
      </c>
      <c r="D1933" s="84" t="s">
        <v>123</v>
      </c>
      <c r="E1933" s="84" t="s">
        <v>275</v>
      </c>
      <c r="F1933" s="84"/>
      <c r="G1933" s="87"/>
      <c r="H1933" s="87"/>
      <c r="I1933" s="87"/>
      <c r="J1933" s="177"/>
      <c r="K1933" s="207"/>
      <c r="L1933" s="207"/>
    </row>
    <row r="1934" spans="1:18" ht="30.75" hidden="1" customHeight="1">
      <c r="A1934" s="82"/>
      <c r="B1934" s="83"/>
      <c r="C1934" s="84" t="s">
        <v>54</v>
      </c>
      <c r="D1934" s="84" t="s">
        <v>123</v>
      </c>
      <c r="E1934" s="84" t="s">
        <v>275</v>
      </c>
      <c r="F1934" s="84"/>
      <c r="G1934" s="87"/>
      <c r="H1934" s="87"/>
      <c r="I1934" s="87"/>
      <c r="J1934" s="177"/>
      <c r="K1934" s="207"/>
      <c r="L1934" s="207"/>
    </row>
    <row r="1935" spans="1:18" ht="30.75" hidden="1" customHeight="1">
      <c r="A1935" s="82" t="s">
        <v>36</v>
      </c>
      <c r="B1935" s="83">
        <v>795</v>
      </c>
      <c r="C1935" s="84" t="s">
        <v>54</v>
      </c>
      <c r="D1935" s="84" t="s">
        <v>123</v>
      </c>
      <c r="E1935" s="84" t="s">
        <v>275</v>
      </c>
      <c r="F1935" s="84" t="s">
        <v>37</v>
      </c>
      <c r="G1935" s="87">
        <f>G1936</f>
        <v>0</v>
      </c>
      <c r="H1935" s="87">
        <f>H1936</f>
        <v>0</v>
      </c>
      <c r="I1935" s="87">
        <f>I1936</f>
        <v>0</v>
      </c>
      <c r="J1935" s="177"/>
      <c r="K1935" s="207"/>
      <c r="L1935" s="207"/>
    </row>
    <row r="1936" spans="1:18" ht="35.25" hidden="1" customHeight="1">
      <c r="A1936" s="82" t="s">
        <v>38</v>
      </c>
      <c r="B1936" s="83">
        <v>795</v>
      </c>
      <c r="C1936" s="84" t="s">
        <v>54</v>
      </c>
      <c r="D1936" s="84" t="s">
        <v>123</v>
      </c>
      <c r="E1936" s="84" t="s">
        <v>275</v>
      </c>
      <c r="F1936" s="84" t="s">
        <v>39</v>
      </c>
      <c r="G1936" s="87"/>
      <c r="H1936" s="87"/>
      <c r="I1936" s="87"/>
      <c r="J1936" s="177"/>
      <c r="K1936" s="207"/>
      <c r="L1936" s="207"/>
    </row>
    <row r="1937" spans="1:18" s="46" customFormat="1" ht="23.25" hidden="1" customHeight="1">
      <c r="A1937" s="82" t="s">
        <v>87</v>
      </c>
      <c r="B1937" s="83">
        <v>795</v>
      </c>
      <c r="C1937" s="147" t="s">
        <v>54</v>
      </c>
      <c r="D1937" s="147" t="s">
        <v>88</v>
      </c>
      <c r="E1937" s="84"/>
      <c r="F1937" s="84"/>
      <c r="G1937" s="87">
        <f>G1938</f>
        <v>0</v>
      </c>
      <c r="H1937" s="87">
        <f t="shared" ref="H1937:I1937" si="490">H1938</f>
        <v>0</v>
      </c>
      <c r="I1937" s="87">
        <f t="shared" si="490"/>
        <v>0</v>
      </c>
      <c r="J1937" s="177"/>
      <c r="K1937" s="207"/>
      <c r="L1937" s="207"/>
      <c r="M1937" s="222"/>
      <c r="N1937" s="222"/>
      <c r="O1937" s="222"/>
      <c r="P1937" s="222"/>
      <c r="Q1937" s="222"/>
      <c r="R1937" s="222"/>
    </row>
    <row r="1938" spans="1:18" s="22" customFormat="1" ht="57" hidden="1" customHeight="1">
      <c r="A1938" s="82" t="s">
        <v>494</v>
      </c>
      <c r="B1938" s="83">
        <v>795</v>
      </c>
      <c r="C1938" s="147" t="s">
        <v>54</v>
      </c>
      <c r="D1938" s="147" t="s">
        <v>88</v>
      </c>
      <c r="E1938" s="148" t="s">
        <v>295</v>
      </c>
      <c r="F1938" s="147"/>
      <c r="G1938" s="93">
        <f>G1939</f>
        <v>0</v>
      </c>
      <c r="H1938" s="93">
        <f>H1939</f>
        <v>0</v>
      </c>
      <c r="I1938" s="93">
        <f>I1939</f>
        <v>0</v>
      </c>
      <c r="J1938" s="195"/>
      <c r="K1938" s="207"/>
      <c r="L1938" s="207"/>
      <c r="M1938" s="207"/>
      <c r="N1938" s="207"/>
      <c r="O1938" s="207"/>
      <c r="P1938" s="207"/>
      <c r="Q1938" s="207"/>
      <c r="R1938" s="207"/>
    </row>
    <row r="1939" spans="1:18" s="22" customFormat="1" ht="25.5" hidden="1">
      <c r="A1939" s="82" t="s">
        <v>76</v>
      </c>
      <c r="B1939" s="83">
        <v>795</v>
      </c>
      <c r="C1939" s="147" t="s">
        <v>54</v>
      </c>
      <c r="D1939" s="147" t="s">
        <v>88</v>
      </c>
      <c r="E1939" s="148" t="s">
        <v>282</v>
      </c>
      <c r="F1939" s="147"/>
      <c r="G1939" s="93">
        <f>G1940+G1943+G1944</f>
        <v>0</v>
      </c>
      <c r="H1939" s="93">
        <f t="shared" ref="H1939:I1939" si="491">H1940+H1943+H1944</f>
        <v>0</v>
      </c>
      <c r="I1939" s="93">
        <f t="shared" si="491"/>
        <v>0</v>
      </c>
      <c r="J1939" s="195"/>
      <c r="K1939" s="207"/>
      <c r="L1939" s="207"/>
      <c r="M1939" s="207"/>
      <c r="N1939" s="207"/>
      <c r="O1939" s="207"/>
      <c r="P1939" s="207"/>
      <c r="Q1939" s="207"/>
      <c r="R1939" s="207"/>
    </row>
    <row r="1940" spans="1:18" s="22" customFormat="1" ht="63.75" hidden="1">
      <c r="A1940" s="146" t="s">
        <v>55</v>
      </c>
      <c r="B1940" s="83">
        <v>795</v>
      </c>
      <c r="C1940" s="147" t="s">
        <v>54</v>
      </c>
      <c r="D1940" s="147" t="s">
        <v>88</v>
      </c>
      <c r="E1940" s="148" t="s">
        <v>282</v>
      </c>
      <c r="F1940" s="148" t="s">
        <v>58</v>
      </c>
      <c r="G1940" s="93">
        <f>G1941</f>
        <v>0</v>
      </c>
      <c r="H1940" s="93">
        <f>H1941</f>
        <v>0</v>
      </c>
      <c r="I1940" s="93">
        <f>I1941</f>
        <v>0</v>
      </c>
      <c r="J1940" s="195"/>
      <c r="K1940" s="207"/>
      <c r="L1940" s="207"/>
      <c r="M1940" s="207"/>
      <c r="N1940" s="207"/>
      <c r="O1940" s="207"/>
      <c r="P1940" s="207"/>
      <c r="Q1940" s="207"/>
      <c r="R1940" s="207"/>
    </row>
    <row r="1941" spans="1:18" s="22" customFormat="1" ht="25.5" hidden="1">
      <c r="A1941" s="146" t="s">
        <v>56</v>
      </c>
      <c r="B1941" s="83">
        <v>795</v>
      </c>
      <c r="C1941" s="147" t="s">
        <v>54</v>
      </c>
      <c r="D1941" s="147" t="s">
        <v>88</v>
      </c>
      <c r="E1941" s="148" t="s">
        <v>282</v>
      </c>
      <c r="F1941" s="148" t="s">
        <v>59</v>
      </c>
      <c r="G1941" s="93"/>
      <c r="H1941" s="93"/>
      <c r="I1941" s="93"/>
      <c r="J1941" s="195"/>
      <c r="K1941" s="207"/>
      <c r="L1941" s="207"/>
      <c r="M1941" s="207"/>
      <c r="N1941" s="207"/>
      <c r="O1941" s="207"/>
      <c r="P1941" s="207"/>
      <c r="Q1941" s="207"/>
      <c r="R1941" s="207"/>
    </row>
    <row r="1942" spans="1:18" ht="25.5" hidden="1">
      <c r="A1942" s="82" t="s">
        <v>36</v>
      </c>
      <c r="B1942" s="83">
        <v>795</v>
      </c>
      <c r="C1942" s="147" t="s">
        <v>54</v>
      </c>
      <c r="D1942" s="147" t="s">
        <v>88</v>
      </c>
      <c r="E1942" s="148" t="s">
        <v>282</v>
      </c>
      <c r="F1942" s="84" t="s">
        <v>37</v>
      </c>
      <c r="G1942" s="87">
        <f>G1943</f>
        <v>0</v>
      </c>
      <c r="H1942" s="87">
        <f t="shared" ref="H1942:I1942" si="492">H1943</f>
        <v>0</v>
      </c>
      <c r="I1942" s="87">
        <f t="shared" si="492"/>
        <v>0</v>
      </c>
      <c r="J1942" s="177"/>
      <c r="K1942" s="207"/>
      <c r="L1942" s="207"/>
    </row>
    <row r="1943" spans="1:18" ht="25.5" hidden="1">
      <c r="A1943" s="82" t="s">
        <v>38</v>
      </c>
      <c r="B1943" s="83">
        <v>795</v>
      </c>
      <c r="C1943" s="147" t="s">
        <v>54</v>
      </c>
      <c r="D1943" s="147" t="s">
        <v>88</v>
      </c>
      <c r="E1943" s="148" t="s">
        <v>282</v>
      </c>
      <c r="F1943" s="84" t="s">
        <v>39</v>
      </c>
      <c r="G1943" s="87"/>
      <c r="H1943" s="87"/>
      <c r="I1943" s="87"/>
      <c r="J1943" s="177"/>
      <c r="K1943" s="207"/>
      <c r="L1943" s="207"/>
    </row>
    <row r="1944" spans="1:18" s="46" customFormat="1" hidden="1">
      <c r="A1944" s="82" t="s">
        <v>63</v>
      </c>
      <c r="B1944" s="149">
        <v>795</v>
      </c>
      <c r="C1944" s="147" t="s">
        <v>54</v>
      </c>
      <c r="D1944" s="147" t="s">
        <v>88</v>
      </c>
      <c r="E1944" s="148" t="s">
        <v>282</v>
      </c>
      <c r="F1944" s="84" t="s">
        <v>64</v>
      </c>
      <c r="G1944" s="87">
        <f>G1945</f>
        <v>0</v>
      </c>
      <c r="H1944" s="87">
        <f>H1945</f>
        <v>0</v>
      </c>
      <c r="I1944" s="87">
        <f>I1945</f>
        <v>0</v>
      </c>
      <c r="J1944" s="177"/>
      <c r="K1944" s="207"/>
      <c r="L1944" s="207"/>
      <c r="M1944" s="222"/>
      <c r="N1944" s="222"/>
      <c r="O1944" s="222"/>
      <c r="P1944" s="222"/>
      <c r="Q1944" s="222"/>
      <c r="R1944" s="222"/>
    </row>
    <row r="1945" spans="1:18" s="46" customFormat="1" hidden="1">
      <c r="A1945" s="82" t="s">
        <v>144</v>
      </c>
      <c r="B1945" s="149">
        <v>795</v>
      </c>
      <c r="C1945" s="147" t="s">
        <v>54</v>
      </c>
      <c r="D1945" s="147" t="s">
        <v>88</v>
      </c>
      <c r="E1945" s="148" t="s">
        <v>282</v>
      </c>
      <c r="F1945" s="84" t="s">
        <v>67</v>
      </c>
      <c r="G1945" s="87"/>
      <c r="H1945" s="87"/>
      <c r="I1945" s="87"/>
      <c r="J1945" s="177"/>
      <c r="K1945" s="207"/>
      <c r="L1945" s="207"/>
      <c r="M1945" s="222"/>
      <c r="N1945" s="222"/>
      <c r="O1945" s="222"/>
      <c r="P1945" s="222"/>
      <c r="Q1945" s="222"/>
      <c r="R1945" s="222"/>
    </row>
    <row r="1946" spans="1:18" hidden="1">
      <c r="A1946" s="134" t="s">
        <v>346</v>
      </c>
      <c r="B1946" s="273">
        <v>795</v>
      </c>
      <c r="C1946" s="270" t="s">
        <v>173</v>
      </c>
      <c r="D1946" s="270"/>
      <c r="E1946" s="270"/>
      <c r="F1946" s="270"/>
      <c r="G1946" s="267">
        <f>G1976+G1947+G2053+G2076</f>
        <v>0</v>
      </c>
      <c r="H1946" s="267">
        <f>H1976+H1947+H2053+H2076</f>
        <v>0</v>
      </c>
      <c r="I1946" s="267">
        <f>I1976+I1947+I2053+I2076</f>
        <v>0</v>
      </c>
      <c r="J1946" s="191"/>
      <c r="K1946" s="207"/>
      <c r="L1946" s="207"/>
    </row>
    <row r="1947" spans="1:18" hidden="1">
      <c r="A1947" s="132" t="s">
        <v>174</v>
      </c>
      <c r="B1947" s="83">
        <v>795</v>
      </c>
      <c r="C1947" s="153" t="s">
        <v>173</v>
      </c>
      <c r="D1947" s="153" t="s">
        <v>19</v>
      </c>
      <c r="E1947" s="270"/>
      <c r="F1947" s="270"/>
      <c r="G1947" s="94">
        <f>G1948+G1961+G1971</f>
        <v>0</v>
      </c>
      <c r="H1947" s="94">
        <f>H1948+H1961+H1971</f>
        <v>0</v>
      </c>
      <c r="I1947" s="94">
        <f>I1948+I1961+I1971</f>
        <v>0</v>
      </c>
      <c r="J1947" s="194"/>
      <c r="K1947" s="207"/>
      <c r="L1947" s="207"/>
    </row>
    <row r="1948" spans="1:18" s="3" customFormat="1" ht="52.5" hidden="1" customHeight="1">
      <c r="A1948" s="82" t="s">
        <v>494</v>
      </c>
      <c r="B1948" s="83">
        <v>795</v>
      </c>
      <c r="C1948" s="84" t="s">
        <v>173</v>
      </c>
      <c r="D1948" s="84" t="s">
        <v>19</v>
      </c>
      <c r="E1948" s="84" t="s">
        <v>295</v>
      </c>
      <c r="F1948" s="84"/>
      <c r="G1948" s="87">
        <f>G1949+G1952+G1955+G1958</f>
        <v>0</v>
      </c>
      <c r="H1948" s="87">
        <f t="shared" ref="H1948:I1948" si="493">H1949+H1952+H1955+H1958</f>
        <v>0</v>
      </c>
      <c r="I1948" s="87">
        <f t="shared" si="493"/>
        <v>0</v>
      </c>
      <c r="J1948" s="177"/>
      <c r="K1948" s="207"/>
      <c r="L1948" s="207"/>
      <c r="M1948" s="199"/>
      <c r="N1948" s="199"/>
      <c r="O1948" s="199"/>
      <c r="P1948" s="199"/>
      <c r="Q1948" s="199"/>
      <c r="R1948" s="199"/>
    </row>
    <row r="1949" spans="1:18" s="18" customFormat="1" ht="63" hidden="1" customHeight="1">
      <c r="A1949" s="82" t="s">
        <v>81</v>
      </c>
      <c r="B1949" s="83">
        <v>795</v>
      </c>
      <c r="C1949" s="84" t="s">
        <v>173</v>
      </c>
      <c r="D1949" s="84" t="s">
        <v>19</v>
      </c>
      <c r="E1949" s="84" t="s">
        <v>80</v>
      </c>
      <c r="F1949" s="84"/>
      <c r="G1949" s="87">
        <f t="shared" ref="G1949:I1950" si="494">G1950</f>
        <v>0</v>
      </c>
      <c r="H1949" s="87">
        <f t="shared" si="494"/>
        <v>0</v>
      </c>
      <c r="I1949" s="87">
        <f t="shared" si="494"/>
        <v>0</v>
      </c>
      <c r="J1949" s="177"/>
      <c r="K1949" s="202"/>
      <c r="L1949" s="202"/>
      <c r="M1949" s="200"/>
      <c r="N1949" s="200"/>
      <c r="O1949" s="200"/>
      <c r="P1949" s="200"/>
      <c r="Q1949" s="200"/>
      <c r="R1949" s="200"/>
    </row>
    <row r="1950" spans="1:18" ht="30.75" hidden="1" customHeight="1">
      <c r="A1950" s="82" t="s">
        <v>36</v>
      </c>
      <c r="B1950" s="83">
        <v>795</v>
      </c>
      <c r="C1950" s="84" t="s">
        <v>173</v>
      </c>
      <c r="D1950" s="84" t="s">
        <v>19</v>
      </c>
      <c r="E1950" s="84" t="s">
        <v>80</v>
      </c>
      <c r="F1950" s="84" t="s">
        <v>37</v>
      </c>
      <c r="G1950" s="87">
        <f t="shared" si="494"/>
        <v>0</v>
      </c>
      <c r="H1950" s="87">
        <f t="shared" si="494"/>
        <v>0</v>
      </c>
      <c r="I1950" s="87">
        <f t="shared" si="494"/>
        <v>0</v>
      </c>
      <c r="J1950" s="177"/>
      <c r="K1950" s="207"/>
      <c r="L1950" s="207"/>
    </row>
    <row r="1951" spans="1:18" s="18" customFormat="1" ht="34.5" hidden="1" customHeight="1">
      <c r="A1951" s="82" t="s">
        <v>38</v>
      </c>
      <c r="B1951" s="83">
        <v>795</v>
      </c>
      <c r="C1951" s="84" t="s">
        <v>173</v>
      </c>
      <c r="D1951" s="84" t="s">
        <v>19</v>
      </c>
      <c r="E1951" s="84" t="s">
        <v>80</v>
      </c>
      <c r="F1951" s="84" t="s">
        <v>39</v>
      </c>
      <c r="G1951" s="87"/>
      <c r="H1951" s="87"/>
      <c r="I1951" s="87"/>
      <c r="J1951" s="177"/>
      <c r="K1951" s="202"/>
      <c r="L1951" s="202"/>
      <c r="M1951" s="200"/>
      <c r="N1951" s="200"/>
      <c r="O1951" s="200"/>
      <c r="P1951" s="200"/>
      <c r="Q1951" s="200"/>
      <c r="R1951" s="200"/>
    </row>
    <row r="1952" spans="1:18" s="18" customFormat="1" ht="20.25" hidden="1" customHeight="1">
      <c r="A1952" s="82" t="s">
        <v>83</v>
      </c>
      <c r="B1952" s="83">
        <v>795</v>
      </c>
      <c r="C1952" s="84" t="s">
        <v>173</v>
      </c>
      <c r="D1952" s="84" t="s">
        <v>19</v>
      </c>
      <c r="E1952" s="84" t="s">
        <v>82</v>
      </c>
      <c r="F1952" s="84"/>
      <c r="G1952" s="87">
        <f t="shared" ref="G1952:I1953" si="495">G1953</f>
        <v>0</v>
      </c>
      <c r="H1952" s="87">
        <f t="shared" si="495"/>
        <v>0</v>
      </c>
      <c r="I1952" s="87">
        <f t="shared" si="495"/>
        <v>0</v>
      </c>
      <c r="J1952" s="177"/>
      <c r="K1952" s="202"/>
      <c r="L1952" s="202"/>
      <c r="M1952" s="200"/>
      <c r="N1952" s="200"/>
      <c r="O1952" s="200"/>
      <c r="P1952" s="200"/>
      <c r="Q1952" s="200"/>
      <c r="R1952" s="200"/>
    </row>
    <row r="1953" spans="1:18" ht="30.75" hidden="1" customHeight="1">
      <c r="A1953" s="82" t="s">
        <v>36</v>
      </c>
      <c r="B1953" s="83">
        <v>795</v>
      </c>
      <c r="C1953" s="84" t="s">
        <v>173</v>
      </c>
      <c r="D1953" s="84" t="s">
        <v>19</v>
      </c>
      <c r="E1953" s="84" t="s">
        <v>82</v>
      </c>
      <c r="F1953" s="84" t="s">
        <v>37</v>
      </c>
      <c r="G1953" s="87">
        <f t="shared" si="495"/>
        <v>0</v>
      </c>
      <c r="H1953" s="87">
        <f t="shared" si="495"/>
        <v>0</v>
      </c>
      <c r="I1953" s="87">
        <f t="shared" si="495"/>
        <v>0</v>
      </c>
      <c r="J1953" s="177"/>
      <c r="K1953" s="207"/>
      <c r="L1953" s="207"/>
    </row>
    <row r="1954" spans="1:18" s="18" customFormat="1" ht="34.5" hidden="1" customHeight="1">
      <c r="A1954" s="82" t="s">
        <v>38</v>
      </c>
      <c r="B1954" s="83">
        <v>795</v>
      </c>
      <c r="C1954" s="84" t="s">
        <v>173</v>
      </c>
      <c r="D1954" s="84" t="s">
        <v>19</v>
      </c>
      <c r="E1954" s="84" t="s">
        <v>82</v>
      </c>
      <c r="F1954" s="84" t="s">
        <v>39</v>
      </c>
      <c r="G1954" s="87"/>
      <c r="H1954" s="87"/>
      <c r="I1954" s="87"/>
      <c r="J1954" s="177"/>
      <c r="K1954" s="202"/>
      <c r="L1954" s="202"/>
      <c r="M1954" s="200"/>
      <c r="N1954" s="200"/>
      <c r="O1954" s="200"/>
      <c r="P1954" s="200"/>
      <c r="Q1954" s="200"/>
      <c r="R1954" s="200"/>
    </row>
    <row r="1955" spans="1:18" s="18" customFormat="1" ht="20.25" hidden="1" customHeight="1">
      <c r="A1955" s="82" t="s">
        <v>85</v>
      </c>
      <c r="B1955" s="83">
        <v>795</v>
      </c>
      <c r="C1955" s="84" t="s">
        <v>173</v>
      </c>
      <c r="D1955" s="84" t="s">
        <v>19</v>
      </c>
      <c r="E1955" s="84" t="s">
        <v>84</v>
      </c>
      <c r="F1955" s="84"/>
      <c r="G1955" s="87">
        <f t="shared" ref="G1955:I1956" si="496">G1956</f>
        <v>0</v>
      </c>
      <c r="H1955" s="87">
        <f t="shared" si="496"/>
        <v>0</v>
      </c>
      <c r="I1955" s="87">
        <f t="shared" si="496"/>
        <v>0</v>
      </c>
      <c r="J1955" s="177"/>
      <c r="K1955" s="202"/>
      <c r="L1955" s="202"/>
      <c r="M1955" s="200"/>
      <c r="N1955" s="200"/>
      <c r="O1955" s="200"/>
      <c r="P1955" s="200"/>
      <c r="Q1955" s="200"/>
      <c r="R1955" s="200"/>
    </row>
    <row r="1956" spans="1:18" ht="30.75" hidden="1" customHeight="1">
      <c r="A1956" s="82" t="s">
        <v>36</v>
      </c>
      <c r="B1956" s="83">
        <v>795</v>
      </c>
      <c r="C1956" s="84" t="s">
        <v>173</v>
      </c>
      <c r="D1956" s="84" t="s">
        <v>19</v>
      </c>
      <c r="E1956" s="84" t="s">
        <v>84</v>
      </c>
      <c r="F1956" s="84" t="s">
        <v>37</v>
      </c>
      <c r="G1956" s="87">
        <f t="shared" si="496"/>
        <v>0</v>
      </c>
      <c r="H1956" s="87">
        <f t="shared" si="496"/>
        <v>0</v>
      </c>
      <c r="I1956" s="87">
        <f t="shared" si="496"/>
        <v>0</v>
      </c>
      <c r="J1956" s="177"/>
      <c r="K1956" s="207"/>
      <c r="L1956" s="207"/>
    </row>
    <row r="1957" spans="1:18" s="18" customFormat="1" ht="34.5" hidden="1" customHeight="1">
      <c r="A1957" s="82" t="s">
        <v>38</v>
      </c>
      <c r="B1957" s="83">
        <v>795</v>
      </c>
      <c r="C1957" s="84" t="s">
        <v>173</v>
      </c>
      <c r="D1957" s="84" t="s">
        <v>19</v>
      </c>
      <c r="E1957" s="84" t="s">
        <v>84</v>
      </c>
      <c r="F1957" s="84" t="s">
        <v>39</v>
      </c>
      <c r="G1957" s="87"/>
      <c r="H1957" s="87"/>
      <c r="I1957" s="87"/>
      <c r="J1957" s="177"/>
      <c r="K1957" s="202"/>
      <c r="L1957" s="202"/>
      <c r="M1957" s="200"/>
      <c r="N1957" s="200"/>
      <c r="O1957" s="200"/>
      <c r="P1957" s="200"/>
      <c r="Q1957" s="200"/>
      <c r="R1957" s="200"/>
    </row>
    <row r="1958" spans="1:18" s="46" customFormat="1" ht="24" hidden="1" customHeight="1">
      <c r="A1958" s="82" t="s">
        <v>537</v>
      </c>
      <c r="B1958" s="83">
        <v>795</v>
      </c>
      <c r="C1958" s="153" t="s">
        <v>173</v>
      </c>
      <c r="D1958" s="153" t="s">
        <v>19</v>
      </c>
      <c r="E1958" s="84" t="s">
        <v>536</v>
      </c>
      <c r="F1958" s="84"/>
      <c r="G1958" s="87">
        <f t="shared" ref="G1958:I1959" si="497">G1959</f>
        <v>0</v>
      </c>
      <c r="H1958" s="87">
        <f t="shared" si="497"/>
        <v>0</v>
      </c>
      <c r="I1958" s="87">
        <f t="shared" si="497"/>
        <v>0</v>
      </c>
      <c r="J1958" s="177"/>
      <c r="K1958" s="207"/>
      <c r="L1958" s="207"/>
      <c r="M1958" s="222"/>
      <c r="N1958" s="222"/>
      <c r="O1958" s="222"/>
      <c r="P1958" s="222"/>
      <c r="Q1958" s="222"/>
      <c r="R1958" s="222"/>
    </row>
    <row r="1959" spans="1:18" s="46" customFormat="1" ht="28.5" hidden="1" customHeight="1">
      <c r="A1959" s="82" t="s">
        <v>323</v>
      </c>
      <c r="B1959" s="83">
        <v>795</v>
      </c>
      <c r="C1959" s="153" t="s">
        <v>173</v>
      </c>
      <c r="D1959" s="153" t="s">
        <v>19</v>
      </c>
      <c r="E1959" s="84" t="s">
        <v>536</v>
      </c>
      <c r="F1959" s="84" t="s">
        <v>37</v>
      </c>
      <c r="G1959" s="87">
        <f t="shared" si="497"/>
        <v>0</v>
      </c>
      <c r="H1959" s="87">
        <f t="shared" si="497"/>
        <v>0</v>
      </c>
      <c r="I1959" s="87">
        <f t="shared" si="497"/>
        <v>0</v>
      </c>
      <c r="J1959" s="177"/>
      <c r="K1959" s="207"/>
      <c r="L1959" s="207"/>
      <c r="M1959" s="222"/>
      <c r="N1959" s="222"/>
      <c r="O1959" s="222"/>
      <c r="P1959" s="222"/>
      <c r="Q1959" s="222"/>
      <c r="R1959" s="222"/>
    </row>
    <row r="1960" spans="1:18" s="46" customFormat="1" ht="28.5" hidden="1" customHeight="1">
      <c r="A1960" s="82" t="s">
        <v>38</v>
      </c>
      <c r="B1960" s="83">
        <v>795</v>
      </c>
      <c r="C1960" s="153" t="s">
        <v>173</v>
      </c>
      <c r="D1960" s="153" t="s">
        <v>19</v>
      </c>
      <c r="E1960" s="84" t="s">
        <v>536</v>
      </c>
      <c r="F1960" s="84" t="s">
        <v>39</v>
      </c>
      <c r="G1960" s="87"/>
      <c r="H1960" s="87">
        <v>0</v>
      </c>
      <c r="I1960" s="87">
        <v>0</v>
      </c>
      <c r="J1960" s="177"/>
      <c r="K1960" s="207"/>
      <c r="L1960" s="207"/>
      <c r="M1960" s="222"/>
      <c r="N1960" s="222"/>
      <c r="O1960" s="222"/>
      <c r="P1960" s="222"/>
      <c r="Q1960" s="222"/>
      <c r="R1960" s="222"/>
    </row>
    <row r="1961" spans="1:18" s="18" customFormat="1" ht="51" hidden="1">
      <c r="A1961" s="82" t="s">
        <v>513</v>
      </c>
      <c r="B1961" s="83">
        <v>795</v>
      </c>
      <c r="C1961" s="153" t="s">
        <v>173</v>
      </c>
      <c r="D1961" s="153" t="s">
        <v>19</v>
      </c>
      <c r="E1961" s="84" t="s">
        <v>214</v>
      </c>
      <c r="F1961" s="84"/>
      <c r="G1961" s="87">
        <f>G1962+G1968+G1965</f>
        <v>0</v>
      </c>
      <c r="H1961" s="87">
        <f t="shared" ref="H1961:I1961" si="498">H1962+H1968+H1965</f>
        <v>0</v>
      </c>
      <c r="I1961" s="87">
        <f t="shared" si="498"/>
        <v>0</v>
      </c>
      <c r="J1961" s="177"/>
      <c r="K1961" s="202"/>
      <c r="L1961" s="202"/>
      <c r="M1961" s="200"/>
      <c r="N1961" s="200"/>
      <c r="O1961" s="200"/>
      <c r="P1961" s="200"/>
      <c r="Q1961" s="200"/>
      <c r="R1961" s="200"/>
    </row>
    <row r="1962" spans="1:18" s="18" customFormat="1" ht="89.25" hidden="1">
      <c r="A1962" s="82" t="s">
        <v>438</v>
      </c>
      <c r="B1962" s="83">
        <v>795</v>
      </c>
      <c r="C1962" s="153" t="s">
        <v>173</v>
      </c>
      <c r="D1962" s="153" t="s">
        <v>19</v>
      </c>
      <c r="E1962" s="84" t="s">
        <v>524</v>
      </c>
      <c r="F1962" s="84"/>
      <c r="G1962" s="87">
        <f>G1963</f>
        <v>0</v>
      </c>
      <c r="H1962" s="87">
        <f t="shared" ref="H1962:I1966" si="499">H1963</f>
        <v>0</v>
      </c>
      <c r="I1962" s="87">
        <f t="shared" si="499"/>
        <v>0</v>
      </c>
      <c r="J1962" s="177"/>
      <c r="K1962" s="202"/>
      <c r="L1962" s="202"/>
      <c r="M1962" s="200"/>
      <c r="N1962" s="200"/>
      <c r="O1962" s="200"/>
      <c r="P1962" s="200"/>
      <c r="Q1962" s="200"/>
      <c r="R1962" s="200"/>
    </row>
    <row r="1963" spans="1:18" s="18" customFormat="1" ht="23.25" hidden="1" customHeight="1">
      <c r="A1963" s="82" t="s">
        <v>63</v>
      </c>
      <c r="B1963" s="83">
        <v>795</v>
      </c>
      <c r="C1963" s="153" t="s">
        <v>173</v>
      </c>
      <c r="D1963" s="153" t="s">
        <v>19</v>
      </c>
      <c r="E1963" s="84" t="s">
        <v>524</v>
      </c>
      <c r="F1963" s="84" t="s">
        <v>64</v>
      </c>
      <c r="G1963" s="87">
        <f>G1964</f>
        <v>0</v>
      </c>
      <c r="H1963" s="87">
        <f t="shared" si="499"/>
        <v>0</v>
      </c>
      <c r="I1963" s="87">
        <f t="shared" si="499"/>
        <v>0</v>
      </c>
      <c r="J1963" s="177"/>
      <c r="K1963" s="202"/>
      <c r="L1963" s="202"/>
      <c r="M1963" s="200"/>
      <c r="N1963" s="200"/>
      <c r="O1963" s="200"/>
      <c r="P1963" s="200"/>
      <c r="Q1963" s="200"/>
      <c r="R1963" s="200"/>
    </row>
    <row r="1964" spans="1:18" s="18" customFormat="1" ht="20.25" hidden="1" customHeight="1">
      <c r="A1964" s="133" t="s">
        <v>144</v>
      </c>
      <c r="B1964" s="83">
        <v>795</v>
      </c>
      <c r="C1964" s="153" t="s">
        <v>173</v>
      </c>
      <c r="D1964" s="153" t="s">
        <v>19</v>
      </c>
      <c r="E1964" s="84" t="s">
        <v>524</v>
      </c>
      <c r="F1964" s="84" t="s">
        <v>67</v>
      </c>
      <c r="G1964" s="87"/>
      <c r="H1964" s="87"/>
      <c r="I1964" s="87"/>
      <c r="J1964" s="177"/>
      <c r="K1964" s="202"/>
      <c r="L1964" s="202"/>
      <c r="M1964" s="200"/>
      <c r="N1964" s="200"/>
      <c r="O1964" s="200"/>
      <c r="P1964" s="200"/>
      <c r="Q1964" s="200"/>
      <c r="R1964" s="200"/>
    </row>
    <row r="1965" spans="1:18" s="18" customFormat="1" ht="76.5" hidden="1">
      <c r="A1965" s="82" t="s">
        <v>439</v>
      </c>
      <c r="B1965" s="83">
        <v>795</v>
      </c>
      <c r="C1965" s="153" t="s">
        <v>173</v>
      </c>
      <c r="D1965" s="153" t="s">
        <v>19</v>
      </c>
      <c r="E1965" s="84" t="s">
        <v>525</v>
      </c>
      <c r="F1965" s="84"/>
      <c r="G1965" s="87">
        <f>G1966</f>
        <v>0</v>
      </c>
      <c r="H1965" s="87">
        <f t="shared" si="499"/>
        <v>0</v>
      </c>
      <c r="I1965" s="87">
        <f t="shared" si="499"/>
        <v>0</v>
      </c>
      <c r="J1965" s="177"/>
      <c r="K1965" s="202"/>
      <c r="L1965" s="202"/>
      <c r="M1965" s="200"/>
      <c r="N1965" s="200"/>
      <c r="O1965" s="200"/>
      <c r="P1965" s="200"/>
      <c r="Q1965" s="200"/>
      <c r="R1965" s="200"/>
    </row>
    <row r="1966" spans="1:18" s="18" customFormat="1" ht="22.5" hidden="1" customHeight="1">
      <c r="A1966" s="82" t="s">
        <v>63</v>
      </c>
      <c r="B1966" s="83">
        <v>795</v>
      </c>
      <c r="C1966" s="153" t="s">
        <v>173</v>
      </c>
      <c r="D1966" s="153" t="s">
        <v>19</v>
      </c>
      <c r="E1966" s="84" t="s">
        <v>525</v>
      </c>
      <c r="F1966" s="84" t="s">
        <v>64</v>
      </c>
      <c r="G1966" s="87">
        <f>G1967</f>
        <v>0</v>
      </c>
      <c r="H1966" s="87">
        <f t="shared" si="499"/>
        <v>0</v>
      </c>
      <c r="I1966" s="87">
        <f t="shared" si="499"/>
        <v>0</v>
      </c>
      <c r="J1966" s="177"/>
      <c r="K1966" s="202"/>
      <c r="L1966" s="202"/>
      <c r="M1966" s="200"/>
      <c r="N1966" s="200"/>
      <c r="O1966" s="200"/>
      <c r="P1966" s="200"/>
      <c r="Q1966" s="200"/>
      <c r="R1966" s="200"/>
    </row>
    <row r="1967" spans="1:18" s="18" customFormat="1" ht="17.25" hidden="1" customHeight="1">
      <c r="A1967" s="133" t="s">
        <v>144</v>
      </c>
      <c r="B1967" s="83">
        <v>795</v>
      </c>
      <c r="C1967" s="153" t="s">
        <v>173</v>
      </c>
      <c r="D1967" s="153" t="s">
        <v>19</v>
      </c>
      <c r="E1967" s="84" t="s">
        <v>525</v>
      </c>
      <c r="F1967" s="84" t="s">
        <v>67</v>
      </c>
      <c r="G1967" s="87"/>
      <c r="H1967" s="87"/>
      <c r="I1967" s="87"/>
      <c r="J1967" s="177"/>
      <c r="K1967" s="202"/>
      <c r="L1967" s="202"/>
      <c r="M1967" s="200"/>
      <c r="N1967" s="200"/>
      <c r="O1967" s="200"/>
      <c r="P1967" s="200"/>
      <c r="Q1967" s="200"/>
      <c r="R1967" s="200"/>
    </row>
    <row r="1968" spans="1:18" s="46" customFormat="1" ht="48.75" hidden="1" customHeight="1">
      <c r="A1968" s="82" t="s">
        <v>423</v>
      </c>
      <c r="B1968" s="83">
        <v>795</v>
      </c>
      <c r="C1968" s="153" t="s">
        <v>173</v>
      </c>
      <c r="D1968" s="153" t="s">
        <v>19</v>
      </c>
      <c r="E1968" s="84" t="s">
        <v>378</v>
      </c>
      <c r="F1968" s="84"/>
      <c r="G1968" s="87">
        <f>G1969+G1974</f>
        <v>0</v>
      </c>
      <c r="H1968" s="87">
        <f t="shared" ref="G1968:I1969" si="500">H1969</f>
        <v>0</v>
      </c>
      <c r="I1968" s="87">
        <f t="shared" si="500"/>
        <v>0</v>
      </c>
      <c r="J1968" s="177"/>
      <c r="K1968" s="207"/>
      <c r="L1968" s="207"/>
      <c r="M1968" s="222"/>
      <c r="N1968" s="222"/>
      <c r="O1968" s="222"/>
      <c r="P1968" s="222"/>
      <c r="Q1968" s="222"/>
      <c r="R1968" s="222"/>
    </row>
    <row r="1969" spans="1:18" s="46" customFormat="1" ht="21" hidden="1" customHeight="1">
      <c r="A1969" s="82" t="s">
        <v>323</v>
      </c>
      <c r="B1969" s="83">
        <v>795</v>
      </c>
      <c r="C1969" s="153" t="s">
        <v>173</v>
      </c>
      <c r="D1969" s="153" t="s">
        <v>19</v>
      </c>
      <c r="E1969" s="84" t="s">
        <v>378</v>
      </c>
      <c r="F1969" s="84" t="s">
        <v>37</v>
      </c>
      <c r="G1969" s="87">
        <f t="shared" si="500"/>
        <v>0</v>
      </c>
      <c r="H1969" s="87">
        <f t="shared" si="500"/>
        <v>0</v>
      </c>
      <c r="I1969" s="87">
        <f t="shared" si="500"/>
        <v>0</v>
      </c>
      <c r="J1969" s="177"/>
      <c r="K1969" s="207"/>
      <c r="L1969" s="207"/>
      <c r="M1969" s="222"/>
      <c r="N1969" s="222"/>
      <c r="O1969" s="222"/>
      <c r="P1969" s="222"/>
      <c r="Q1969" s="222"/>
      <c r="R1969" s="222"/>
    </row>
    <row r="1970" spans="1:18" s="46" customFormat="1" ht="28.5" hidden="1" customHeight="1">
      <c r="A1970" s="82" t="s">
        <v>38</v>
      </c>
      <c r="B1970" s="83">
        <v>795</v>
      </c>
      <c r="C1970" s="153" t="s">
        <v>173</v>
      </c>
      <c r="D1970" s="153" t="s">
        <v>19</v>
      </c>
      <c r="E1970" s="84" t="s">
        <v>378</v>
      </c>
      <c r="F1970" s="84" t="s">
        <v>39</v>
      </c>
      <c r="G1970" s="87"/>
      <c r="H1970" s="87"/>
      <c r="I1970" s="87"/>
      <c r="J1970" s="177"/>
      <c r="K1970" s="207"/>
      <c r="L1970" s="207"/>
      <c r="M1970" s="222"/>
      <c r="N1970" s="222"/>
      <c r="O1970" s="222"/>
      <c r="P1970" s="222"/>
      <c r="Q1970" s="222"/>
      <c r="R1970" s="222"/>
    </row>
    <row r="1971" spans="1:18" ht="25.5" hidden="1">
      <c r="A1971" s="82" t="s">
        <v>169</v>
      </c>
      <c r="B1971" s="83">
        <v>795</v>
      </c>
      <c r="C1971" s="153" t="s">
        <v>173</v>
      </c>
      <c r="D1971" s="153" t="s">
        <v>19</v>
      </c>
      <c r="E1971" s="84" t="s">
        <v>275</v>
      </c>
      <c r="F1971" s="84"/>
      <c r="G1971" s="87">
        <f>G1972</f>
        <v>0</v>
      </c>
      <c r="H1971" s="87"/>
      <c r="I1971" s="87"/>
      <c r="J1971" s="177"/>
      <c r="K1971" s="207"/>
      <c r="L1971" s="207"/>
    </row>
    <row r="1972" spans="1:18" ht="25.5" hidden="1">
      <c r="A1972" s="82" t="s">
        <v>323</v>
      </c>
      <c r="B1972" s="83">
        <v>795</v>
      </c>
      <c r="C1972" s="153" t="s">
        <v>173</v>
      </c>
      <c r="D1972" s="153" t="s">
        <v>19</v>
      </c>
      <c r="E1972" s="84" t="s">
        <v>275</v>
      </c>
      <c r="F1972" s="84" t="s">
        <v>37</v>
      </c>
      <c r="G1972" s="87">
        <f>G1973</f>
        <v>0</v>
      </c>
      <c r="H1972" s="87"/>
      <c r="I1972" s="87"/>
      <c r="J1972" s="177"/>
      <c r="K1972" s="207"/>
      <c r="L1972" s="207"/>
    </row>
    <row r="1973" spans="1:18" ht="25.5" hidden="1">
      <c r="A1973" s="82" t="s">
        <v>38</v>
      </c>
      <c r="B1973" s="83">
        <v>795</v>
      </c>
      <c r="C1973" s="153" t="s">
        <v>173</v>
      </c>
      <c r="D1973" s="153" t="s">
        <v>19</v>
      </c>
      <c r="E1973" s="84" t="s">
        <v>275</v>
      </c>
      <c r="F1973" s="84" t="s">
        <v>39</v>
      </c>
      <c r="G1973" s="87"/>
      <c r="H1973" s="87">
        <v>0</v>
      </c>
      <c r="I1973" s="87">
        <v>0</v>
      </c>
      <c r="J1973" s="177"/>
      <c r="K1973" s="207"/>
      <c r="L1973" s="207"/>
    </row>
    <row r="1974" spans="1:18" ht="23.25" hidden="1" customHeight="1">
      <c r="A1974" s="82" t="s">
        <v>156</v>
      </c>
      <c r="B1974" s="83">
        <v>795</v>
      </c>
      <c r="C1974" s="84" t="s">
        <v>173</v>
      </c>
      <c r="D1974" s="84" t="s">
        <v>28</v>
      </c>
      <c r="E1974" s="84" t="s">
        <v>378</v>
      </c>
      <c r="F1974" s="84" t="s">
        <v>157</v>
      </c>
      <c r="G1974" s="87">
        <f>G1975</f>
        <v>0</v>
      </c>
      <c r="H1974" s="87">
        <f>H1975</f>
        <v>0</v>
      </c>
      <c r="I1974" s="87">
        <f>I1975</f>
        <v>0</v>
      </c>
      <c r="J1974" s="177"/>
      <c r="K1974" s="207"/>
      <c r="L1974" s="207"/>
    </row>
    <row r="1975" spans="1:18" ht="23.25" hidden="1" customHeight="1">
      <c r="A1975" s="82" t="s">
        <v>178</v>
      </c>
      <c r="B1975" s="83">
        <v>795</v>
      </c>
      <c r="C1975" s="84" t="s">
        <v>173</v>
      </c>
      <c r="D1975" s="84" t="s">
        <v>28</v>
      </c>
      <c r="E1975" s="84" t="s">
        <v>378</v>
      </c>
      <c r="F1975" s="84" t="s">
        <v>179</v>
      </c>
      <c r="G1975" s="87"/>
      <c r="H1975" s="87">
        <v>0</v>
      </c>
      <c r="I1975" s="87">
        <v>0</v>
      </c>
      <c r="J1975" s="177"/>
      <c r="K1975" s="207"/>
      <c r="L1975" s="207"/>
    </row>
    <row r="1976" spans="1:18" hidden="1">
      <c r="A1976" s="135" t="s">
        <v>175</v>
      </c>
      <c r="B1976" s="83">
        <v>795</v>
      </c>
      <c r="C1976" s="84" t="s">
        <v>173</v>
      </c>
      <c r="D1976" s="84" t="s">
        <v>28</v>
      </c>
      <c r="E1976" s="84"/>
      <c r="F1976" s="84"/>
      <c r="G1976" s="87">
        <f>G1977+G2035+G2047</f>
        <v>0</v>
      </c>
      <c r="H1976" s="87">
        <f>H1977+H2027+H2032</f>
        <v>0</v>
      </c>
      <c r="I1976" s="87">
        <f>I1977+I2027+I2032</f>
        <v>0</v>
      </c>
      <c r="J1976" s="177"/>
      <c r="K1976" s="207"/>
      <c r="L1976" s="207"/>
    </row>
    <row r="1977" spans="1:18" s="3" customFormat="1" ht="52.5" hidden="1" customHeight="1">
      <c r="A1977" s="82" t="s">
        <v>494</v>
      </c>
      <c r="B1977" s="83">
        <v>795</v>
      </c>
      <c r="C1977" s="84" t="s">
        <v>173</v>
      </c>
      <c r="D1977" s="84" t="s">
        <v>28</v>
      </c>
      <c r="E1977" s="84" t="s">
        <v>295</v>
      </c>
      <c r="F1977" s="84"/>
      <c r="G1977" s="87">
        <f>G1978+G1986+G1989+G1992+G1995+G1998+G2001+G2004+G2012</f>
        <v>0</v>
      </c>
      <c r="H1977" s="87">
        <f t="shared" ref="H1977:I1977" si="501">H1978+H1989+H2004+H2015+H2018+H2007+H2012+H2021+H2024+H1983</f>
        <v>0</v>
      </c>
      <c r="I1977" s="87">
        <f t="shared" si="501"/>
        <v>0</v>
      </c>
      <c r="J1977" s="177"/>
      <c r="K1977" s="207"/>
      <c r="L1977" s="207"/>
      <c r="M1977" s="199"/>
      <c r="N1977" s="199"/>
      <c r="O1977" s="199"/>
      <c r="P1977" s="199"/>
      <c r="Q1977" s="199"/>
      <c r="R1977" s="199"/>
    </row>
    <row r="1978" spans="1:18" hidden="1">
      <c r="A1978" s="82" t="s">
        <v>756</v>
      </c>
      <c r="B1978" s="83">
        <v>795</v>
      </c>
      <c r="C1978" s="84" t="s">
        <v>173</v>
      </c>
      <c r="D1978" s="84" t="s">
        <v>28</v>
      </c>
      <c r="E1978" s="84" t="s">
        <v>296</v>
      </c>
      <c r="F1978" s="84"/>
      <c r="G1978" s="87">
        <f>G1979+G1981</f>
        <v>0</v>
      </c>
      <c r="H1978" s="87">
        <f t="shared" ref="G1978:I1987" si="502">H1979</f>
        <v>0</v>
      </c>
      <c r="I1978" s="87">
        <f t="shared" si="502"/>
        <v>0</v>
      </c>
      <c r="J1978" s="177"/>
      <c r="K1978" s="207"/>
      <c r="L1978" s="207"/>
    </row>
    <row r="1979" spans="1:18" ht="25.5" hidden="1">
      <c r="A1979" s="82" t="s">
        <v>36</v>
      </c>
      <c r="B1979" s="83">
        <v>795</v>
      </c>
      <c r="C1979" s="84" t="s">
        <v>173</v>
      </c>
      <c r="D1979" s="84" t="s">
        <v>28</v>
      </c>
      <c r="E1979" s="84" t="s">
        <v>296</v>
      </c>
      <c r="F1979" s="84" t="s">
        <v>37</v>
      </c>
      <c r="G1979" s="87">
        <f t="shared" si="502"/>
        <v>0</v>
      </c>
      <c r="H1979" s="87">
        <f t="shared" si="502"/>
        <v>0</v>
      </c>
      <c r="I1979" s="87">
        <f t="shared" si="502"/>
        <v>0</v>
      </c>
      <c r="J1979" s="177"/>
      <c r="K1979" s="207"/>
      <c r="L1979" s="207"/>
    </row>
    <row r="1980" spans="1:18" ht="25.5" hidden="1">
      <c r="A1980" s="82" t="s">
        <v>38</v>
      </c>
      <c r="B1980" s="83">
        <v>795</v>
      </c>
      <c r="C1980" s="84" t="s">
        <v>173</v>
      </c>
      <c r="D1980" s="84" t="s">
        <v>28</v>
      </c>
      <c r="E1980" s="84" t="s">
        <v>296</v>
      </c>
      <c r="F1980" s="84" t="s">
        <v>39</v>
      </c>
      <c r="G1980" s="87"/>
      <c r="H1980" s="87"/>
      <c r="I1980" s="87"/>
      <c r="J1980" s="177"/>
      <c r="K1980" s="207"/>
      <c r="L1980" s="207"/>
    </row>
    <row r="1981" spans="1:18" hidden="1">
      <c r="A1981" s="82" t="s">
        <v>63</v>
      </c>
      <c r="B1981" s="83">
        <v>795</v>
      </c>
      <c r="C1981" s="84" t="s">
        <v>173</v>
      </c>
      <c r="D1981" s="84" t="s">
        <v>28</v>
      </c>
      <c r="E1981" s="84" t="s">
        <v>296</v>
      </c>
      <c r="F1981" s="84" t="s">
        <v>64</v>
      </c>
      <c r="G1981" s="87">
        <f>G1982</f>
        <v>0</v>
      </c>
      <c r="H1981" s="87"/>
      <c r="I1981" s="87"/>
      <c r="J1981" s="177"/>
      <c r="K1981" s="207"/>
      <c r="L1981" s="207"/>
    </row>
    <row r="1982" spans="1:18" hidden="1">
      <c r="A1982" s="82" t="s">
        <v>180</v>
      </c>
      <c r="B1982" s="83">
        <v>795</v>
      </c>
      <c r="C1982" s="84" t="s">
        <v>173</v>
      </c>
      <c r="D1982" s="84" t="s">
        <v>28</v>
      </c>
      <c r="E1982" s="84" t="s">
        <v>296</v>
      </c>
      <c r="F1982" s="84" t="s">
        <v>181</v>
      </c>
      <c r="G1982" s="87">
        <v>0</v>
      </c>
      <c r="H1982" s="87"/>
      <c r="I1982" s="87"/>
      <c r="J1982" s="177"/>
      <c r="K1982" s="207"/>
      <c r="L1982" s="207"/>
    </row>
    <row r="1983" spans="1:18" hidden="1">
      <c r="A1983" s="82" t="s">
        <v>700</v>
      </c>
      <c r="B1983" s="83">
        <v>795</v>
      </c>
      <c r="C1983" s="84" t="s">
        <v>173</v>
      </c>
      <c r="D1983" s="84" t="s">
        <v>28</v>
      </c>
      <c r="E1983" s="84" t="s">
        <v>699</v>
      </c>
      <c r="F1983" s="84"/>
      <c r="G1983" s="87">
        <f t="shared" si="502"/>
        <v>0</v>
      </c>
      <c r="H1983" s="87">
        <f t="shared" si="502"/>
        <v>0</v>
      </c>
      <c r="I1983" s="87">
        <f t="shared" si="502"/>
        <v>0</v>
      </c>
      <c r="J1983" s="177"/>
      <c r="K1983" s="207"/>
      <c r="L1983" s="207"/>
    </row>
    <row r="1984" spans="1:18" ht="25.5" hidden="1">
      <c r="A1984" s="82" t="s">
        <v>36</v>
      </c>
      <c r="B1984" s="83">
        <v>795</v>
      </c>
      <c r="C1984" s="84" t="s">
        <v>173</v>
      </c>
      <c r="D1984" s="84" t="s">
        <v>28</v>
      </c>
      <c r="E1984" s="84" t="s">
        <v>699</v>
      </c>
      <c r="F1984" s="84" t="s">
        <v>37</v>
      </c>
      <c r="G1984" s="87">
        <f t="shared" si="502"/>
        <v>0</v>
      </c>
      <c r="H1984" s="87">
        <f t="shared" si="502"/>
        <v>0</v>
      </c>
      <c r="I1984" s="87">
        <f t="shared" si="502"/>
        <v>0</v>
      </c>
      <c r="J1984" s="177"/>
      <c r="K1984" s="207"/>
      <c r="L1984" s="207"/>
    </row>
    <row r="1985" spans="1:18" ht="25.5" hidden="1">
      <c r="A1985" s="82" t="s">
        <v>38</v>
      </c>
      <c r="B1985" s="83">
        <v>795</v>
      </c>
      <c r="C1985" s="84" t="s">
        <v>173</v>
      </c>
      <c r="D1985" s="84" t="s">
        <v>28</v>
      </c>
      <c r="E1985" s="84" t="s">
        <v>699</v>
      </c>
      <c r="F1985" s="84" t="s">
        <v>39</v>
      </c>
      <c r="G1985" s="87"/>
      <c r="H1985" s="87">
        <v>0</v>
      </c>
      <c r="I1985" s="87">
        <v>0</v>
      </c>
      <c r="J1985" s="177"/>
      <c r="K1985" s="207"/>
      <c r="L1985" s="207"/>
    </row>
    <row r="1986" spans="1:18" hidden="1">
      <c r="A1986" s="82" t="s">
        <v>747</v>
      </c>
      <c r="B1986" s="83">
        <v>795</v>
      </c>
      <c r="C1986" s="84" t="s">
        <v>173</v>
      </c>
      <c r="D1986" s="84" t="s">
        <v>28</v>
      </c>
      <c r="E1986" s="84" t="s">
        <v>746</v>
      </c>
      <c r="F1986" s="84"/>
      <c r="G1986" s="87">
        <f t="shared" si="502"/>
        <v>0</v>
      </c>
      <c r="H1986" s="87">
        <f t="shared" si="502"/>
        <v>0</v>
      </c>
      <c r="I1986" s="87">
        <f t="shared" si="502"/>
        <v>0</v>
      </c>
      <c r="J1986" s="177"/>
      <c r="K1986" s="207"/>
      <c r="L1986" s="207"/>
    </row>
    <row r="1987" spans="1:18" ht="25.5" hidden="1">
      <c r="A1987" s="82" t="s">
        <v>36</v>
      </c>
      <c r="B1987" s="83">
        <v>795</v>
      </c>
      <c r="C1987" s="84" t="s">
        <v>173</v>
      </c>
      <c r="D1987" s="84" t="s">
        <v>28</v>
      </c>
      <c r="E1987" s="84" t="s">
        <v>746</v>
      </c>
      <c r="F1987" s="84" t="s">
        <v>37</v>
      </c>
      <c r="G1987" s="87">
        <f t="shared" si="502"/>
        <v>0</v>
      </c>
      <c r="H1987" s="87">
        <f t="shared" si="502"/>
        <v>0</v>
      </c>
      <c r="I1987" s="87">
        <f t="shared" si="502"/>
        <v>0</v>
      </c>
      <c r="J1987" s="177"/>
      <c r="K1987" s="207"/>
      <c r="L1987" s="207"/>
    </row>
    <row r="1988" spans="1:18" ht="25.5" hidden="1">
      <c r="A1988" s="82" t="s">
        <v>38</v>
      </c>
      <c r="B1988" s="83">
        <v>795</v>
      </c>
      <c r="C1988" s="84" t="s">
        <v>173</v>
      </c>
      <c r="D1988" s="84" t="s">
        <v>28</v>
      </c>
      <c r="E1988" s="84" t="s">
        <v>746</v>
      </c>
      <c r="F1988" s="84" t="s">
        <v>39</v>
      </c>
      <c r="G1988" s="87"/>
      <c r="H1988" s="87"/>
      <c r="I1988" s="87"/>
      <c r="J1988" s="177"/>
      <c r="K1988" s="207"/>
      <c r="L1988" s="207"/>
    </row>
    <row r="1989" spans="1:18" s="3" customFormat="1" ht="67.5" hidden="1" customHeight="1">
      <c r="A1989" s="82" t="s">
        <v>320</v>
      </c>
      <c r="B1989" s="83">
        <v>795</v>
      </c>
      <c r="C1989" s="84" t="s">
        <v>173</v>
      </c>
      <c r="D1989" s="84" t="s">
        <v>28</v>
      </c>
      <c r="E1989" s="84" t="s">
        <v>321</v>
      </c>
      <c r="F1989" s="84"/>
      <c r="G1989" s="87">
        <f>G1991</f>
        <v>0</v>
      </c>
      <c r="H1989" s="87">
        <f>H1991</f>
        <v>0</v>
      </c>
      <c r="I1989" s="87">
        <f>I1991</f>
        <v>0</v>
      </c>
      <c r="J1989" s="177"/>
      <c r="K1989" s="207"/>
      <c r="L1989" s="207"/>
      <c r="M1989" s="199"/>
      <c r="N1989" s="199"/>
      <c r="O1989" s="199"/>
      <c r="P1989" s="199"/>
      <c r="Q1989" s="199"/>
      <c r="R1989" s="199"/>
    </row>
    <row r="1990" spans="1:18" hidden="1">
      <c r="A1990" s="82" t="s">
        <v>156</v>
      </c>
      <c r="B1990" s="83">
        <v>795</v>
      </c>
      <c r="C1990" s="84" t="s">
        <v>173</v>
      </c>
      <c r="D1990" s="84" t="s">
        <v>28</v>
      </c>
      <c r="E1990" s="84" t="s">
        <v>321</v>
      </c>
      <c r="F1990" s="84" t="s">
        <v>157</v>
      </c>
      <c r="G1990" s="87">
        <f>G1991</f>
        <v>0</v>
      </c>
      <c r="H1990" s="87">
        <f>H1991</f>
        <v>0</v>
      </c>
      <c r="I1990" s="87">
        <f>I1991</f>
        <v>0</v>
      </c>
      <c r="J1990" s="177"/>
      <c r="K1990" s="207"/>
      <c r="L1990" s="207"/>
    </row>
    <row r="1991" spans="1:18" hidden="1">
      <c r="A1991" s="82" t="s">
        <v>178</v>
      </c>
      <c r="B1991" s="83">
        <v>795</v>
      </c>
      <c r="C1991" s="84" t="s">
        <v>173</v>
      </c>
      <c r="D1991" s="84" t="s">
        <v>28</v>
      </c>
      <c r="E1991" s="84" t="s">
        <v>321</v>
      </c>
      <c r="F1991" s="84" t="s">
        <v>179</v>
      </c>
      <c r="G1991" s="87"/>
      <c r="H1991" s="87"/>
      <c r="I1991" s="87"/>
      <c r="J1991" s="177"/>
      <c r="K1991" s="207"/>
      <c r="L1991" s="207"/>
    </row>
    <row r="1992" spans="1:18" ht="44.25" hidden="1" customHeight="1">
      <c r="A1992" s="82" t="s">
        <v>813</v>
      </c>
      <c r="B1992" s="83">
        <v>795</v>
      </c>
      <c r="C1992" s="84" t="s">
        <v>173</v>
      </c>
      <c r="D1992" s="84" t="s">
        <v>28</v>
      </c>
      <c r="E1992" s="84" t="s">
        <v>812</v>
      </c>
      <c r="F1992" s="84"/>
      <c r="G1992" s="87">
        <f t="shared" ref="G1992:I2002" si="503">G1993</f>
        <v>0</v>
      </c>
      <c r="H1992" s="87">
        <f t="shared" si="503"/>
        <v>0</v>
      </c>
      <c r="I1992" s="87">
        <f t="shared" si="503"/>
        <v>0</v>
      </c>
      <c r="J1992" s="177"/>
      <c r="K1992" s="207"/>
      <c r="L1992" s="207"/>
    </row>
    <row r="1993" spans="1:18" ht="34.5" hidden="1" customHeight="1">
      <c r="A1993" s="82" t="s">
        <v>36</v>
      </c>
      <c r="B1993" s="83">
        <v>795</v>
      </c>
      <c r="C1993" s="84" t="s">
        <v>173</v>
      </c>
      <c r="D1993" s="84" t="s">
        <v>28</v>
      </c>
      <c r="E1993" s="84" t="s">
        <v>812</v>
      </c>
      <c r="F1993" s="84" t="s">
        <v>348</v>
      </c>
      <c r="G1993" s="87">
        <f t="shared" si="503"/>
        <v>0</v>
      </c>
      <c r="H1993" s="87">
        <f t="shared" si="503"/>
        <v>0</v>
      </c>
      <c r="I1993" s="87">
        <f t="shared" si="503"/>
        <v>0</v>
      </c>
      <c r="J1993" s="177"/>
      <c r="K1993" s="207"/>
      <c r="L1993" s="207"/>
    </row>
    <row r="1994" spans="1:18" ht="34.5" hidden="1" customHeight="1">
      <c r="A1994" s="82" t="s">
        <v>38</v>
      </c>
      <c r="B1994" s="83">
        <v>795</v>
      </c>
      <c r="C1994" s="84" t="s">
        <v>173</v>
      </c>
      <c r="D1994" s="84" t="s">
        <v>28</v>
      </c>
      <c r="E1994" s="84" t="s">
        <v>812</v>
      </c>
      <c r="F1994" s="84" t="s">
        <v>350</v>
      </c>
      <c r="G1994" s="87"/>
      <c r="H1994" s="87"/>
      <c r="I1994" s="87"/>
      <c r="J1994" s="177"/>
      <c r="K1994" s="207"/>
      <c r="L1994" s="207"/>
    </row>
    <row r="1995" spans="1:18" ht="44.25" hidden="1" customHeight="1">
      <c r="A1995" s="82" t="s">
        <v>815</v>
      </c>
      <c r="B1995" s="83">
        <v>795</v>
      </c>
      <c r="C1995" s="84" t="s">
        <v>173</v>
      </c>
      <c r="D1995" s="84" t="s">
        <v>28</v>
      </c>
      <c r="E1995" s="84" t="s">
        <v>814</v>
      </c>
      <c r="F1995" s="84"/>
      <c r="G1995" s="87">
        <f t="shared" si="503"/>
        <v>0</v>
      </c>
      <c r="H1995" s="87">
        <f t="shared" si="503"/>
        <v>0</v>
      </c>
      <c r="I1995" s="87">
        <f t="shared" si="503"/>
        <v>0</v>
      </c>
      <c r="J1995" s="177"/>
      <c r="K1995" s="207"/>
      <c r="L1995" s="207"/>
    </row>
    <row r="1996" spans="1:18" ht="34.5" hidden="1" customHeight="1">
      <c r="A1996" s="82" t="s">
        <v>36</v>
      </c>
      <c r="B1996" s="83">
        <v>795</v>
      </c>
      <c r="C1996" s="84" t="s">
        <v>173</v>
      </c>
      <c r="D1996" s="84" t="s">
        <v>28</v>
      </c>
      <c r="E1996" s="84" t="s">
        <v>814</v>
      </c>
      <c r="F1996" s="84" t="s">
        <v>348</v>
      </c>
      <c r="G1996" s="87">
        <f t="shared" si="503"/>
        <v>0</v>
      </c>
      <c r="H1996" s="87">
        <f t="shared" si="503"/>
        <v>0</v>
      </c>
      <c r="I1996" s="87">
        <f t="shared" si="503"/>
        <v>0</v>
      </c>
      <c r="J1996" s="177"/>
      <c r="K1996" s="207"/>
      <c r="L1996" s="207"/>
    </row>
    <row r="1997" spans="1:18" ht="34.5" hidden="1" customHeight="1">
      <c r="A1997" s="82" t="s">
        <v>38</v>
      </c>
      <c r="B1997" s="83">
        <v>795</v>
      </c>
      <c r="C1997" s="84" t="s">
        <v>173</v>
      </c>
      <c r="D1997" s="84" t="s">
        <v>28</v>
      </c>
      <c r="E1997" s="84" t="s">
        <v>814</v>
      </c>
      <c r="F1997" s="84" t="s">
        <v>350</v>
      </c>
      <c r="G1997" s="87"/>
      <c r="H1997" s="87"/>
      <c r="I1997" s="87"/>
      <c r="J1997" s="177"/>
      <c r="K1997" s="207"/>
      <c r="L1997" s="207"/>
    </row>
    <row r="1998" spans="1:18" ht="44.25" hidden="1" customHeight="1">
      <c r="A1998" s="82" t="s">
        <v>817</v>
      </c>
      <c r="B1998" s="83">
        <v>795</v>
      </c>
      <c r="C1998" s="84" t="s">
        <v>173</v>
      </c>
      <c r="D1998" s="84" t="s">
        <v>28</v>
      </c>
      <c r="E1998" s="84" t="s">
        <v>816</v>
      </c>
      <c r="F1998" s="84"/>
      <c r="G1998" s="87">
        <f t="shared" si="503"/>
        <v>0</v>
      </c>
      <c r="H1998" s="87">
        <f t="shared" si="503"/>
        <v>0</v>
      </c>
      <c r="I1998" s="87">
        <f t="shared" si="503"/>
        <v>0</v>
      </c>
      <c r="J1998" s="177"/>
      <c r="K1998" s="207"/>
      <c r="L1998" s="207"/>
    </row>
    <row r="1999" spans="1:18" ht="34.5" hidden="1" customHeight="1">
      <c r="A1999" s="82" t="s">
        <v>36</v>
      </c>
      <c r="B1999" s="83">
        <v>795</v>
      </c>
      <c r="C1999" s="84" t="s">
        <v>173</v>
      </c>
      <c r="D1999" s="84" t="s">
        <v>28</v>
      </c>
      <c r="E1999" s="84" t="s">
        <v>816</v>
      </c>
      <c r="F1999" s="84" t="s">
        <v>348</v>
      </c>
      <c r="G1999" s="87">
        <f t="shared" si="503"/>
        <v>0</v>
      </c>
      <c r="H1999" s="87">
        <f t="shared" si="503"/>
        <v>0</v>
      </c>
      <c r="I1999" s="87">
        <f t="shared" si="503"/>
        <v>0</v>
      </c>
      <c r="J1999" s="177"/>
      <c r="K1999" s="207"/>
      <c r="L1999" s="207"/>
    </row>
    <row r="2000" spans="1:18" ht="34.5" hidden="1" customHeight="1">
      <c r="A2000" s="82" t="s">
        <v>38</v>
      </c>
      <c r="B2000" s="83">
        <v>795</v>
      </c>
      <c r="C2000" s="84" t="s">
        <v>173</v>
      </c>
      <c r="D2000" s="84" t="s">
        <v>28</v>
      </c>
      <c r="E2000" s="84" t="s">
        <v>816</v>
      </c>
      <c r="F2000" s="84" t="s">
        <v>350</v>
      </c>
      <c r="G2000" s="87"/>
      <c r="H2000" s="87"/>
      <c r="I2000" s="87"/>
      <c r="J2000" s="177"/>
      <c r="K2000" s="207"/>
      <c r="L2000" s="207"/>
    </row>
    <row r="2001" spans="1:18" ht="57" hidden="1" customHeight="1">
      <c r="A2001" s="82" t="s">
        <v>819</v>
      </c>
      <c r="B2001" s="83">
        <v>795</v>
      </c>
      <c r="C2001" s="84" t="s">
        <v>173</v>
      </c>
      <c r="D2001" s="84" t="s">
        <v>28</v>
      </c>
      <c r="E2001" s="84" t="s">
        <v>818</v>
      </c>
      <c r="F2001" s="84"/>
      <c r="G2001" s="87">
        <f t="shared" si="503"/>
        <v>0</v>
      </c>
      <c r="H2001" s="87">
        <f t="shared" si="503"/>
        <v>0</v>
      </c>
      <c r="I2001" s="87">
        <f t="shared" si="503"/>
        <v>0</v>
      </c>
      <c r="J2001" s="177"/>
      <c r="K2001" s="207"/>
      <c r="L2001" s="207"/>
    </row>
    <row r="2002" spans="1:18" ht="34.5" hidden="1" customHeight="1">
      <c r="A2002" s="82" t="s">
        <v>36</v>
      </c>
      <c r="B2002" s="83">
        <v>795</v>
      </c>
      <c r="C2002" s="84" t="s">
        <v>173</v>
      </c>
      <c r="D2002" s="84" t="s">
        <v>28</v>
      </c>
      <c r="E2002" s="84" t="s">
        <v>818</v>
      </c>
      <c r="F2002" s="84" t="s">
        <v>348</v>
      </c>
      <c r="G2002" s="87">
        <f t="shared" si="503"/>
        <v>0</v>
      </c>
      <c r="H2002" s="87">
        <f t="shared" si="503"/>
        <v>0</v>
      </c>
      <c r="I2002" s="87">
        <f t="shared" si="503"/>
        <v>0</v>
      </c>
      <c r="J2002" s="177"/>
      <c r="K2002" s="207"/>
      <c r="L2002" s="207"/>
    </row>
    <row r="2003" spans="1:18" ht="34.5" hidden="1" customHeight="1">
      <c r="A2003" s="82" t="s">
        <v>38</v>
      </c>
      <c r="B2003" s="83">
        <v>795</v>
      </c>
      <c r="C2003" s="84" t="s">
        <v>173</v>
      </c>
      <c r="D2003" s="84" t="s">
        <v>28</v>
      </c>
      <c r="E2003" s="84" t="s">
        <v>818</v>
      </c>
      <c r="F2003" s="84" t="s">
        <v>350</v>
      </c>
      <c r="G2003" s="87"/>
      <c r="H2003" s="87"/>
      <c r="I2003" s="87"/>
      <c r="J2003" s="177"/>
      <c r="K2003" s="207"/>
      <c r="L2003" s="207"/>
    </row>
    <row r="2004" spans="1:18" ht="75" hidden="1" customHeight="1">
      <c r="A2004" s="82" t="s">
        <v>825</v>
      </c>
      <c r="B2004" s="83">
        <v>795</v>
      </c>
      <c r="C2004" s="84" t="s">
        <v>173</v>
      </c>
      <c r="D2004" s="84" t="s">
        <v>28</v>
      </c>
      <c r="E2004" s="84" t="s">
        <v>721</v>
      </c>
      <c r="F2004" s="84"/>
      <c r="G2004" s="87">
        <f>G2005+G2010</f>
        <v>0</v>
      </c>
      <c r="H2004" s="87">
        <f t="shared" ref="G2004:I2016" si="504">H2005</f>
        <v>0</v>
      </c>
      <c r="I2004" s="87">
        <f t="shared" si="504"/>
        <v>0</v>
      </c>
      <c r="J2004" s="177"/>
      <c r="K2004" s="207"/>
      <c r="L2004" s="207"/>
    </row>
    <row r="2005" spans="1:18" ht="34.5" hidden="1" customHeight="1">
      <c r="A2005" s="82" t="s">
        <v>36</v>
      </c>
      <c r="B2005" s="83">
        <v>795</v>
      </c>
      <c r="C2005" s="84" t="s">
        <v>173</v>
      </c>
      <c r="D2005" s="84" t="s">
        <v>28</v>
      </c>
      <c r="E2005" s="84" t="s">
        <v>721</v>
      </c>
      <c r="F2005" s="84" t="s">
        <v>348</v>
      </c>
      <c r="G2005" s="87">
        <f t="shared" si="504"/>
        <v>0</v>
      </c>
      <c r="H2005" s="87">
        <f t="shared" si="504"/>
        <v>0</v>
      </c>
      <c r="I2005" s="87">
        <f t="shared" si="504"/>
        <v>0</v>
      </c>
      <c r="J2005" s="177"/>
      <c r="K2005" s="207"/>
      <c r="L2005" s="207"/>
      <c r="M2005" s="1"/>
      <c r="N2005" s="1"/>
      <c r="O2005" s="1"/>
      <c r="P2005" s="1"/>
      <c r="Q2005" s="1"/>
      <c r="R2005" s="1"/>
    </row>
    <row r="2006" spans="1:18" ht="34.5" hidden="1" customHeight="1">
      <c r="A2006" s="82" t="s">
        <v>38</v>
      </c>
      <c r="B2006" s="83">
        <v>795</v>
      </c>
      <c r="C2006" s="84" t="s">
        <v>173</v>
      </c>
      <c r="D2006" s="84" t="s">
        <v>28</v>
      </c>
      <c r="E2006" s="84" t="s">
        <v>721</v>
      </c>
      <c r="F2006" s="84" t="s">
        <v>350</v>
      </c>
      <c r="G2006" s="87">
        <f>675000-675000</f>
        <v>0</v>
      </c>
      <c r="H2006" s="87">
        <f>832780-832780</f>
        <v>0</v>
      </c>
      <c r="I2006" s="87">
        <v>0</v>
      </c>
      <c r="J2006" s="177"/>
      <c r="K2006" s="207"/>
      <c r="L2006" s="207"/>
      <c r="M2006" s="1"/>
      <c r="N2006" s="1"/>
      <c r="O2006" s="1"/>
      <c r="P2006" s="1"/>
      <c r="Q2006" s="1"/>
      <c r="R2006" s="1"/>
    </row>
    <row r="2007" spans="1:18" ht="34.5" hidden="1" customHeight="1">
      <c r="A2007" s="82" t="s">
        <v>509</v>
      </c>
      <c r="B2007" s="83">
        <v>795</v>
      </c>
      <c r="C2007" s="84" t="s">
        <v>173</v>
      </c>
      <c r="D2007" s="84" t="s">
        <v>28</v>
      </c>
      <c r="E2007" s="84" t="s">
        <v>510</v>
      </c>
      <c r="F2007" s="84"/>
      <c r="G2007" s="87">
        <f t="shared" si="504"/>
        <v>0</v>
      </c>
      <c r="H2007" s="87">
        <f t="shared" si="504"/>
        <v>0</v>
      </c>
      <c r="I2007" s="87">
        <f t="shared" si="504"/>
        <v>0</v>
      </c>
      <c r="J2007" s="177"/>
      <c r="K2007" s="207"/>
      <c r="L2007" s="207"/>
      <c r="M2007" s="1"/>
      <c r="N2007" s="1"/>
      <c r="O2007" s="1"/>
      <c r="P2007" s="1"/>
      <c r="Q2007" s="1"/>
      <c r="R2007" s="1"/>
    </row>
    <row r="2008" spans="1:18" ht="34.5" hidden="1" customHeight="1">
      <c r="A2008" s="82" t="s">
        <v>36</v>
      </c>
      <c r="B2008" s="83">
        <v>795</v>
      </c>
      <c r="C2008" s="84" t="s">
        <v>173</v>
      </c>
      <c r="D2008" s="84" t="s">
        <v>28</v>
      </c>
      <c r="E2008" s="84" t="s">
        <v>510</v>
      </c>
      <c r="F2008" s="84" t="s">
        <v>37</v>
      </c>
      <c r="G2008" s="87">
        <f t="shared" si="504"/>
        <v>0</v>
      </c>
      <c r="H2008" s="87">
        <f t="shared" si="504"/>
        <v>0</v>
      </c>
      <c r="I2008" s="87">
        <f t="shared" si="504"/>
        <v>0</v>
      </c>
      <c r="J2008" s="177"/>
      <c r="K2008" s="207"/>
      <c r="L2008" s="207"/>
      <c r="M2008" s="1"/>
      <c r="N2008" s="1"/>
      <c r="O2008" s="1"/>
      <c r="P2008" s="1"/>
      <c r="Q2008" s="1"/>
      <c r="R2008" s="1"/>
    </row>
    <row r="2009" spans="1:18" ht="34.5" hidden="1" customHeight="1">
      <c r="A2009" s="82" t="s">
        <v>38</v>
      </c>
      <c r="B2009" s="83">
        <v>795</v>
      </c>
      <c r="C2009" s="84" t="s">
        <v>173</v>
      </c>
      <c r="D2009" s="84" t="s">
        <v>28</v>
      </c>
      <c r="E2009" s="84" t="s">
        <v>510</v>
      </c>
      <c r="F2009" s="84" t="s">
        <v>39</v>
      </c>
      <c r="G2009" s="87">
        <v>0</v>
      </c>
      <c r="H2009" s="87">
        <f>167220-167220</f>
        <v>0</v>
      </c>
      <c r="I2009" s="87"/>
      <c r="J2009" s="177"/>
      <c r="K2009" s="207"/>
      <c r="L2009" s="207"/>
      <c r="M2009" s="1"/>
      <c r="N2009" s="1"/>
      <c r="O2009" s="1"/>
      <c r="P2009" s="1"/>
      <c r="Q2009" s="1"/>
      <c r="R2009" s="1"/>
    </row>
    <row r="2010" spans="1:18" ht="18" hidden="1" customHeight="1">
      <c r="A2010" s="82" t="s">
        <v>156</v>
      </c>
      <c r="B2010" s="83">
        <v>795</v>
      </c>
      <c r="C2010" s="84" t="s">
        <v>173</v>
      </c>
      <c r="D2010" s="84" t="s">
        <v>28</v>
      </c>
      <c r="E2010" s="84" t="s">
        <v>721</v>
      </c>
      <c r="F2010" s="84" t="s">
        <v>157</v>
      </c>
      <c r="G2010" s="87">
        <f>G2011</f>
        <v>0</v>
      </c>
      <c r="H2010" s="87">
        <f>H2011</f>
        <v>0</v>
      </c>
      <c r="I2010" s="87">
        <f>I2011</f>
        <v>0</v>
      </c>
      <c r="J2010" s="177"/>
      <c r="K2010" s="207"/>
      <c r="L2010" s="207"/>
      <c r="M2010" s="1"/>
      <c r="N2010" s="1"/>
      <c r="O2010" s="1"/>
      <c r="P2010" s="1"/>
      <c r="Q2010" s="1"/>
      <c r="R2010" s="1"/>
    </row>
    <row r="2011" spans="1:18" ht="18" hidden="1" customHeight="1">
      <c r="A2011" s="82" t="s">
        <v>178</v>
      </c>
      <c r="B2011" s="83">
        <v>795</v>
      </c>
      <c r="C2011" s="84" t="s">
        <v>173</v>
      </c>
      <c r="D2011" s="84" t="s">
        <v>28</v>
      </c>
      <c r="E2011" s="84" t="s">
        <v>721</v>
      </c>
      <c r="F2011" s="84" t="s">
        <v>179</v>
      </c>
      <c r="G2011" s="87"/>
      <c r="H2011" s="87">
        <v>0</v>
      </c>
      <c r="I2011" s="87">
        <v>0</v>
      </c>
      <c r="J2011" s="177"/>
      <c r="K2011" s="207"/>
      <c r="L2011" s="207"/>
      <c r="M2011" s="1"/>
      <c r="N2011" s="1"/>
      <c r="O2011" s="1"/>
      <c r="P2011" s="1"/>
      <c r="Q2011" s="1"/>
      <c r="R2011" s="1"/>
    </row>
    <row r="2012" spans="1:18" ht="34.5" hidden="1" customHeight="1">
      <c r="A2012" s="82" t="s">
        <v>535</v>
      </c>
      <c r="B2012" s="83">
        <v>795</v>
      </c>
      <c r="C2012" s="84" t="s">
        <v>173</v>
      </c>
      <c r="D2012" s="84" t="s">
        <v>28</v>
      </c>
      <c r="E2012" s="84" t="s">
        <v>534</v>
      </c>
      <c r="F2012" s="84"/>
      <c r="G2012" s="87">
        <f t="shared" si="504"/>
        <v>0</v>
      </c>
      <c r="H2012" s="87">
        <f t="shared" si="504"/>
        <v>0</v>
      </c>
      <c r="I2012" s="87">
        <f t="shared" si="504"/>
        <v>0</v>
      </c>
      <c r="J2012" s="177"/>
      <c r="K2012" s="207"/>
      <c r="L2012" s="207"/>
      <c r="M2012" s="1"/>
      <c r="N2012" s="1"/>
      <c r="O2012" s="1"/>
      <c r="P2012" s="1"/>
      <c r="Q2012" s="1"/>
      <c r="R2012" s="1"/>
    </row>
    <row r="2013" spans="1:18" ht="34.5" hidden="1" customHeight="1">
      <c r="A2013" s="82" t="s">
        <v>36</v>
      </c>
      <c r="B2013" s="83">
        <v>795</v>
      </c>
      <c r="C2013" s="84" t="s">
        <v>173</v>
      </c>
      <c r="D2013" s="84" t="s">
        <v>28</v>
      </c>
      <c r="E2013" s="84" t="s">
        <v>534</v>
      </c>
      <c r="F2013" s="84" t="s">
        <v>37</v>
      </c>
      <c r="G2013" s="87">
        <f t="shared" si="504"/>
        <v>0</v>
      </c>
      <c r="H2013" s="87">
        <f t="shared" si="504"/>
        <v>0</v>
      </c>
      <c r="I2013" s="87">
        <f t="shared" si="504"/>
        <v>0</v>
      </c>
      <c r="J2013" s="177"/>
      <c r="K2013" s="207"/>
      <c r="L2013" s="207"/>
      <c r="M2013" s="1"/>
      <c r="N2013" s="1"/>
      <c r="O2013" s="1"/>
      <c r="P2013" s="1"/>
      <c r="Q2013" s="1"/>
      <c r="R2013" s="1"/>
    </row>
    <row r="2014" spans="1:18" ht="34.5" hidden="1" customHeight="1">
      <c r="A2014" s="82" t="s">
        <v>38</v>
      </c>
      <c r="B2014" s="83">
        <v>795</v>
      </c>
      <c r="C2014" s="84" t="s">
        <v>173</v>
      </c>
      <c r="D2014" s="84" t="s">
        <v>28</v>
      </c>
      <c r="E2014" s="84" t="s">
        <v>534</v>
      </c>
      <c r="F2014" s="84" t="s">
        <v>39</v>
      </c>
      <c r="G2014" s="87"/>
      <c r="H2014" s="87"/>
      <c r="I2014" s="87"/>
      <c r="J2014" s="177"/>
      <c r="K2014" s="207"/>
      <c r="L2014" s="207"/>
      <c r="M2014" s="1"/>
      <c r="N2014" s="1"/>
      <c r="O2014" s="1"/>
      <c r="P2014" s="1"/>
      <c r="Q2014" s="1"/>
      <c r="R2014" s="1"/>
    </row>
    <row r="2015" spans="1:18" ht="34.5" hidden="1" customHeight="1">
      <c r="A2015" s="82" t="s">
        <v>464</v>
      </c>
      <c r="B2015" s="83">
        <v>795</v>
      </c>
      <c r="C2015" s="84" t="s">
        <v>173</v>
      </c>
      <c r="D2015" s="84" t="s">
        <v>28</v>
      </c>
      <c r="E2015" s="84" t="s">
        <v>463</v>
      </c>
      <c r="F2015" s="84"/>
      <c r="G2015" s="87">
        <f t="shared" si="504"/>
        <v>0</v>
      </c>
      <c r="H2015" s="87">
        <f t="shared" si="504"/>
        <v>0</v>
      </c>
      <c r="I2015" s="87">
        <f t="shared" si="504"/>
        <v>0</v>
      </c>
      <c r="J2015" s="177"/>
      <c r="K2015" s="207"/>
      <c r="L2015" s="207"/>
      <c r="M2015" s="1"/>
      <c r="N2015" s="1"/>
      <c r="O2015" s="1"/>
      <c r="P2015" s="1"/>
      <c r="Q2015" s="1"/>
      <c r="R2015" s="1"/>
    </row>
    <row r="2016" spans="1:18" ht="34.5" hidden="1" customHeight="1">
      <c r="A2016" s="82" t="s">
        <v>36</v>
      </c>
      <c r="B2016" s="83">
        <v>795</v>
      </c>
      <c r="C2016" s="84" t="s">
        <v>173</v>
      </c>
      <c r="D2016" s="84" t="s">
        <v>28</v>
      </c>
      <c r="E2016" s="84" t="s">
        <v>463</v>
      </c>
      <c r="F2016" s="84" t="s">
        <v>37</v>
      </c>
      <c r="G2016" s="87">
        <f t="shared" si="504"/>
        <v>0</v>
      </c>
      <c r="H2016" s="87">
        <f t="shared" si="504"/>
        <v>0</v>
      </c>
      <c r="I2016" s="87">
        <f t="shared" si="504"/>
        <v>0</v>
      </c>
      <c r="J2016" s="177"/>
      <c r="K2016" s="207"/>
      <c r="L2016" s="207"/>
      <c r="M2016" s="1"/>
      <c r="N2016" s="1"/>
      <c r="O2016" s="1"/>
      <c r="P2016" s="1"/>
      <c r="Q2016" s="1"/>
      <c r="R2016" s="1"/>
    </row>
    <row r="2017" spans="1:18" ht="34.5" hidden="1" customHeight="1">
      <c r="A2017" s="82" t="s">
        <v>38</v>
      </c>
      <c r="B2017" s="83">
        <v>795</v>
      </c>
      <c r="C2017" s="84" t="s">
        <v>173</v>
      </c>
      <c r="D2017" s="84" t="s">
        <v>28</v>
      </c>
      <c r="E2017" s="84" t="s">
        <v>463</v>
      </c>
      <c r="F2017" s="84" t="s">
        <v>39</v>
      </c>
      <c r="G2017" s="87">
        <f>200000-200000</f>
        <v>0</v>
      </c>
      <c r="H2017" s="87"/>
      <c r="I2017" s="87"/>
      <c r="J2017" s="177"/>
      <c r="K2017" s="207"/>
      <c r="L2017" s="207"/>
      <c r="M2017" s="1"/>
      <c r="N2017" s="1"/>
      <c r="O2017" s="1"/>
      <c r="P2017" s="1"/>
      <c r="Q2017" s="1"/>
      <c r="R2017" s="1"/>
    </row>
    <row r="2018" spans="1:18" ht="34.5" hidden="1" customHeight="1">
      <c r="A2018" s="82" t="s">
        <v>503</v>
      </c>
      <c r="B2018" s="83">
        <v>795</v>
      </c>
      <c r="C2018" s="84" t="s">
        <v>173</v>
      </c>
      <c r="D2018" s="84" t="s">
        <v>28</v>
      </c>
      <c r="E2018" s="84" t="s">
        <v>502</v>
      </c>
      <c r="F2018" s="84"/>
      <c r="G2018" s="87">
        <f>G2019</f>
        <v>0</v>
      </c>
      <c r="H2018" s="87">
        <f t="shared" ref="H2018:I2018" si="505">H2019</f>
        <v>0</v>
      </c>
      <c r="I2018" s="87">
        <f t="shared" si="505"/>
        <v>0</v>
      </c>
      <c r="J2018" s="177"/>
      <c r="K2018" s="207"/>
      <c r="L2018" s="207"/>
      <c r="M2018" s="1"/>
      <c r="N2018" s="1"/>
      <c r="O2018" s="1"/>
      <c r="P2018" s="1"/>
      <c r="Q2018" s="1"/>
      <c r="R2018" s="1"/>
    </row>
    <row r="2019" spans="1:18" ht="34.5" hidden="1" customHeight="1">
      <c r="A2019" s="82" t="s">
        <v>96</v>
      </c>
      <c r="B2019" s="83">
        <v>795</v>
      </c>
      <c r="C2019" s="84" t="s">
        <v>173</v>
      </c>
      <c r="D2019" s="84" t="s">
        <v>28</v>
      </c>
      <c r="E2019" s="84" t="s">
        <v>502</v>
      </c>
      <c r="F2019" s="84" t="s">
        <v>348</v>
      </c>
      <c r="G2019" s="87">
        <f>G2020</f>
        <v>0</v>
      </c>
      <c r="H2019" s="87">
        <f t="shared" ref="H2019:I2019" si="506">H2020</f>
        <v>0</v>
      </c>
      <c r="I2019" s="87">
        <f t="shared" si="506"/>
        <v>0</v>
      </c>
      <c r="J2019" s="177"/>
      <c r="K2019" s="207"/>
      <c r="L2019" s="207"/>
      <c r="M2019" s="1"/>
      <c r="N2019" s="1"/>
      <c r="O2019" s="1"/>
      <c r="P2019" s="1"/>
      <c r="Q2019" s="1"/>
      <c r="R2019" s="1"/>
    </row>
    <row r="2020" spans="1:18" ht="34.5" hidden="1" customHeight="1">
      <c r="A2020" s="82" t="s">
        <v>349</v>
      </c>
      <c r="B2020" s="83">
        <v>795</v>
      </c>
      <c r="C2020" s="84" t="s">
        <v>173</v>
      </c>
      <c r="D2020" s="84" t="s">
        <v>28</v>
      </c>
      <c r="E2020" s="84" t="s">
        <v>502</v>
      </c>
      <c r="F2020" s="84" t="s">
        <v>350</v>
      </c>
      <c r="G2020" s="87"/>
      <c r="H2020" s="87">
        <v>0</v>
      </c>
      <c r="I2020" s="87">
        <v>0</v>
      </c>
      <c r="J2020" s="177"/>
      <c r="K2020" s="207"/>
      <c r="L2020" s="207"/>
      <c r="M2020" s="1"/>
      <c r="N2020" s="1"/>
      <c r="O2020" s="1"/>
      <c r="P2020" s="1"/>
      <c r="Q2020" s="1"/>
      <c r="R2020" s="1"/>
    </row>
    <row r="2021" spans="1:18" ht="34.5" hidden="1" customHeight="1">
      <c r="A2021" s="82" t="s">
        <v>538</v>
      </c>
      <c r="B2021" s="83">
        <v>795</v>
      </c>
      <c r="C2021" s="84" t="s">
        <v>173</v>
      </c>
      <c r="D2021" s="84" t="s">
        <v>28</v>
      </c>
      <c r="E2021" s="84" t="s">
        <v>539</v>
      </c>
      <c r="F2021" s="84"/>
      <c r="G2021" s="87">
        <f>G2022</f>
        <v>0</v>
      </c>
      <c r="H2021" s="87">
        <v>0</v>
      </c>
      <c r="I2021" s="87">
        <v>0</v>
      </c>
      <c r="J2021" s="177"/>
      <c r="K2021" s="207"/>
      <c r="L2021" s="207"/>
    </row>
    <row r="2022" spans="1:18" ht="34.5" hidden="1" customHeight="1">
      <c r="A2022" s="82" t="s">
        <v>96</v>
      </c>
      <c r="B2022" s="83">
        <v>795</v>
      </c>
      <c r="C2022" s="84" t="s">
        <v>173</v>
      </c>
      <c r="D2022" s="84" t="s">
        <v>28</v>
      </c>
      <c r="E2022" s="84" t="s">
        <v>539</v>
      </c>
      <c r="F2022" s="84" t="s">
        <v>348</v>
      </c>
      <c r="G2022" s="87">
        <f>G2023</f>
        <v>0</v>
      </c>
      <c r="H2022" s="87">
        <v>0</v>
      </c>
      <c r="I2022" s="87">
        <v>0</v>
      </c>
      <c r="J2022" s="177"/>
      <c r="K2022" s="207"/>
      <c r="L2022" s="207"/>
    </row>
    <row r="2023" spans="1:18" ht="34.5" hidden="1" customHeight="1">
      <c r="A2023" s="82" t="s">
        <v>349</v>
      </c>
      <c r="B2023" s="83">
        <v>795</v>
      </c>
      <c r="C2023" s="84" t="s">
        <v>173</v>
      </c>
      <c r="D2023" s="84" t="s">
        <v>28</v>
      </c>
      <c r="E2023" s="84" t="s">
        <v>539</v>
      </c>
      <c r="F2023" s="84" t="s">
        <v>350</v>
      </c>
      <c r="G2023" s="87"/>
      <c r="H2023" s="87">
        <v>0</v>
      </c>
      <c r="I2023" s="87">
        <v>0</v>
      </c>
      <c r="J2023" s="177"/>
      <c r="K2023" s="207"/>
      <c r="L2023" s="207"/>
    </row>
    <row r="2024" spans="1:18" ht="20.25" hidden="1" customHeight="1">
      <c r="A2024" s="82" t="s">
        <v>632</v>
      </c>
      <c r="B2024" s="83">
        <v>795</v>
      </c>
      <c r="C2024" s="84" t="s">
        <v>173</v>
      </c>
      <c r="D2024" s="84" t="s">
        <v>28</v>
      </c>
      <c r="E2024" s="84" t="s">
        <v>631</v>
      </c>
      <c r="F2024" s="84"/>
      <c r="G2024" s="87">
        <f t="shared" ref="G2024:I2025" si="507">G2025</f>
        <v>0</v>
      </c>
      <c r="H2024" s="87">
        <f t="shared" si="507"/>
        <v>0</v>
      </c>
      <c r="I2024" s="87">
        <f t="shared" si="507"/>
        <v>0</v>
      </c>
      <c r="J2024" s="177"/>
      <c r="K2024" s="207"/>
      <c r="L2024" s="207"/>
    </row>
    <row r="2025" spans="1:18" ht="34.5" hidden="1" customHeight="1">
      <c r="A2025" s="82" t="s">
        <v>36</v>
      </c>
      <c r="B2025" s="83">
        <v>795</v>
      </c>
      <c r="C2025" s="84" t="s">
        <v>173</v>
      </c>
      <c r="D2025" s="84" t="s">
        <v>28</v>
      </c>
      <c r="E2025" s="84" t="s">
        <v>631</v>
      </c>
      <c r="F2025" s="84" t="s">
        <v>37</v>
      </c>
      <c r="G2025" s="87">
        <f t="shared" si="507"/>
        <v>0</v>
      </c>
      <c r="H2025" s="87">
        <f t="shared" si="507"/>
        <v>0</v>
      </c>
      <c r="I2025" s="87">
        <f t="shared" si="507"/>
        <v>0</v>
      </c>
      <c r="J2025" s="177"/>
      <c r="K2025" s="207"/>
      <c r="L2025" s="207"/>
    </row>
    <row r="2026" spans="1:18" ht="34.5" hidden="1" customHeight="1">
      <c r="A2026" s="82" t="s">
        <v>38</v>
      </c>
      <c r="B2026" s="83">
        <v>795</v>
      </c>
      <c r="C2026" s="84" t="s">
        <v>173</v>
      </c>
      <c r="D2026" s="84" t="s">
        <v>28</v>
      </c>
      <c r="E2026" s="84" t="s">
        <v>631</v>
      </c>
      <c r="F2026" s="84" t="s">
        <v>39</v>
      </c>
      <c r="G2026" s="87"/>
      <c r="H2026" s="87"/>
      <c r="I2026" s="87"/>
      <c r="J2026" s="177"/>
      <c r="K2026" s="207"/>
      <c r="L2026" s="207"/>
    </row>
    <row r="2027" spans="1:18" s="18" customFormat="1" ht="25.5" hidden="1">
      <c r="A2027" s="82" t="s">
        <v>474</v>
      </c>
      <c r="B2027" s="83">
        <v>795</v>
      </c>
      <c r="C2027" s="84" t="s">
        <v>173</v>
      </c>
      <c r="D2027" s="84" t="s">
        <v>28</v>
      </c>
      <c r="E2027" s="84" t="s">
        <v>262</v>
      </c>
      <c r="F2027" s="84"/>
      <c r="G2027" s="87">
        <f>G2028</f>
        <v>0</v>
      </c>
      <c r="H2027" s="87">
        <f>H2028</f>
        <v>0</v>
      </c>
      <c r="I2027" s="87">
        <f>I2028</f>
        <v>0</v>
      </c>
      <c r="J2027" s="177"/>
      <c r="K2027" s="202"/>
      <c r="L2027" s="202"/>
      <c r="M2027" s="200"/>
      <c r="N2027" s="200"/>
      <c r="O2027" s="200"/>
      <c r="P2027" s="200"/>
      <c r="Q2027" s="200"/>
      <c r="R2027" s="200"/>
    </row>
    <row r="2028" spans="1:18" s="18" customFormat="1" ht="51.75" hidden="1" customHeight="1">
      <c r="A2028" s="82" t="s">
        <v>552</v>
      </c>
      <c r="B2028" s="83">
        <v>795</v>
      </c>
      <c r="C2028" s="84" t="s">
        <v>173</v>
      </c>
      <c r="D2028" s="84" t="s">
        <v>28</v>
      </c>
      <c r="E2028" s="84" t="s">
        <v>551</v>
      </c>
      <c r="F2028" s="84"/>
      <c r="G2028" s="87">
        <f>G2029</f>
        <v>0</v>
      </c>
      <c r="H2028" s="87">
        <f t="shared" ref="H2028:I2028" si="508">H2029</f>
        <v>0</v>
      </c>
      <c r="I2028" s="87">
        <f t="shared" si="508"/>
        <v>0</v>
      </c>
      <c r="J2028" s="177"/>
      <c r="K2028" s="202"/>
      <c r="L2028" s="202"/>
      <c r="M2028" s="200"/>
      <c r="N2028" s="200"/>
      <c r="O2028" s="200"/>
      <c r="P2028" s="200"/>
      <c r="Q2028" s="200"/>
      <c r="R2028" s="200"/>
    </row>
    <row r="2029" spans="1:18" s="18" customFormat="1" ht="25.5" hidden="1" customHeight="1">
      <c r="A2029" s="82" t="s">
        <v>517</v>
      </c>
      <c r="B2029" s="83">
        <v>795</v>
      </c>
      <c r="C2029" s="84" t="s">
        <v>173</v>
      </c>
      <c r="D2029" s="84" t="s">
        <v>28</v>
      </c>
      <c r="E2029" s="84" t="s">
        <v>551</v>
      </c>
      <c r="F2029" s="84"/>
      <c r="G2029" s="87">
        <f>G2030</f>
        <v>0</v>
      </c>
      <c r="H2029" s="87">
        <f t="shared" ref="H2029:I2030" si="509">H2030</f>
        <v>0</v>
      </c>
      <c r="I2029" s="87">
        <f t="shared" si="509"/>
        <v>0</v>
      </c>
      <c r="J2029" s="177"/>
      <c r="K2029" s="202"/>
      <c r="L2029" s="202"/>
      <c r="M2029" s="200"/>
      <c r="N2029" s="200"/>
      <c r="O2029" s="200"/>
      <c r="P2029" s="200"/>
      <c r="Q2029" s="200"/>
      <c r="R2029" s="200"/>
    </row>
    <row r="2030" spans="1:18" s="18" customFormat="1" hidden="1">
      <c r="A2030" s="82" t="s">
        <v>156</v>
      </c>
      <c r="B2030" s="83">
        <v>795</v>
      </c>
      <c r="C2030" s="84" t="s">
        <v>173</v>
      </c>
      <c r="D2030" s="84" t="s">
        <v>28</v>
      </c>
      <c r="E2030" s="84" t="s">
        <v>551</v>
      </c>
      <c r="F2030" s="84" t="s">
        <v>157</v>
      </c>
      <c r="G2030" s="87">
        <f>G2031</f>
        <v>0</v>
      </c>
      <c r="H2030" s="87">
        <f t="shared" si="509"/>
        <v>0</v>
      </c>
      <c r="I2030" s="87">
        <f t="shared" si="509"/>
        <v>0</v>
      </c>
      <c r="J2030" s="177"/>
      <c r="K2030" s="202"/>
      <c r="L2030" s="202"/>
      <c r="M2030" s="200"/>
      <c r="N2030" s="200"/>
      <c r="O2030" s="200"/>
      <c r="P2030" s="200"/>
      <c r="Q2030" s="200"/>
      <c r="R2030" s="200"/>
    </row>
    <row r="2031" spans="1:18" s="18" customFormat="1" hidden="1">
      <c r="A2031" s="82" t="s">
        <v>170</v>
      </c>
      <c r="B2031" s="83">
        <v>795</v>
      </c>
      <c r="C2031" s="84" t="s">
        <v>173</v>
      </c>
      <c r="D2031" s="84" t="s">
        <v>28</v>
      </c>
      <c r="E2031" s="84" t="s">
        <v>551</v>
      </c>
      <c r="F2031" s="84" t="s">
        <v>171</v>
      </c>
      <c r="G2031" s="87"/>
      <c r="H2031" s="87">
        <v>0</v>
      </c>
      <c r="I2031" s="87">
        <v>0</v>
      </c>
      <c r="J2031" s="177"/>
      <c r="K2031" s="202"/>
      <c r="L2031" s="202"/>
      <c r="M2031" s="200"/>
      <c r="N2031" s="200"/>
      <c r="O2031" s="200"/>
      <c r="P2031" s="200"/>
      <c r="Q2031" s="200"/>
      <c r="R2031" s="200"/>
    </row>
    <row r="2032" spans="1:18" ht="30.75" hidden="1" customHeight="1">
      <c r="A2032" s="82" t="s">
        <v>272</v>
      </c>
      <c r="B2032" s="83">
        <v>795</v>
      </c>
      <c r="C2032" s="84" t="s">
        <v>173</v>
      </c>
      <c r="D2032" s="84" t="s">
        <v>28</v>
      </c>
      <c r="E2032" s="84" t="s">
        <v>571</v>
      </c>
      <c r="F2032" s="84"/>
      <c r="G2032" s="87">
        <f>G2033</f>
        <v>0</v>
      </c>
      <c r="H2032" s="87">
        <v>0</v>
      </c>
      <c r="I2032" s="87">
        <v>0</v>
      </c>
      <c r="J2032" s="177"/>
      <c r="K2032" s="207"/>
      <c r="L2032" s="207"/>
    </row>
    <row r="2033" spans="1:18" ht="30.75" hidden="1" customHeight="1">
      <c r="A2033" s="82" t="s">
        <v>36</v>
      </c>
      <c r="B2033" s="83">
        <v>795</v>
      </c>
      <c r="C2033" s="84" t="s">
        <v>173</v>
      </c>
      <c r="D2033" s="84" t="s">
        <v>28</v>
      </c>
      <c r="E2033" s="84" t="s">
        <v>571</v>
      </c>
      <c r="F2033" s="84" t="s">
        <v>37</v>
      </c>
      <c r="G2033" s="87">
        <f>G2034</f>
        <v>0</v>
      </c>
      <c r="H2033" s="87">
        <v>0</v>
      </c>
      <c r="I2033" s="87">
        <v>0</v>
      </c>
      <c r="J2033" s="177"/>
      <c r="K2033" s="207"/>
      <c r="L2033" s="207"/>
    </row>
    <row r="2034" spans="1:18" ht="1.5" hidden="1" customHeight="1">
      <c r="A2034" s="82" t="s">
        <v>38</v>
      </c>
      <c r="B2034" s="83">
        <v>795</v>
      </c>
      <c r="C2034" s="84" t="s">
        <v>173</v>
      </c>
      <c r="D2034" s="84" t="s">
        <v>28</v>
      </c>
      <c r="E2034" s="84" t="s">
        <v>571</v>
      </c>
      <c r="F2034" s="84" t="s">
        <v>39</v>
      </c>
      <c r="G2034" s="87"/>
      <c r="H2034" s="87">
        <v>0</v>
      </c>
      <c r="I2034" s="87">
        <v>0</v>
      </c>
      <c r="J2034" s="177"/>
      <c r="K2034" s="207"/>
      <c r="L2034" s="207"/>
    </row>
    <row r="2035" spans="1:18" ht="30.75" hidden="1" customHeight="1">
      <c r="A2035" s="82" t="s">
        <v>272</v>
      </c>
      <c r="B2035" s="83">
        <v>795</v>
      </c>
      <c r="C2035" s="84" t="s">
        <v>173</v>
      </c>
      <c r="D2035" s="84" t="s">
        <v>28</v>
      </c>
      <c r="E2035" s="84" t="s">
        <v>570</v>
      </c>
      <c r="F2035" s="84"/>
      <c r="G2035" s="87">
        <f>G2036</f>
        <v>0</v>
      </c>
      <c r="H2035" s="87">
        <v>0</v>
      </c>
      <c r="I2035" s="87">
        <v>0</v>
      </c>
      <c r="J2035" s="177"/>
      <c r="K2035" s="207"/>
      <c r="L2035" s="207"/>
    </row>
    <row r="2036" spans="1:18" ht="30.75" hidden="1" customHeight="1">
      <c r="A2036" s="82" t="s">
        <v>272</v>
      </c>
      <c r="B2036" s="83">
        <v>795</v>
      </c>
      <c r="C2036" s="84" t="s">
        <v>173</v>
      </c>
      <c r="D2036" s="84" t="s">
        <v>28</v>
      </c>
      <c r="E2036" s="84" t="s">
        <v>571</v>
      </c>
      <c r="F2036" s="84"/>
      <c r="G2036" s="87">
        <f>G2043+G2045</f>
        <v>0</v>
      </c>
      <c r="H2036" s="87">
        <v>0</v>
      </c>
      <c r="I2036" s="87">
        <v>0</v>
      </c>
      <c r="J2036" s="177"/>
      <c r="K2036" s="207"/>
      <c r="L2036" s="207"/>
    </row>
    <row r="2037" spans="1:18" ht="30.75" hidden="1" customHeight="1">
      <c r="A2037" s="82" t="s">
        <v>36</v>
      </c>
      <c r="B2037" s="83">
        <v>795</v>
      </c>
      <c r="C2037" s="84" t="s">
        <v>173</v>
      </c>
      <c r="D2037" s="84" t="s">
        <v>28</v>
      </c>
      <c r="E2037" s="84" t="s">
        <v>571</v>
      </c>
      <c r="F2037" s="84" t="s">
        <v>37</v>
      </c>
      <c r="G2037" s="87" t="e">
        <f>G2038</f>
        <v>#REF!</v>
      </c>
      <c r="H2037" s="87">
        <v>0</v>
      </c>
      <c r="I2037" s="87">
        <v>0</v>
      </c>
      <c r="J2037" s="177"/>
      <c r="K2037" s="207"/>
      <c r="L2037" s="207"/>
    </row>
    <row r="2038" spans="1:18" ht="30.75" hidden="1" customHeight="1">
      <c r="A2038" s="82" t="s">
        <v>38</v>
      </c>
      <c r="B2038" s="83">
        <v>795</v>
      </c>
      <c r="C2038" s="84" t="s">
        <v>173</v>
      </c>
      <c r="D2038" s="84" t="s">
        <v>28</v>
      </c>
      <c r="E2038" s="84" t="s">
        <v>571</v>
      </c>
      <c r="F2038" s="84" t="s">
        <v>39</v>
      </c>
      <c r="G2038" s="87" t="e">
        <f>'прил 5,'!#REF!</f>
        <v>#REF!</v>
      </c>
      <c r="H2038" s="87">
        <v>0</v>
      </c>
      <c r="I2038" s="87">
        <v>0</v>
      </c>
      <c r="J2038" s="177"/>
      <c r="K2038" s="207"/>
      <c r="L2038" s="207"/>
    </row>
    <row r="2039" spans="1:18" ht="23.25" hidden="1" customHeight="1">
      <c r="A2039" s="82" t="s">
        <v>148</v>
      </c>
      <c r="B2039" s="83">
        <v>795</v>
      </c>
      <c r="C2039" s="84" t="s">
        <v>173</v>
      </c>
      <c r="D2039" s="84" t="s">
        <v>28</v>
      </c>
      <c r="E2039" s="84" t="s">
        <v>571</v>
      </c>
      <c r="F2039" s="84" t="s">
        <v>149</v>
      </c>
      <c r="G2039" s="87">
        <f>G2040</f>
        <v>0</v>
      </c>
      <c r="H2039" s="87">
        <v>0</v>
      </c>
      <c r="I2039" s="87">
        <v>0</v>
      </c>
      <c r="J2039" s="177"/>
      <c r="K2039" s="207"/>
      <c r="L2039" s="207"/>
    </row>
    <row r="2040" spans="1:18" ht="30.75" hidden="1" customHeight="1">
      <c r="A2040" s="82" t="s">
        <v>150</v>
      </c>
      <c r="B2040" s="83">
        <v>795</v>
      </c>
      <c r="C2040" s="84" t="s">
        <v>173</v>
      </c>
      <c r="D2040" s="84" t="s">
        <v>28</v>
      </c>
      <c r="E2040" s="84" t="s">
        <v>571</v>
      </c>
      <c r="F2040" s="84" t="s">
        <v>151</v>
      </c>
      <c r="G2040" s="87">
        <f>'прил 5,'!G1981</f>
        <v>0</v>
      </c>
      <c r="H2040" s="87">
        <v>0</v>
      </c>
      <c r="I2040" s="87">
        <v>0</v>
      </c>
      <c r="J2040" s="177"/>
      <c r="K2040" s="207"/>
      <c r="L2040" s="207"/>
    </row>
    <row r="2041" spans="1:18" ht="21.75" hidden="1" customHeight="1">
      <c r="A2041" s="82" t="s">
        <v>156</v>
      </c>
      <c r="B2041" s="83">
        <v>795</v>
      </c>
      <c r="C2041" s="84" t="s">
        <v>173</v>
      </c>
      <c r="D2041" s="84" t="s">
        <v>28</v>
      </c>
      <c r="E2041" s="84" t="s">
        <v>571</v>
      </c>
      <c r="F2041" s="84" t="s">
        <v>157</v>
      </c>
      <c r="G2041" s="87">
        <f>G2042</f>
        <v>0</v>
      </c>
      <c r="H2041" s="87">
        <v>0</v>
      </c>
      <c r="I2041" s="87">
        <v>0</v>
      </c>
      <c r="J2041" s="177"/>
      <c r="K2041" s="207"/>
      <c r="L2041" s="207"/>
    </row>
    <row r="2042" spans="1:18" ht="22.5" hidden="1" customHeight="1">
      <c r="A2042" s="82" t="s">
        <v>178</v>
      </c>
      <c r="B2042" s="83">
        <v>795</v>
      </c>
      <c r="C2042" s="84" t="s">
        <v>173</v>
      </c>
      <c r="D2042" s="84" t="s">
        <v>28</v>
      </c>
      <c r="E2042" s="84" t="s">
        <v>571</v>
      </c>
      <c r="F2042" s="84" t="s">
        <v>179</v>
      </c>
      <c r="G2042" s="87"/>
      <c r="H2042" s="87">
        <v>0</v>
      </c>
      <c r="I2042" s="87">
        <v>0</v>
      </c>
      <c r="J2042" s="177"/>
      <c r="K2042" s="207"/>
      <c r="L2042" s="207"/>
    </row>
    <row r="2043" spans="1:18" ht="25.5" hidden="1">
      <c r="A2043" s="82" t="s">
        <v>36</v>
      </c>
      <c r="B2043" s="83">
        <v>795</v>
      </c>
      <c r="C2043" s="84" t="s">
        <v>173</v>
      </c>
      <c r="D2043" s="84" t="s">
        <v>28</v>
      </c>
      <c r="E2043" s="84" t="s">
        <v>571</v>
      </c>
      <c r="F2043" s="84" t="s">
        <v>37</v>
      </c>
      <c r="G2043" s="85">
        <f t="shared" ref="G2043:I2045" si="510">G2044</f>
        <v>0</v>
      </c>
      <c r="H2043" s="85">
        <f t="shared" si="510"/>
        <v>0</v>
      </c>
      <c r="I2043" s="85">
        <f t="shared" si="510"/>
        <v>0</v>
      </c>
      <c r="J2043" s="178"/>
      <c r="K2043" s="207"/>
      <c r="L2043" s="207"/>
    </row>
    <row r="2044" spans="1:18" ht="25.5" hidden="1">
      <c r="A2044" s="82" t="s">
        <v>38</v>
      </c>
      <c r="B2044" s="83">
        <v>795</v>
      </c>
      <c r="C2044" s="84" t="s">
        <v>173</v>
      </c>
      <c r="D2044" s="84" t="s">
        <v>28</v>
      </c>
      <c r="E2044" s="84" t="s">
        <v>571</v>
      </c>
      <c r="F2044" s="84" t="s">
        <v>39</v>
      </c>
      <c r="G2044" s="85"/>
      <c r="H2044" s="85"/>
      <c r="I2044" s="85"/>
      <c r="J2044" s="178"/>
      <c r="K2044" s="207"/>
      <c r="L2044" s="207"/>
    </row>
    <row r="2045" spans="1:18" ht="25.5" hidden="1">
      <c r="A2045" s="82" t="s">
        <v>96</v>
      </c>
      <c r="B2045" s="83">
        <v>795</v>
      </c>
      <c r="C2045" s="84" t="s">
        <v>173</v>
      </c>
      <c r="D2045" s="84" t="s">
        <v>28</v>
      </c>
      <c r="E2045" s="84" t="s">
        <v>571</v>
      </c>
      <c r="F2045" s="84" t="s">
        <v>348</v>
      </c>
      <c r="G2045" s="85">
        <f t="shared" si="510"/>
        <v>0</v>
      </c>
      <c r="H2045" s="85">
        <f t="shared" si="510"/>
        <v>0</v>
      </c>
      <c r="I2045" s="85">
        <f t="shared" si="510"/>
        <v>0</v>
      </c>
      <c r="J2045" s="178"/>
      <c r="K2045" s="207"/>
      <c r="L2045" s="207"/>
    </row>
    <row r="2046" spans="1:18" hidden="1">
      <c r="A2046" s="82" t="s">
        <v>349</v>
      </c>
      <c r="B2046" s="83">
        <v>795</v>
      </c>
      <c r="C2046" s="84" t="s">
        <v>173</v>
      </c>
      <c r="D2046" s="84" t="s">
        <v>28</v>
      </c>
      <c r="E2046" s="84" t="s">
        <v>571</v>
      </c>
      <c r="F2046" s="84" t="s">
        <v>350</v>
      </c>
      <c r="G2046" s="85"/>
      <c r="H2046" s="85"/>
      <c r="I2046" s="85"/>
      <c r="J2046" s="178"/>
      <c r="K2046" s="207"/>
      <c r="L2046" s="207"/>
    </row>
    <row r="2047" spans="1:18" s="28" customFormat="1" ht="24.75" hidden="1" customHeight="1">
      <c r="A2047" s="139" t="s">
        <v>169</v>
      </c>
      <c r="B2047" s="149">
        <v>793</v>
      </c>
      <c r="C2047" s="84" t="s">
        <v>173</v>
      </c>
      <c r="D2047" s="84" t="s">
        <v>28</v>
      </c>
      <c r="E2047" s="84" t="s">
        <v>233</v>
      </c>
      <c r="F2047" s="168"/>
      <c r="G2047" s="87">
        <f t="shared" ref="G2047:I2047" si="511">G2048</f>
        <v>0</v>
      </c>
      <c r="H2047" s="87">
        <f t="shared" si="511"/>
        <v>0</v>
      </c>
      <c r="I2047" s="87">
        <f t="shared" si="511"/>
        <v>0</v>
      </c>
      <c r="J2047" s="177"/>
      <c r="K2047" s="217"/>
      <c r="L2047" s="217"/>
      <c r="M2047" s="204"/>
      <c r="N2047" s="204"/>
      <c r="O2047" s="204"/>
      <c r="P2047" s="204"/>
      <c r="Q2047" s="204"/>
      <c r="R2047" s="204"/>
    </row>
    <row r="2048" spans="1:18" ht="25.5" hidden="1">
      <c r="A2048" s="139" t="s">
        <v>169</v>
      </c>
      <c r="B2048" s="83">
        <v>795</v>
      </c>
      <c r="C2048" s="84" t="s">
        <v>173</v>
      </c>
      <c r="D2048" s="84" t="s">
        <v>28</v>
      </c>
      <c r="E2048" s="84" t="s">
        <v>275</v>
      </c>
      <c r="F2048" s="84"/>
      <c r="G2048" s="87">
        <f>G2049+G2051</f>
        <v>0</v>
      </c>
      <c r="H2048" s="87">
        <f>H2049+H2051</f>
        <v>0</v>
      </c>
      <c r="I2048" s="87">
        <f>I2049+I2051</f>
        <v>0</v>
      </c>
      <c r="J2048" s="177"/>
      <c r="K2048" s="207"/>
      <c r="L2048" s="207"/>
    </row>
    <row r="2049" spans="1:18" hidden="1">
      <c r="A2049" s="82"/>
      <c r="B2049" s="83"/>
      <c r="C2049" s="84" t="s">
        <v>173</v>
      </c>
      <c r="D2049" s="84" t="s">
        <v>28</v>
      </c>
      <c r="E2049" s="84" t="s">
        <v>275</v>
      </c>
      <c r="F2049" s="84"/>
      <c r="G2049" s="87"/>
      <c r="H2049" s="87"/>
      <c r="I2049" s="87"/>
      <c r="J2049" s="177"/>
      <c r="K2049" s="207"/>
      <c r="L2049" s="207"/>
    </row>
    <row r="2050" spans="1:18" ht="30.75" hidden="1" customHeight="1">
      <c r="A2050" s="82"/>
      <c r="B2050" s="83"/>
      <c r="C2050" s="84" t="s">
        <v>173</v>
      </c>
      <c r="D2050" s="84" t="s">
        <v>28</v>
      </c>
      <c r="E2050" s="84" t="s">
        <v>275</v>
      </c>
      <c r="F2050" s="84"/>
      <c r="G2050" s="87"/>
      <c r="H2050" s="87"/>
      <c r="I2050" s="87"/>
      <c r="J2050" s="177"/>
      <c r="K2050" s="207"/>
      <c r="L2050" s="207"/>
    </row>
    <row r="2051" spans="1:18" ht="30.75" hidden="1" customHeight="1">
      <c r="A2051" s="82" t="s">
        <v>36</v>
      </c>
      <c r="B2051" s="83">
        <v>795</v>
      </c>
      <c r="C2051" s="84" t="s">
        <v>173</v>
      </c>
      <c r="D2051" s="84" t="s">
        <v>28</v>
      </c>
      <c r="E2051" s="84" t="s">
        <v>275</v>
      </c>
      <c r="F2051" s="84" t="s">
        <v>37</v>
      </c>
      <c r="G2051" s="87">
        <f>G2052</f>
        <v>0</v>
      </c>
      <c r="H2051" s="87">
        <f>H2052</f>
        <v>0</v>
      </c>
      <c r="I2051" s="87">
        <f>I2052</f>
        <v>0</v>
      </c>
      <c r="J2051" s="177"/>
      <c r="K2051" s="207"/>
      <c r="L2051" s="207"/>
    </row>
    <row r="2052" spans="1:18" ht="35.25" hidden="1" customHeight="1">
      <c r="A2052" s="82" t="s">
        <v>38</v>
      </c>
      <c r="B2052" s="83">
        <v>795</v>
      </c>
      <c r="C2052" s="84" t="s">
        <v>173</v>
      </c>
      <c r="D2052" s="84" t="s">
        <v>28</v>
      </c>
      <c r="E2052" s="84" t="s">
        <v>275</v>
      </c>
      <c r="F2052" s="84" t="s">
        <v>39</v>
      </c>
      <c r="G2052" s="87"/>
      <c r="H2052" s="87"/>
      <c r="I2052" s="87"/>
      <c r="J2052" s="177"/>
      <c r="K2052" s="207"/>
      <c r="L2052" s="207"/>
    </row>
    <row r="2053" spans="1:18" s="22" customFormat="1" ht="17.25" hidden="1" customHeight="1">
      <c r="A2053" s="154" t="s">
        <v>284</v>
      </c>
      <c r="B2053" s="273">
        <v>795</v>
      </c>
      <c r="C2053" s="156" t="s">
        <v>173</v>
      </c>
      <c r="D2053" s="156" t="s">
        <v>70</v>
      </c>
      <c r="E2053" s="156"/>
      <c r="F2053" s="156"/>
      <c r="G2053" s="157">
        <f>G2054+G2069</f>
        <v>0</v>
      </c>
      <c r="H2053" s="157">
        <f t="shared" ref="H2053:I2053" si="512">H2054+H2069</f>
        <v>0</v>
      </c>
      <c r="I2053" s="157">
        <f t="shared" si="512"/>
        <v>0</v>
      </c>
      <c r="J2053" s="196"/>
      <c r="K2053" s="207"/>
      <c r="L2053" s="207"/>
      <c r="M2053" s="207"/>
      <c r="N2053" s="207"/>
      <c r="O2053" s="207"/>
      <c r="P2053" s="207"/>
      <c r="Q2053" s="207"/>
      <c r="R2053" s="207"/>
    </row>
    <row r="2054" spans="1:18" ht="51" hidden="1">
      <c r="A2054" s="82" t="s">
        <v>494</v>
      </c>
      <c r="B2054" s="83">
        <v>795</v>
      </c>
      <c r="C2054" s="84" t="s">
        <v>173</v>
      </c>
      <c r="D2054" s="84" t="s">
        <v>70</v>
      </c>
      <c r="E2054" s="84" t="s">
        <v>295</v>
      </c>
      <c r="F2054" s="84"/>
      <c r="G2054" s="87">
        <f>G2055+G2058+G2063+G2066</f>
        <v>0</v>
      </c>
      <c r="H2054" s="87">
        <f t="shared" ref="H2054:I2054" si="513">H2055+H2058+H2063+H2066</f>
        <v>0</v>
      </c>
      <c r="I2054" s="87">
        <f t="shared" si="513"/>
        <v>0</v>
      </c>
      <c r="J2054" s="177"/>
      <c r="K2054" s="207"/>
      <c r="L2054" s="207"/>
    </row>
    <row r="2055" spans="1:18" s="46" customFormat="1" ht="17.25" hidden="1" customHeight="1">
      <c r="A2055" s="82" t="s">
        <v>381</v>
      </c>
      <c r="B2055" s="83">
        <v>795</v>
      </c>
      <c r="C2055" s="84" t="s">
        <v>173</v>
      </c>
      <c r="D2055" s="84" t="s">
        <v>70</v>
      </c>
      <c r="E2055" s="84" t="s">
        <v>380</v>
      </c>
      <c r="F2055" s="84"/>
      <c r="G2055" s="87">
        <f t="shared" ref="G2055:I2056" si="514">G2056</f>
        <v>0</v>
      </c>
      <c r="H2055" s="87">
        <f t="shared" si="514"/>
        <v>0</v>
      </c>
      <c r="I2055" s="87">
        <f t="shared" si="514"/>
        <v>0</v>
      </c>
      <c r="J2055" s="177"/>
      <c r="K2055" s="207"/>
      <c r="L2055" s="207"/>
      <c r="M2055" s="222"/>
      <c r="N2055" s="222"/>
      <c r="O2055" s="222"/>
      <c r="P2055" s="222"/>
      <c r="Q2055" s="222"/>
      <c r="R2055" s="222"/>
    </row>
    <row r="2056" spans="1:18" s="46" customFormat="1" ht="17.25" hidden="1" customHeight="1">
      <c r="A2056" s="82" t="s">
        <v>323</v>
      </c>
      <c r="B2056" s="83">
        <v>795</v>
      </c>
      <c r="C2056" s="84" t="s">
        <v>173</v>
      </c>
      <c r="D2056" s="84" t="s">
        <v>70</v>
      </c>
      <c r="E2056" s="84" t="s">
        <v>380</v>
      </c>
      <c r="F2056" s="84" t="s">
        <v>37</v>
      </c>
      <c r="G2056" s="87">
        <f t="shared" si="514"/>
        <v>0</v>
      </c>
      <c r="H2056" s="87">
        <f t="shared" si="514"/>
        <v>0</v>
      </c>
      <c r="I2056" s="87">
        <f t="shared" si="514"/>
        <v>0</v>
      </c>
      <c r="J2056" s="177"/>
      <c r="K2056" s="207"/>
      <c r="L2056" s="207"/>
      <c r="M2056" s="222"/>
      <c r="N2056" s="222"/>
      <c r="O2056" s="222"/>
      <c r="P2056" s="222"/>
      <c r="Q2056" s="222"/>
      <c r="R2056" s="222"/>
    </row>
    <row r="2057" spans="1:18" s="46" customFormat="1" ht="32.25" hidden="1" customHeight="1">
      <c r="A2057" s="82" t="s">
        <v>38</v>
      </c>
      <c r="B2057" s="83">
        <v>795</v>
      </c>
      <c r="C2057" s="84" t="s">
        <v>173</v>
      </c>
      <c r="D2057" s="84" t="s">
        <v>70</v>
      </c>
      <c r="E2057" s="84" t="s">
        <v>380</v>
      </c>
      <c r="F2057" s="84" t="s">
        <v>39</v>
      </c>
      <c r="G2057" s="87"/>
      <c r="H2057" s="87"/>
      <c r="I2057" s="87"/>
      <c r="J2057" s="177"/>
      <c r="K2057" s="207"/>
      <c r="L2057" s="207"/>
      <c r="M2057" s="222"/>
      <c r="N2057" s="222"/>
      <c r="O2057" s="222"/>
      <c r="P2057" s="222"/>
      <c r="Q2057" s="222"/>
      <c r="R2057" s="222"/>
    </row>
    <row r="2058" spans="1:18" hidden="1">
      <c r="A2058" s="82" t="s">
        <v>79</v>
      </c>
      <c r="B2058" s="83">
        <v>795</v>
      </c>
      <c r="C2058" s="84" t="s">
        <v>173</v>
      </c>
      <c r="D2058" s="84" t="s">
        <v>70</v>
      </c>
      <c r="E2058" s="84" t="s">
        <v>100</v>
      </c>
      <c r="F2058" s="84"/>
      <c r="G2058" s="87">
        <f>G2059+G2061</f>
        <v>0</v>
      </c>
      <c r="H2058" s="87">
        <f>H2059+H2061</f>
        <v>0</v>
      </c>
      <c r="I2058" s="87">
        <f>I2059+I2061</f>
        <v>0</v>
      </c>
      <c r="J2058" s="177"/>
      <c r="K2058" s="207"/>
      <c r="L2058" s="207"/>
    </row>
    <row r="2059" spans="1:18" ht="25.5" hidden="1">
      <c r="A2059" s="82" t="s">
        <v>36</v>
      </c>
      <c r="B2059" s="83">
        <v>795</v>
      </c>
      <c r="C2059" s="84" t="s">
        <v>173</v>
      </c>
      <c r="D2059" s="84" t="s">
        <v>70</v>
      </c>
      <c r="E2059" s="84" t="s">
        <v>100</v>
      </c>
      <c r="F2059" s="84" t="s">
        <v>37</v>
      </c>
      <c r="G2059" s="87">
        <f>G2060</f>
        <v>0</v>
      </c>
      <c r="H2059" s="87">
        <f>H2060</f>
        <v>0</v>
      </c>
      <c r="I2059" s="87">
        <f>I2060</f>
        <v>0</v>
      </c>
      <c r="J2059" s="177"/>
      <c r="K2059" s="207"/>
      <c r="L2059" s="207"/>
    </row>
    <row r="2060" spans="1:18" ht="30.75" hidden="1" customHeight="1">
      <c r="A2060" s="82" t="s">
        <v>38</v>
      </c>
      <c r="B2060" s="83">
        <v>795</v>
      </c>
      <c r="C2060" s="84" t="s">
        <v>173</v>
      </c>
      <c r="D2060" s="84" t="s">
        <v>70</v>
      </c>
      <c r="E2060" s="84" t="s">
        <v>100</v>
      </c>
      <c r="F2060" s="84" t="s">
        <v>39</v>
      </c>
      <c r="G2060" s="87"/>
      <c r="H2060" s="87"/>
      <c r="I2060" s="87"/>
      <c r="J2060" s="177"/>
      <c r="K2060" s="207"/>
      <c r="L2060" s="207"/>
    </row>
    <row r="2061" spans="1:18" ht="18" hidden="1" customHeight="1">
      <c r="A2061" s="82" t="s">
        <v>156</v>
      </c>
      <c r="B2061" s="83">
        <v>795</v>
      </c>
      <c r="C2061" s="84" t="s">
        <v>173</v>
      </c>
      <c r="D2061" s="84" t="s">
        <v>70</v>
      </c>
      <c r="E2061" s="84" t="s">
        <v>100</v>
      </c>
      <c r="F2061" s="84" t="s">
        <v>157</v>
      </c>
      <c r="G2061" s="87">
        <f>G2062</f>
        <v>0</v>
      </c>
      <c r="H2061" s="87">
        <f>H2062</f>
        <v>0</v>
      </c>
      <c r="I2061" s="87">
        <f>I2062</f>
        <v>0</v>
      </c>
      <c r="J2061" s="177"/>
      <c r="K2061" s="207"/>
      <c r="L2061" s="207"/>
    </row>
    <row r="2062" spans="1:18" ht="18" hidden="1" customHeight="1">
      <c r="A2062" s="82" t="s">
        <v>178</v>
      </c>
      <c r="B2062" s="83">
        <v>795</v>
      </c>
      <c r="C2062" s="84" t="s">
        <v>173</v>
      </c>
      <c r="D2062" s="84" t="s">
        <v>70</v>
      </c>
      <c r="E2062" s="84" t="s">
        <v>100</v>
      </c>
      <c r="F2062" s="84" t="s">
        <v>179</v>
      </c>
      <c r="G2062" s="87"/>
      <c r="H2062" s="87"/>
      <c r="I2062" s="87"/>
      <c r="J2062" s="177"/>
      <c r="K2062" s="207"/>
      <c r="L2062" s="207"/>
    </row>
    <row r="2063" spans="1:18" ht="26.25" hidden="1" customHeight="1">
      <c r="A2063" s="82" t="s">
        <v>77</v>
      </c>
      <c r="B2063" s="83">
        <v>795</v>
      </c>
      <c r="C2063" s="84" t="s">
        <v>173</v>
      </c>
      <c r="D2063" s="84" t="s">
        <v>70</v>
      </c>
      <c r="E2063" s="84" t="s">
        <v>78</v>
      </c>
      <c r="F2063" s="84"/>
      <c r="G2063" s="87">
        <f t="shared" ref="G2063:I2064" si="515">G2064</f>
        <v>0</v>
      </c>
      <c r="H2063" s="87">
        <f t="shared" si="515"/>
        <v>0</v>
      </c>
      <c r="I2063" s="87">
        <f t="shared" si="515"/>
        <v>0</v>
      </c>
      <c r="J2063" s="177"/>
      <c r="K2063" s="207"/>
      <c r="L2063" s="207"/>
    </row>
    <row r="2064" spans="1:18" ht="26.25" hidden="1" customHeight="1">
      <c r="A2064" s="82" t="s">
        <v>36</v>
      </c>
      <c r="B2064" s="83">
        <v>795</v>
      </c>
      <c r="C2064" s="84" t="s">
        <v>173</v>
      </c>
      <c r="D2064" s="84" t="s">
        <v>70</v>
      </c>
      <c r="E2064" s="84" t="s">
        <v>78</v>
      </c>
      <c r="F2064" s="84" t="s">
        <v>37</v>
      </c>
      <c r="G2064" s="87">
        <f t="shared" si="515"/>
        <v>0</v>
      </c>
      <c r="H2064" s="87">
        <f t="shared" si="515"/>
        <v>0</v>
      </c>
      <c r="I2064" s="87">
        <f t="shared" si="515"/>
        <v>0</v>
      </c>
      <c r="J2064" s="177"/>
      <c r="K2064" s="207"/>
      <c r="L2064" s="207"/>
    </row>
    <row r="2065" spans="1:18" ht="25.5" hidden="1">
      <c r="A2065" s="82" t="s">
        <v>38</v>
      </c>
      <c r="B2065" s="83">
        <v>795</v>
      </c>
      <c r="C2065" s="84" t="s">
        <v>173</v>
      </c>
      <c r="D2065" s="84" t="s">
        <v>70</v>
      </c>
      <c r="E2065" s="84" t="s">
        <v>78</v>
      </c>
      <c r="F2065" s="84" t="s">
        <v>39</v>
      </c>
      <c r="G2065" s="87"/>
      <c r="H2065" s="87"/>
      <c r="I2065" s="87"/>
      <c r="J2065" s="177"/>
      <c r="K2065" s="207"/>
      <c r="L2065" s="207"/>
    </row>
    <row r="2066" spans="1:18" ht="30.75" hidden="1" customHeight="1">
      <c r="A2066" s="82" t="s">
        <v>704</v>
      </c>
      <c r="B2066" s="83">
        <v>795</v>
      </c>
      <c r="C2066" s="84" t="s">
        <v>173</v>
      </c>
      <c r="D2066" s="84" t="s">
        <v>70</v>
      </c>
      <c r="E2066" s="84" t="s">
        <v>417</v>
      </c>
      <c r="F2066" s="84"/>
      <c r="G2066" s="87">
        <f t="shared" ref="G2066:I2067" si="516">G2067</f>
        <v>0</v>
      </c>
      <c r="H2066" s="87">
        <f t="shared" si="516"/>
        <v>0</v>
      </c>
      <c r="I2066" s="87">
        <f t="shared" si="516"/>
        <v>0</v>
      </c>
      <c r="J2066" s="177"/>
      <c r="K2066" s="207"/>
      <c r="L2066" s="207"/>
    </row>
    <row r="2067" spans="1:18" ht="30.75" hidden="1" customHeight="1">
      <c r="A2067" s="82" t="s">
        <v>36</v>
      </c>
      <c r="B2067" s="83">
        <v>795</v>
      </c>
      <c r="C2067" s="84" t="s">
        <v>173</v>
      </c>
      <c r="D2067" s="84" t="s">
        <v>70</v>
      </c>
      <c r="E2067" s="84" t="s">
        <v>417</v>
      </c>
      <c r="F2067" s="84" t="s">
        <v>37</v>
      </c>
      <c r="G2067" s="87">
        <f t="shared" si="516"/>
        <v>0</v>
      </c>
      <c r="H2067" s="87">
        <f t="shared" si="516"/>
        <v>0</v>
      </c>
      <c r="I2067" s="87">
        <f t="shared" si="516"/>
        <v>0</v>
      </c>
      <c r="J2067" s="177"/>
      <c r="K2067" s="207"/>
      <c r="L2067" s="207"/>
    </row>
    <row r="2068" spans="1:18" ht="30.75" hidden="1" customHeight="1">
      <c r="A2068" s="82" t="s">
        <v>38</v>
      </c>
      <c r="B2068" s="83">
        <v>795</v>
      </c>
      <c r="C2068" s="84" t="s">
        <v>173</v>
      </c>
      <c r="D2068" s="84" t="s">
        <v>70</v>
      </c>
      <c r="E2068" s="84" t="s">
        <v>417</v>
      </c>
      <c r="F2068" s="84" t="s">
        <v>39</v>
      </c>
      <c r="G2068" s="87"/>
      <c r="H2068" s="87"/>
      <c r="I2068" s="87"/>
      <c r="J2068" s="177"/>
      <c r="K2068" s="207"/>
      <c r="L2068" s="207"/>
    </row>
    <row r="2069" spans="1:18" ht="44.25" hidden="1" customHeight="1">
      <c r="A2069" s="82" t="s">
        <v>469</v>
      </c>
      <c r="B2069" s="83">
        <v>795</v>
      </c>
      <c r="C2069" s="84" t="s">
        <v>173</v>
      </c>
      <c r="D2069" s="84" t="s">
        <v>70</v>
      </c>
      <c r="E2069" s="84" t="s">
        <v>139</v>
      </c>
      <c r="F2069" s="84"/>
      <c r="G2069" s="87">
        <f>G2070+G2073</f>
        <v>0</v>
      </c>
      <c r="H2069" s="87">
        <f t="shared" ref="H2069:I2069" si="517">H2070+H2073</f>
        <v>0</v>
      </c>
      <c r="I2069" s="87">
        <f t="shared" si="517"/>
        <v>0</v>
      </c>
      <c r="J2069" s="177"/>
      <c r="K2069" s="207"/>
      <c r="L2069" s="207"/>
    </row>
    <row r="2070" spans="1:18" s="22" customFormat="1" ht="36" hidden="1" customHeight="1">
      <c r="A2070" s="82" t="s">
        <v>645</v>
      </c>
      <c r="B2070" s="149">
        <v>795</v>
      </c>
      <c r="C2070" s="84" t="s">
        <v>173</v>
      </c>
      <c r="D2070" s="84" t="s">
        <v>70</v>
      </c>
      <c r="E2070" s="84" t="s">
        <v>646</v>
      </c>
      <c r="F2070" s="156"/>
      <c r="G2070" s="87">
        <f>G2071</f>
        <v>0</v>
      </c>
      <c r="H2070" s="87">
        <f t="shared" ref="H2070:I2071" si="518">H2071</f>
        <v>0</v>
      </c>
      <c r="I2070" s="87">
        <f t="shared" si="518"/>
        <v>0</v>
      </c>
      <c r="J2070" s="177"/>
      <c r="K2070" s="207"/>
      <c r="L2070" s="207"/>
      <c r="M2070" s="207"/>
      <c r="N2070" s="207"/>
      <c r="O2070" s="207"/>
      <c r="P2070" s="207"/>
      <c r="Q2070" s="207"/>
      <c r="R2070" s="207"/>
    </row>
    <row r="2071" spans="1:18" s="22" customFormat="1" ht="24" hidden="1" customHeight="1">
      <c r="A2071" s="82" t="s">
        <v>156</v>
      </c>
      <c r="B2071" s="149">
        <v>795</v>
      </c>
      <c r="C2071" s="84" t="s">
        <v>173</v>
      </c>
      <c r="D2071" s="84" t="s">
        <v>70</v>
      </c>
      <c r="E2071" s="84" t="s">
        <v>646</v>
      </c>
      <c r="F2071" s="84" t="s">
        <v>157</v>
      </c>
      <c r="G2071" s="87">
        <f>G2072</f>
        <v>0</v>
      </c>
      <c r="H2071" s="87">
        <f t="shared" si="518"/>
        <v>0</v>
      </c>
      <c r="I2071" s="87">
        <f t="shared" si="518"/>
        <v>0</v>
      </c>
      <c r="J2071" s="177"/>
      <c r="K2071" s="207"/>
      <c r="L2071" s="207"/>
      <c r="M2071" s="207"/>
      <c r="N2071" s="207"/>
      <c r="O2071" s="207"/>
      <c r="P2071" s="207"/>
      <c r="Q2071" s="207"/>
      <c r="R2071" s="207"/>
    </row>
    <row r="2072" spans="1:18" s="22" customFormat="1" ht="24" hidden="1" customHeight="1">
      <c r="A2072" s="82" t="s">
        <v>178</v>
      </c>
      <c r="B2072" s="149">
        <v>795</v>
      </c>
      <c r="C2072" s="84" t="s">
        <v>173</v>
      </c>
      <c r="D2072" s="84" t="s">
        <v>70</v>
      </c>
      <c r="E2072" s="84" t="s">
        <v>646</v>
      </c>
      <c r="F2072" s="84" t="s">
        <v>179</v>
      </c>
      <c r="G2072" s="87"/>
      <c r="H2072" s="87">
        <v>0</v>
      </c>
      <c r="I2072" s="87">
        <v>0</v>
      </c>
      <c r="J2072" s="177"/>
      <c r="K2072" s="207"/>
      <c r="L2072" s="207"/>
      <c r="M2072" s="207"/>
      <c r="N2072" s="207"/>
      <c r="O2072" s="207"/>
      <c r="P2072" s="207"/>
      <c r="Q2072" s="207"/>
      <c r="R2072" s="207"/>
    </row>
    <row r="2073" spans="1:18" ht="50.25" hidden="1" customHeight="1">
      <c r="A2073" s="82" t="s">
        <v>403</v>
      </c>
      <c r="B2073" s="83">
        <v>795</v>
      </c>
      <c r="C2073" s="84" t="s">
        <v>173</v>
      </c>
      <c r="D2073" s="84" t="s">
        <v>70</v>
      </c>
      <c r="E2073" s="84" t="s">
        <v>402</v>
      </c>
      <c r="F2073" s="84"/>
      <c r="G2073" s="87">
        <f>G2074</f>
        <v>0</v>
      </c>
      <c r="H2073" s="87">
        <f t="shared" ref="H2073:I2074" si="519">H2074</f>
        <v>0</v>
      </c>
      <c r="I2073" s="87">
        <f t="shared" si="519"/>
        <v>0</v>
      </c>
      <c r="J2073" s="177"/>
      <c r="K2073" s="207"/>
      <c r="L2073" s="207"/>
    </row>
    <row r="2074" spans="1:18" ht="23.25" hidden="1" customHeight="1">
      <c r="A2074" s="82" t="s">
        <v>156</v>
      </c>
      <c r="B2074" s="83">
        <v>795</v>
      </c>
      <c r="C2074" s="84" t="s">
        <v>173</v>
      </c>
      <c r="D2074" s="84" t="s">
        <v>70</v>
      </c>
      <c r="E2074" s="84" t="s">
        <v>402</v>
      </c>
      <c r="F2074" s="84" t="s">
        <v>157</v>
      </c>
      <c r="G2074" s="87">
        <f>G2075</f>
        <v>0</v>
      </c>
      <c r="H2074" s="87">
        <f t="shared" si="519"/>
        <v>0</v>
      </c>
      <c r="I2074" s="87">
        <f t="shared" si="519"/>
        <v>0</v>
      </c>
      <c r="J2074" s="177"/>
      <c r="K2074" s="207"/>
      <c r="L2074" s="207"/>
    </row>
    <row r="2075" spans="1:18" ht="23.25" hidden="1" customHeight="1">
      <c r="A2075" s="82" t="s">
        <v>178</v>
      </c>
      <c r="B2075" s="83">
        <v>795</v>
      </c>
      <c r="C2075" s="84" t="s">
        <v>173</v>
      </c>
      <c r="D2075" s="84" t="s">
        <v>70</v>
      </c>
      <c r="E2075" s="84" t="s">
        <v>402</v>
      </c>
      <c r="F2075" s="84" t="s">
        <v>179</v>
      </c>
      <c r="G2075" s="87"/>
      <c r="H2075" s="85"/>
      <c r="I2075" s="85"/>
      <c r="J2075" s="178"/>
      <c r="K2075" s="207"/>
      <c r="L2075" s="207"/>
    </row>
    <row r="2076" spans="1:18" s="22" customFormat="1" ht="25.5" hidden="1">
      <c r="A2076" s="154" t="s">
        <v>587</v>
      </c>
      <c r="B2076" s="273">
        <v>795</v>
      </c>
      <c r="C2076" s="156" t="s">
        <v>173</v>
      </c>
      <c r="D2076" s="156" t="s">
        <v>173</v>
      </c>
      <c r="E2076" s="156"/>
      <c r="F2076" s="156"/>
      <c r="G2076" s="157">
        <f>G2077+G2100</f>
        <v>0</v>
      </c>
      <c r="H2076" s="157">
        <f t="shared" ref="H2076:I2076" si="520">H2077</f>
        <v>0</v>
      </c>
      <c r="I2076" s="157">
        <f t="shared" si="520"/>
        <v>0</v>
      </c>
      <c r="J2076" s="196"/>
      <c r="K2076" s="207"/>
      <c r="L2076" s="207"/>
      <c r="M2076" s="207"/>
      <c r="N2076" s="207"/>
      <c r="O2076" s="207"/>
      <c r="P2076" s="207"/>
      <c r="Q2076" s="207"/>
      <c r="R2076" s="207"/>
    </row>
    <row r="2077" spans="1:18" ht="54" hidden="1" customHeight="1">
      <c r="A2077" s="82" t="s">
        <v>494</v>
      </c>
      <c r="B2077" s="83">
        <v>795</v>
      </c>
      <c r="C2077" s="84" t="s">
        <v>173</v>
      </c>
      <c r="D2077" s="84" t="s">
        <v>173</v>
      </c>
      <c r="E2077" s="84" t="s">
        <v>295</v>
      </c>
      <c r="F2077" s="84"/>
      <c r="G2077" s="87">
        <f>G2078+G2085+G2090+G2101</f>
        <v>0</v>
      </c>
      <c r="H2077" s="87">
        <f t="shared" ref="H2077:I2077" si="521">H2081+H2090+H2095+H2078</f>
        <v>0</v>
      </c>
      <c r="I2077" s="87">
        <f t="shared" si="521"/>
        <v>0</v>
      </c>
      <c r="J2077" s="177"/>
      <c r="K2077" s="207"/>
      <c r="L2077" s="207"/>
    </row>
    <row r="2078" spans="1:18" ht="73.5" hidden="1" customHeight="1">
      <c r="A2078" s="139" t="s">
        <v>715</v>
      </c>
      <c r="B2078" s="83">
        <v>795</v>
      </c>
      <c r="C2078" s="84" t="s">
        <v>173</v>
      </c>
      <c r="D2078" s="84" t="s">
        <v>173</v>
      </c>
      <c r="E2078" s="84" t="s">
        <v>722</v>
      </c>
      <c r="F2078" s="84"/>
      <c r="G2078" s="87">
        <f>G2079</f>
        <v>0</v>
      </c>
      <c r="H2078" s="85">
        <v>0</v>
      </c>
      <c r="I2078" s="85">
        <v>0</v>
      </c>
      <c r="J2078" s="178"/>
      <c r="K2078" s="207"/>
      <c r="L2078" s="207"/>
    </row>
    <row r="2079" spans="1:18" ht="21" hidden="1" customHeight="1">
      <c r="A2079" s="82" t="s">
        <v>156</v>
      </c>
      <c r="B2079" s="83">
        <v>795</v>
      </c>
      <c r="C2079" s="84" t="s">
        <v>173</v>
      </c>
      <c r="D2079" s="84" t="s">
        <v>173</v>
      </c>
      <c r="E2079" s="84" t="s">
        <v>722</v>
      </c>
      <c r="F2079" s="84" t="s">
        <v>157</v>
      </c>
      <c r="G2079" s="87">
        <f>G2080</f>
        <v>0</v>
      </c>
      <c r="H2079" s="85">
        <v>0</v>
      </c>
      <c r="I2079" s="85">
        <v>0</v>
      </c>
      <c r="J2079" s="178"/>
      <c r="K2079" s="207"/>
      <c r="L2079" s="207"/>
    </row>
    <row r="2080" spans="1:18" ht="20.25" hidden="1" customHeight="1">
      <c r="A2080" s="82" t="s">
        <v>170</v>
      </c>
      <c r="B2080" s="83">
        <v>795</v>
      </c>
      <c r="C2080" s="84" t="s">
        <v>173</v>
      </c>
      <c r="D2080" s="84" t="s">
        <v>173</v>
      </c>
      <c r="E2080" s="84" t="s">
        <v>722</v>
      </c>
      <c r="F2080" s="84" t="s">
        <v>171</v>
      </c>
      <c r="G2080" s="87"/>
      <c r="H2080" s="85"/>
      <c r="I2080" s="85"/>
      <c r="J2080" s="178"/>
      <c r="K2080" s="207"/>
      <c r="L2080" s="207"/>
    </row>
    <row r="2081" spans="1:18" ht="25.5" hidden="1" customHeight="1">
      <c r="A2081" s="139" t="s">
        <v>627</v>
      </c>
      <c r="B2081" s="83">
        <v>795</v>
      </c>
      <c r="C2081" s="84" t="s">
        <v>173</v>
      </c>
      <c r="D2081" s="84" t="s">
        <v>173</v>
      </c>
      <c r="E2081" s="84" t="s">
        <v>624</v>
      </c>
      <c r="F2081" s="84"/>
      <c r="G2081" s="87">
        <f>G2082</f>
        <v>0</v>
      </c>
      <c r="H2081" s="85">
        <v>0</v>
      </c>
      <c r="I2081" s="85">
        <v>0</v>
      </c>
      <c r="J2081" s="178"/>
      <c r="K2081" s="207"/>
      <c r="L2081" s="207"/>
    </row>
    <row r="2082" spans="1:18" ht="39.75" hidden="1" customHeight="1">
      <c r="A2082" s="139" t="s">
        <v>626</v>
      </c>
      <c r="B2082" s="83">
        <v>795</v>
      </c>
      <c r="C2082" s="84" t="s">
        <v>173</v>
      </c>
      <c r="D2082" s="84" t="s">
        <v>173</v>
      </c>
      <c r="E2082" s="84" t="s">
        <v>625</v>
      </c>
      <c r="F2082" s="84"/>
      <c r="G2082" s="87">
        <f>G2083</f>
        <v>0</v>
      </c>
      <c r="H2082" s="85">
        <v>0</v>
      </c>
      <c r="I2082" s="85">
        <v>0</v>
      </c>
      <c r="J2082" s="178"/>
      <c r="K2082" s="207"/>
      <c r="L2082" s="207"/>
    </row>
    <row r="2083" spans="1:18" ht="30.75" hidden="1" customHeight="1">
      <c r="A2083" s="82" t="s">
        <v>96</v>
      </c>
      <c r="B2083" s="83">
        <v>795</v>
      </c>
      <c r="C2083" s="84" t="s">
        <v>173</v>
      </c>
      <c r="D2083" s="84" t="s">
        <v>173</v>
      </c>
      <c r="E2083" s="84" t="s">
        <v>625</v>
      </c>
      <c r="F2083" s="84" t="s">
        <v>348</v>
      </c>
      <c r="G2083" s="87">
        <f>G2084</f>
        <v>0</v>
      </c>
      <c r="H2083" s="85">
        <v>0</v>
      </c>
      <c r="I2083" s="85">
        <v>0</v>
      </c>
      <c r="J2083" s="178"/>
      <c r="K2083" s="207"/>
      <c r="L2083" s="207"/>
    </row>
    <row r="2084" spans="1:18" ht="30.75" hidden="1" customHeight="1">
      <c r="A2084" s="82" t="s">
        <v>349</v>
      </c>
      <c r="B2084" s="83">
        <v>795</v>
      </c>
      <c r="C2084" s="84" t="s">
        <v>173</v>
      </c>
      <c r="D2084" s="84" t="s">
        <v>173</v>
      </c>
      <c r="E2084" s="84" t="s">
        <v>625</v>
      </c>
      <c r="F2084" s="84" t="s">
        <v>350</v>
      </c>
      <c r="G2084" s="87"/>
      <c r="H2084" s="85">
        <v>0</v>
      </c>
      <c r="I2084" s="85">
        <v>0</v>
      </c>
      <c r="J2084" s="178"/>
      <c r="K2084" s="207"/>
      <c r="L2084" s="207"/>
    </row>
    <row r="2085" spans="1:18" ht="55.5" hidden="1" customHeight="1">
      <c r="A2085" s="139" t="s">
        <v>740</v>
      </c>
      <c r="B2085" s="83">
        <v>795</v>
      </c>
      <c r="C2085" s="84" t="s">
        <v>173</v>
      </c>
      <c r="D2085" s="84" t="s">
        <v>173</v>
      </c>
      <c r="E2085" s="84" t="s">
        <v>724</v>
      </c>
      <c r="F2085" s="84"/>
      <c r="G2085" s="87">
        <f>G2086+G2088</f>
        <v>0</v>
      </c>
      <c r="H2085" s="87">
        <f t="shared" ref="H2085:I2085" si="522">H2086+H2088</f>
        <v>0</v>
      </c>
      <c r="I2085" s="87">
        <f t="shared" si="522"/>
        <v>0</v>
      </c>
      <c r="J2085" s="177"/>
      <c r="K2085" s="207"/>
      <c r="L2085" s="207"/>
    </row>
    <row r="2086" spans="1:18" ht="27" hidden="1" customHeight="1">
      <c r="A2086" s="82" t="s">
        <v>96</v>
      </c>
      <c r="B2086" s="83">
        <v>795</v>
      </c>
      <c r="C2086" s="84" t="s">
        <v>173</v>
      </c>
      <c r="D2086" s="84" t="s">
        <v>173</v>
      </c>
      <c r="E2086" s="84" t="s">
        <v>610</v>
      </c>
      <c r="F2086" s="84" t="s">
        <v>348</v>
      </c>
      <c r="G2086" s="87">
        <f>G2087</f>
        <v>0</v>
      </c>
      <c r="H2086" s="85">
        <f>H2087</f>
        <v>0</v>
      </c>
      <c r="I2086" s="85">
        <v>0</v>
      </c>
      <c r="J2086" s="178"/>
      <c r="K2086" s="207"/>
      <c r="L2086" s="207"/>
    </row>
    <row r="2087" spans="1:18" ht="18.75" hidden="1" customHeight="1">
      <c r="A2087" s="82" t="s">
        <v>349</v>
      </c>
      <c r="B2087" s="83">
        <v>795</v>
      </c>
      <c r="C2087" s="84" t="s">
        <v>173</v>
      </c>
      <c r="D2087" s="84" t="s">
        <v>173</v>
      </c>
      <c r="E2087" s="84" t="s">
        <v>610</v>
      </c>
      <c r="F2087" s="84" t="s">
        <v>350</v>
      </c>
      <c r="G2087" s="87"/>
      <c r="H2087" s="85"/>
      <c r="I2087" s="85">
        <v>0</v>
      </c>
      <c r="J2087" s="178"/>
      <c r="K2087" s="207"/>
      <c r="L2087" s="207"/>
    </row>
    <row r="2088" spans="1:18" ht="39.75" hidden="1" customHeight="1">
      <c r="A2088" s="82" t="s">
        <v>36</v>
      </c>
      <c r="B2088" s="83">
        <v>795</v>
      </c>
      <c r="C2088" s="84" t="s">
        <v>173</v>
      </c>
      <c r="D2088" s="84" t="s">
        <v>173</v>
      </c>
      <c r="E2088" s="84" t="s">
        <v>725</v>
      </c>
      <c r="F2088" s="84" t="s">
        <v>348</v>
      </c>
      <c r="G2088" s="87">
        <f>G2089</f>
        <v>0</v>
      </c>
      <c r="H2088" s="85"/>
      <c r="I2088" s="85"/>
      <c r="J2088" s="178"/>
      <c r="K2088" s="207"/>
      <c r="L2088" s="207"/>
    </row>
    <row r="2089" spans="1:18" ht="39" hidden="1" customHeight="1">
      <c r="A2089" s="82" t="s">
        <v>38</v>
      </c>
      <c r="B2089" s="83">
        <v>795</v>
      </c>
      <c r="C2089" s="84" t="s">
        <v>173</v>
      </c>
      <c r="D2089" s="84" t="s">
        <v>173</v>
      </c>
      <c r="E2089" s="84" t="s">
        <v>724</v>
      </c>
      <c r="F2089" s="84" t="s">
        <v>350</v>
      </c>
      <c r="G2089" s="87">
        <f>358104.72+400000-758104.72</f>
        <v>0</v>
      </c>
      <c r="H2089" s="85"/>
      <c r="I2089" s="85"/>
      <c r="J2089" s="178"/>
      <c r="K2089" s="207"/>
      <c r="L2089" s="207"/>
    </row>
    <row r="2090" spans="1:18" ht="57" hidden="1" customHeight="1">
      <c r="A2090" s="139" t="s">
        <v>740</v>
      </c>
      <c r="B2090" s="83">
        <v>795</v>
      </c>
      <c r="C2090" s="84" t="s">
        <v>173</v>
      </c>
      <c r="D2090" s="84" t="s">
        <v>173</v>
      </c>
      <c r="E2090" s="84" t="s">
        <v>610</v>
      </c>
      <c r="F2090" s="84"/>
      <c r="G2090" s="87">
        <f>G2091+G2093</f>
        <v>0</v>
      </c>
      <c r="H2090" s="87">
        <f t="shared" ref="H2090:I2090" si="523">H2091+H2093</f>
        <v>0</v>
      </c>
      <c r="I2090" s="87">
        <f t="shared" si="523"/>
        <v>0</v>
      </c>
      <c r="J2090" s="177"/>
      <c r="K2090" s="207"/>
      <c r="L2090" s="207"/>
    </row>
    <row r="2091" spans="1:18" ht="27" hidden="1" customHeight="1">
      <c r="A2091" s="82" t="s">
        <v>96</v>
      </c>
      <c r="B2091" s="83">
        <v>795</v>
      </c>
      <c r="C2091" s="84" t="s">
        <v>173</v>
      </c>
      <c r="D2091" s="84" t="s">
        <v>173</v>
      </c>
      <c r="E2091" s="84" t="s">
        <v>610</v>
      </c>
      <c r="F2091" s="84" t="s">
        <v>348</v>
      </c>
      <c r="G2091" s="87">
        <f>G2092</f>
        <v>0</v>
      </c>
      <c r="H2091" s="85">
        <f>H2092</f>
        <v>0</v>
      </c>
      <c r="I2091" s="85">
        <v>0</v>
      </c>
      <c r="J2091" s="178"/>
      <c r="K2091" s="207"/>
      <c r="L2091" s="207"/>
    </row>
    <row r="2092" spans="1:18" ht="18.75" hidden="1" customHeight="1">
      <c r="A2092" s="82" t="s">
        <v>349</v>
      </c>
      <c r="B2092" s="83">
        <v>795</v>
      </c>
      <c r="C2092" s="84" t="s">
        <v>173</v>
      </c>
      <c r="D2092" s="84" t="s">
        <v>173</v>
      </c>
      <c r="E2092" s="84" t="s">
        <v>610</v>
      </c>
      <c r="F2092" s="84" t="s">
        <v>350</v>
      </c>
      <c r="G2092" s="87"/>
      <c r="H2092" s="85"/>
      <c r="I2092" s="85">
        <v>0</v>
      </c>
      <c r="J2092" s="178"/>
      <c r="K2092" s="207"/>
      <c r="L2092" s="207"/>
    </row>
    <row r="2093" spans="1:18" ht="30" hidden="1" customHeight="1">
      <c r="A2093" s="82" t="s">
        <v>36</v>
      </c>
      <c r="B2093" s="83">
        <v>795</v>
      </c>
      <c r="C2093" s="84" t="s">
        <v>173</v>
      </c>
      <c r="D2093" s="84" t="s">
        <v>173</v>
      </c>
      <c r="E2093" s="84" t="s">
        <v>610</v>
      </c>
      <c r="F2093" s="84" t="s">
        <v>348</v>
      </c>
      <c r="G2093" s="87">
        <f>G2094</f>
        <v>0</v>
      </c>
      <c r="H2093" s="85">
        <v>0</v>
      </c>
      <c r="I2093" s="85">
        <v>0</v>
      </c>
      <c r="J2093" s="178"/>
      <c r="K2093" s="207"/>
      <c r="L2093" s="207"/>
    </row>
    <row r="2094" spans="1:18" ht="30.75" hidden="1" customHeight="1">
      <c r="A2094" s="82" t="s">
        <v>38</v>
      </c>
      <c r="B2094" s="83">
        <v>795</v>
      </c>
      <c r="C2094" s="84" t="s">
        <v>173</v>
      </c>
      <c r="D2094" s="84" t="s">
        <v>173</v>
      </c>
      <c r="E2094" s="84" t="s">
        <v>610</v>
      </c>
      <c r="F2094" s="84" t="s">
        <v>350</v>
      </c>
      <c r="G2094" s="87"/>
      <c r="H2094" s="85"/>
      <c r="I2094" s="85"/>
      <c r="J2094" s="178"/>
      <c r="K2094" s="207"/>
      <c r="L2094" s="207"/>
    </row>
    <row r="2095" spans="1:18" s="3" customFormat="1" ht="33.75" hidden="1" customHeight="1">
      <c r="A2095" s="82" t="s">
        <v>509</v>
      </c>
      <c r="B2095" s="83">
        <v>795</v>
      </c>
      <c r="C2095" s="84" t="s">
        <v>173</v>
      </c>
      <c r="D2095" s="84" t="s">
        <v>173</v>
      </c>
      <c r="E2095" s="84" t="s">
        <v>510</v>
      </c>
      <c r="F2095" s="84"/>
      <c r="G2095" s="87">
        <f>G2096</f>
        <v>0</v>
      </c>
      <c r="H2095" s="85">
        <v>0</v>
      </c>
      <c r="I2095" s="85">
        <v>0</v>
      </c>
      <c r="J2095" s="178"/>
      <c r="K2095" s="207"/>
      <c r="L2095" s="207"/>
      <c r="M2095" s="199"/>
      <c r="N2095" s="199"/>
      <c r="O2095" s="199"/>
      <c r="P2095" s="199"/>
      <c r="Q2095" s="199"/>
      <c r="R2095" s="199"/>
    </row>
    <row r="2096" spans="1:18" s="3" customFormat="1" ht="38.25" hidden="1" customHeight="1">
      <c r="A2096" s="82" t="s">
        <v>36</v>
      </c>
      <c r="B2096" s="83">
        <v>795</v>
      </c>
      <c r="C2096" s="84" t="s">
        <v>173</v>
      </c>
      <c r="D2096" s="84" t="s">
        <v>173</v>
      </c>
      <c r="E2096" s="84" t="s">
        <v>510</v>
      </c>
      <c r="F2096" s="84" t="s">
        <v>37</v>
      </c>
      <c r="G2096" s="87">
        <f>G2097</f>
        <v>0</v>
      </c>
      <c r="H2096" s="85">
        <v>0</v>
      </c>
      <c r="I2096" s="85">
        <v>0</v>
      </c>
      <c r="J2096" s="178"/>
      <c r="K2096" s="207"/>
      <c r="L2096" s="207"/>
      <c r="M2096" s="199"/>
      <c r="N2096" s="199"/>
      <c r="O2096" s="199"/>
      <c r="P2096" s="199"/>
      <c r="Q2096" s="199"/>
      <c r="R2096" s="199"/>
    </row>
    <row r="2097" spans="1:18" s="3" customFormat="1" ht="38.25" hidden="1" customHeight="1">
      <c r="A2097" s="82" t="s">
        <v>38</v>
      </c>
      <c r="B2097" s="83">
        <v>795</v>
      </c>
      <c r="C2097" s="84" t="s">
        <v>173</v>
      </c>
      <c r="D2097" s="84" t="s">
        <v>173</v>
      </c>
      <c r="E2097" s="84" t="s">
        <v>510</v>
      </c>
      <c r="F2097" s="84" t="s">
        <v>39</v>
      </c>
      <c r="G2097" s="87"/>
      <c r="H2097" s="85">
        <v>0</v>
      </c>
      <c r="I2097" s="85">
        <v>0</v>
      </c>
      <c r="J2097" s="178"/>
      <c r="K2097" s="207"/>
      <c r="L2097" s="207"/>
      <c r="M2097" s="199"/>
      <c r="N2097" s="199"/>
      <c r="O2097" s="199"/>
      <c r="P2097" s="199"/>
      <c r="Q2097" s="199"/>
      <c r="R2097" s="199"/>
    </row>
    <row r="2098" spans="1:18" ht="57" hidden="1" customHeight="1">
      <c r="A2098" s="139" t="s">
        <v>875</v>
      </c>
      <c r="B2098" s="83">
        <v>795</v>
      </c>
      <c r="C2098" s="84" t="s">
        <v>173</v>
      </c>
      <c r="D2098" s="84" t="s">
        <v>173</v>
      </c>
      <c r="E2098" s="84" t="s">
        <v>874</v>
      </c>
      <c r="F2098" s="84"/>
      <c r="G2098" s="87">
        <f>G2099</f>
        <v>0</v>
      </c>
      <c r="H2098" s="87">
        <f t="shared" ref="H2098:I2098" si="524">H2099+H2101</f>
        <v>0</v>
      </c>
      <c r="I2098" s="87">
        <f t="shared" si="524"/>
        <v>0</v>
      </c>
      <c r="J2098" s="177"/>
      <c r="K2098" s="207"/>
      <c r="L2098" s="207"/>
    </row>
    <row r="2099" spans="1:18" ht="27" hidden="1" customHeight="1">
      <c r="A2099" s="82" t="s">
        <v>63</v>
      </c>
      <c r="B2099" s="83">
        <v>795</v>
      </c>
      <c r="C2099" s="84" t="s">
        <v>173</v>
      </c>
      <c r="D2099" s="84" t="s">
        <v>173</v>
      </c>
      <c r="E2099" s="84" t="s">
        <v>874</v>
      </c>
      <c r="F2099" s="84" t="s">
        <v>64</v>
      </c>
      <c r="G2099" s="87">
        <f>G2100</f>
        <v>0</v>
      </c>
      <c r="H2099" s="85">
        <f>H2100</f>
        <v>0</v>
      </c>
      <c r="I2099" s="85">
        <v>0</v>
      </c>
      <c r="J2099" s="178"/>
      <c r="K2099" s="207"/>
      <c r="L2099" s="207"/>
    </row>
    <row r="2100" spans="1:18" ht="18.75" hidden="1" customHeight="1">
      <c r="A2100" s="82" t="s">
        <v>180</v>
      </c>
      <c r="B2100" s="83">
        <v>795</v>
      </c>
      <c r="C2100" s="84" t="s">
        <v>173</v>
      </c>
      <c r="D2100" s="84" t="s">
        <v>173</v>
      </c>
      <c r="E2100" s="84" t="s">
        <v>874</v>
      </c>
      <c r="F2100" s="84" t="s">
        <v>181</v>
      </c>
      <c r="G2100" s="87"/>
      <c r="H2100" s="85"/>
      <c r="I2100" s="85">
        <v>0</v>
      </c>
      <c r="J2100" s="178"/>
      <c r="K2100" s="207"/>
      <c r="L2100" s="207"/>
    </row>
    <row r="2101" spans="1:18" s="3" customFormat="1" ht="72" hidden="1" customHeight="1">
      <c r="A2101" s="82" t="s">
        <v>825</v>
      </c>
      <c r="B2101" s="83">
        <v>795</v>
      </c>
      <c r="C2101" s="84" t="s">
        <v>173</v>
      </c>
      <c r="D2101" s="84" t="s">
        <v>173</v>
      </c>
      <c r="E2101" s="84" t="s">
        <v>721</v>
      </c>
      <c r="F2101" s="84"/>
      <c r="G2101" s="87"/>
      <c r="H2101" s="85">
        <f>H2102</f>
        <v>0</v>
      </c>
      <c r="I2101" s="85">
        <f>I2102</f>
        <v>0</v>
      </c>
      <c r="J2101" s="178"/>
      <c r="K2101" s="207"/>
      <c r="L2101" s="207"/>
      <c r="M2101" s="199"/>
      <c r="N2101" s="199"/>
      <c r="O2101" s="199"/>
      <c r="P2101" s="199"/>
      <c r="Q2101" s="199"/>
      <c r="R2101" s="199"/>
    </row>
    <row r="2102" spans="1:18" s="3" customFormat="1" ht="38.25" hidden="1" customHeight="1">
      <c r="A2102" s="82" t="s">
        <v>156</v>
      </c>
      <c r="B2102" s="83">
        <v>795</v>
      </c>
      <c r="C2102" s="84" t="s">
        <v>173</v>
      </c>
      <c r="D2102" s="84" t="s">
        <v>173</v>
      </c>
      <c r="E2102" s="84" t="s">
        <v>721</v>
      </c>
      <c r="F2102" s="84" t="s">
        <v>157</v>
      </c>
      <c r="G2102" s="87">
        <f>G2103</f>
        <v>0</v>
      </c>
      <c r="H2102" s="85">
        <f>H2103</f>
        <v>0</v>
      </c>
      <c r="I2102" s="85">
        <f>I2103</f>
        <v>0</v>
      </c>
      <c r="J2102" s="178"/>
      <c r="K2102" s="207"/>
      <c r="L2102" s="207"/>
      <c r="M2102" s="199"/>
      <c r="N2102" s="199"/>
      <c r="O2102" s="199"/>
      <c r="P2102" s="199"/>
      <c r="Q2102" s="199"/>
      <c r="R2102" s="199"/>
    </row>
    <row r="2103" spans="1:18" s="3" customFormat="1" ht="38.25" hidden="1" customHeight="1">
      <c r="A2103" s="82" t="s">
        <v>178</v>
      </c>
      <c r="B2103" s="83">
        <v>795</v>
      </c>
      <c r="C2103" s="84" t="s">
        <v>173</v>
      </c>
      <c r="D2103" s="84" t="s">
        <v>173</v>
      </c>
      <c r="E2103" s="84" t="s">
        <v>721</v>
      </c>
      <c r="F2103" s="84" t="s">
        <v>179</v>
      </c>
      <c r="G2103" s="87"/>
      <c r="H2103" s="85"/>
      <c r="I2103" s="85"/>
      <c r="J2103" s="178"/>
      <c r="K2103" s="207"/>
      <c r="L2103" s="207"/>
      <c r="M2103" s="199"/>
      <c r="N2103" s="199"/>
      <c r="O2103" s="199"/>
      <c r="P2103" s="199"/>
      <c r="Q2103" s="199"/>
      <c r="R2103" s="199"/>
    </row>
    <row r="2104" spans="1:18" s="22" customFormat="1" ht="22.5" hidden="1" customHeight="1">
      <c r="A2104" s="154" t="s">
        <v>2</v>
      </c>
      <c r="B2104" s="273">
        <v>795</v>
      </c>
      <c r="C2104" s="156" t="s">
        <v>161</v>
      </c>
      <c r="D2104" s="156"/>
      <c r="E2104" s="156"/>
      <c r="F2104" s="156"/>
      <c r="G2104" s="157">
        <f t="shared" ref="G2104:I2105" si="525">G2105</f>
        <v>0</v>
      </c>
      <c r="H2104" s="157">
        <f t="shared" si="525"/>
        <v>0</v>
      </c>
      <c r="I2104" s="157">
        <f t="shared" si="525"/>
        <v>0</v>
      </c>
      <c r="J2104" s="196"/>
      <c r="K2104" s="207"/>
      <c r="L2104" s="207"/>
      <c r="M2104" s="207"/>
      <c r="N2104" s="207"/>
      <c r="O2104" s="207"/>
      <c r="P2104" s="207"/>
      <c r="Q2104" s="207"/>
      <c r="R2104" s="207"/>
    </row>
    <row r="2105" spans="1:18" s="3" customFormat="1" ht="24.75" hidden="1" customHeight="1">
      <c r="A2105" s="82" t="s">
        <v>352</v>
      </c>
      <c r="B2105" s="83">
        <v>795</v>
      </c>
      <c r="C2105" s="84" t="s">
        <v>161</v>
      </c>
      <c r="D2105" s="84" t="s">
        <v>173</v>
      </c>
      <c r="E2105" s="84"/>
      <c r="F2105" s="84"/>
      <c r="G2105" s="87">
        <f t="shared" si="525"/>
        <v>0</v>
      </c>
      <c r="H2105" s="87">
        <f t="shared" si="525"/>
        <v>0</v>
      </c>
      <c r="I2105" s="87">
        <f t="shared" si="525"/>
        <v>0</v>
      </c>
      <c r="J2105" s="177"/>
      <c r="K2105" s="207"/>
      <c r="L2105" s="207"/>
      <c r="M2105" s="199"/>
      <c r="N2105" s="199"/>
      <c r="O2105" s="199"/>
      <c r="P2105" s="199"/>
      <c r="Q2105" s="199"/>
      <c r="R2105" s="199"/>
    </row>
    <row r="2106" spans="1:18" s="3" customFormat="1" ht="38.25" hidden="1" customHeight="1">
      <c r="A2106" s="82" t="s">
        <v>479</v>
      </c>
      <c r="B2106" s="83">
        <v>795</v>
      </c>
      <c r="C2106" s="84" t="s">
        <v>161</v>
      </c>
      <c r="D2106" s="84" t="s">
        <v>173</v>
      </c>
      <c r="E2106" s="84" t="s">
        <v>261</v>
      </c>
      <c r="F2106" s="84"/>
      <c r="G2106" s="87">
        <f>G2113+G2116+G2119+G2122+G2133+G2107+G2145+G2136+G2139+G2125+G2130+G2144+G2148+G2110+G2151</f>
        <v>0</v>
      </c>
      <c r="H2106" s="87">
        <f t="shared" ref="H2106:I2106" si="526">H2113+H2116+H2119+H2122+H2133+H2107+H2145+H2136+H2139+H2125+H2130+H2144+H2148+H2110+H2151</f>
        <v>0</v>
      </c>
      <c r="I2106" s="87">
        <f t="shared" si="526"/>
        <v>0</v>
      </c>
      <c r="J2106" s="177"/>
      <c r="K2106" s="207"/>
      <c r="L2106" s="207"/>
      <c r="M2106" s="199"/>
      <c r="N2106" s="199"/>
      <c r="O2106" s="199"/>
      <c r="P2106" s="199"/>
      <c r="Q2106" s="199"/>
      <c r="R2106" s="199"/>
    </row>
    <row r="2107" spans="1:18" s="3" customFormat="1" ht="38.25" hidden="1" customHeight="1">
      <c r="A2107" s="82" t="s">
        <v>532</v>
      </c>
      <c r="B2107" s="83">
        <v>795</v>
      </c>
      <c r="C2107" s="84" t="s">
        <v>161</v>
      </c>
      <c r="D2107" s="84" t="s">
        <v>173</v>
      </c>
      <c r="E2107" s="84" t="s">
        <v>533</v>
      </c>
      <c r="F2107" s="84"/>
      <c r="G2107" s="87">
        <f>G2108</f>
        <v>0</v>
      </c>
      <c r="H2107" s="85">
        <v>0</v>
      </c>
      <c r="I2107" s="85">
        <v>0</v>
      </c>
      <c r="J2107" s="178"/>
      <c r="K2107" s="207"/>
      <c r="L2107" s="207"/>
      <c r="M2107" s="199"/>
      <c r="N2107" s="199"/>
      <c r="O2107" s="199"/>
      <c r="P2107" s="199"/>
      <c r="Q2107" s="199"/>
      <c r="R2107" s="199"/>
    </row>
    <row r="2108" spans="1:18" s="3" customFormat="1" ht="38.25" hidden="1" customHeight="1">
      <c r="A2108" s="82" t="s">
        <v>36</v>
      </c>
      <c r="B2108" s="83">
        <v>795</v>
      </c>
      <c r="C2108" s="84" t="s">
        <v>161</v>
      </c>
      <c r="D2108" s="84" t="s">
        <v>173</v>
      </c>
      <c r="E2108" s="84" t="s">
        <v>533</v>
      </c>
      <c r="F2108" s="84" t="s">
        <v>37</v>
      </c>
      <c r="G2108" s="87">
        <f>G2109</f>
        <v>0</v>
      </c>
      <c r="H2108" s="85">
        <v>0</v>
      </c>
      <c r="I2108" s="85">
        <v>0</v>
      </c>
      <c r="J2108" s="178"/>
      <c r="K2108" s="207"/>
      <c r="L2108" s="207"/>
      <c r="M2108" s="199"/>
      <c r="N2108" s="199"/>
      <c r="O2108" s="199"/>
      <c r="P2108" s="199"/>
      <c r="Q2108" s="199"/>
      <c r="R2108" s="199"/>
    </row>
    <row r="2109" spans="1:18" s="3" customFormat="1" ht="38.25" hidden="1" customHeight="1">
      <c r="A2109" s="82" t="s">
        <v>38</v>
      </c>
      <c r="B2109" s="83">
        <v>795</v>
      </c>
      <c r="C2109" s="84" t="s">
        <v>161</v>
      </c>
      <c r="D2109" s="84" t="s">
        <v>173</v>
      </c>
      <c r="E2109" s="84" t="s">
        <v>533</v>
      </c>
      <c r="F2109" s="84" t="s">
        <v>39</v>
      </c>
      <c r="G2109" s="87"/>
      <c r="H2109" s="85">
        <v>0</v>
      </c>
      <c r="I2109" s="85">
        <v>0</v>
      </c>
      <c r="J2109" s="178"/>
      <c r="K2109" s="207"/>
      <c r="L2109" s="207"/>
      <c r="M2109" s="199"/>
      <c r="N2109" s="199"/>
      <c r="O2109" s="199"/>
      <c r="P2109" s="199"/>
      <c r="Q2109" s="199"/>
      <c r="R2109" s="199"/>
    </row>
    <row r="2110" spans="1:18" s="3" customFormat="1" ht="38.25" hidden="1" customHeight="1">
      <c r="A2110" s="82" t="s">
        <v>760</v>
      </c>
      <c r="B2110" s="83">
        <v>795</v>
      </c>
      <c r="C2110" s="84" t="s">
        <v>161</v>
      </c>
      <c r="D2110" s="84" t="s">
        <v>173</v>
      </c>
      <c r="E2110" s="84" t="s">
        <v>759</v>
      </c>
      <c r="F2110" s="84"/>
      <c r="G2110" s="87">
        <f t="shared" ref="G2110:I2111" si="527">G2111</f>
        <v>0</v>
      </c>
      <c r="H2110" s="87">
        <f t="shared" si="527"/>
        <v>0</v>
      </c>
      <c r="I2110" s="87">
        <f t="shared" si="527"/>
        <v>0</v>
      </c>
      <c r="J2110" s="177"/>
      <c r="K2110" s="207"/>
      <c r="L2110" s="207"/>
      <c r="M2110" s="199"/>
      <c r="N2110" s="199"/>
      <c r="O2110" s="199"/>
      <c r="P2110" s="199"/>
      <c r="Q2110" s="199"/>
      <c r="R2110" s="199"/>
    </row>
    <row r="2111" spans="1:18" s="3" customFormat="1" ht="38.25" hidden="1" customHeight="1">
      <c r="A2111" s="82" t="s">
        <v>36</v>
      </c>
      <c r="B2111" s="83">
        <v>795</v>
      </c>
      <c r="C2111" s="84" t="s">
        <v>161</v>
      </c>
      <c r="D2111" s="84" t="s">
        <v>173</v>
      </c>
      <c r="E2111" s="84" t="s">
        <v>759</v>
      </c>
      <c r="F2111" s="84" t="s">
        <v>37</v>
      </c>
      <c r="G2111" s="87">
        <f t="shared" si="527"/>
        <v>0</v>
      </c>
      <c r="H2111" s="87">
        <f t="shared" si="527"/>
        <v>0</v>
      </c>
      <c r="I2111" s="87">
        <f t="shared" si="527"/>
        <v>0</v>
      </c>
      <c r="J2111" s="177"/>
      <c r="K2111" s="207"/>
      <c r="L2111" s="207"/>
      <c r="M2111" s="199"/>
      <c r="N2111" s="199"/>
      <c r="O2111" s="199"/>
      <c r="P2111" s="199"/>
      <c r="Q2111" s="199"/>
      <c r="R2111" s="199"/>
    </row>
    <row r="2112" spans="1:18" s="3" customFormat="1" ht="38.25" hidden="1" customHeight="1">
      <c r="A2112" s="82" t="s">
        <v>38</v>
      </c>
      <c r="B2112" s="83">
        <v>795</v>
      </c>
      <c r="C2112" s="84" t="s">
        <v>161</v>
      </c>
      <c r="D2112" s="84" t="s">
        <v>173</v>
      </c>
      <c r="E2112" s="84" t="s">
        <v>759</v>
      </c>
      <c r="F2112" s="84" t="s">
        <v>39</v>
      </c>
      <c r="G2112" s="87"/>
      <c r="H2112" s="87"/>
      <c r="I2112" s="87"/>
      <c r="J2112" s="177"/>
      <c r="K2112" s="207"/>
      <c r="L2112" s="207"/>
      <c r="M2112" s="199"/>
      <c r="N2112" s="199"/>
      <c r="O2112" s="199"/>
      <c r="P2112" s="199"/>
      <c r="Q2112" s="199"/>
      <c r="R2112" s="199"/>
    </row>
    <row r="2113" spans="1:18" s="3" customFormat="1" ht="38.25" hidden="1" customHeight="1">
      <c r="A2113" s="82" t="s">
        <v>488</v>
      </c>
      <c r="B2113" s="83">
        <v>795</v>
      </c>
      <c r="C2113" s="84" t="s">
        <v>161</v>
      </c>
      <c r="D2113" s="84" t="s">
        <v>173</v>
      </c>
      <c r="E2113" s="84" t="s">
        <v>376</v>
      </c>
      <c r="F2113" s="84"/>
      <c r="G2113" s="87">
        <f t="shared" ref="G2113:I2114" si="528">G2114</f>
        <v>0</v>
      </c>
      <c r="H2113" s="87">
        <f t="shared" si="528"/>
        <v>0</v>
      </c>
      <c r="I2113" s="87">
        <f t="shared" si="528"/>
        <v>0</v>
      </c>
      <c r="J2113" s="177"/>
      <c r="K2113" s="207"/>
      <c r="L2113" s="207"/>
      <c r="M2113" s="199"/>
      <c r="N2113" s="199"/>
      <c r="O2113" s="199"/>
      <c r="P2113" s="199"/>
      <c r="Q2113" s="199"/>
      <c r="R2113" s="199"/>
    </row>
    <row r="2114" spans="1:18" s="3" customFormat="1" ht="38.25" hidden="1" customHeight="1">
      <c r="A2114" s="82" t="s">
        <v>36</v>
      </c>
      <c r="B2114" s="83">
        <v>795</v>
      </c>
      <c r="C2114" s="84" t="s">
        <v>161</v>
      </c>
      <c r="D2114" s="84" t="s">
        <v>173</v>
      </c>
      <c r="E2114" s="84" t="s">
        <v>376</v>
      </c>
      <c r="F2114" s="84" t="s">
        <v>37</v>
      </c>
      <c r="G2114" s="87">
        <f t="shared" si="528"/>
        <v>0</v>
      </c>
      <c r="H2114" s="87">
        <f t="shared" si="528"/>
        <v>0</v>
      </c>
      <c r="I2114" s="87">
        <f t="shared" si="528"/>
        <v>0</v>
      </c>
      <c r="J2114" s="177"/>
      <c r="K2114" s="207"/>
      <c r="L2114" s="207"/>
      <c r="M2114" s="199"/>
      <c r="N2114" s="199"/>
      <c r="O2114" s="199"/>
      <c r="P2114" s="199"/>
      <c r="Q2114" s="199"/>
      <c r="R2114" s="199"/>
    </row>
    <row r="2115" spans="1:18" s="3" customFormat="1" ht="38.25" hidden="1" customHeight="1">
      <c r="A2115" s="82" t="s">
        <v>38</v>
      </c>
      <c r="B2115" s="83">
        <v>795</v>
      </c>
      <c r="C2115" s="84" t="s">
        <v>161</v>
      </c>
      <c r="D2115" s="84" t="s">
        <v>173</v>
      </c>
      <c r="E2115" s="84" t="s">
        <v>376</v>
      </c>
      <c r="F2115" s="84" t="s">
        <v>39</v>
      </c>
      <c r="G2115" s="87"/>
      <c r="H2115" s="87"/>
      <c r="I2115" s="87"/>
      <c r="J2115" s="177"/>
      <c r="K2115" s="207"/>
      <c r="L2115" s="207"/>
      <c r="M2115" s="199"/>
      <c r="N2115" s="199"/>
      <c r="O2115" s="199"/>
      <c r="P2115" s="199"/>
      <c r="Q2115" s="199"/>
      <c r="R2115" s="199"/>
    </row>
    <row r="2116" spans="1:18" s="3" customFormat="1" ht="38.25" hidden="1" customHeight="1">
      <c r="A2116" s="82" t="s">
        <v>379</v>
      </c>
      <c r="B2116" s="83">
        <v>795</v>
      </c>
      <c r="C2116" s="84" t="s">
        <v>161</v>
      </c>
      <c r="D2116" s="84" t="s">
        <v>173</v>
      </c>
      <c r="E2116" s="84" t="s">
        <v>377</v>
      </c>
      <c r="F2116" s="84"/>
      <c r="G2116" s="87">
        <f t="shared" ref="G2116:I2117" si="529">G2117</f>
        <v>0</v>
      </c>
      <c r="H2116" s="87">
        <f t="shared" si="529"/>
        <v>0</v>
      </c>
      <c r="I2116" s="87">
        <f t="shared" si="529"/>
        <v>0</v>
      </c>
      <c r="J2116" s="177"/>
      <c r="K2116" s="207"/>
      <c r="L2116" s="207"/>
      <c r="M2116" s="199"/>
      <c r="N2116" s="199"/>
      <c r="O2116" s="199"/>
      <c r="P2116" s="199"/>
      <c r="Q2116" s="199"/>
      <c r="R2116" s="199"/>
    </row>
    <row r="2117" spans="1:18" s="3" customFormat="1" ht="38.25" hidden="1" customHeight="1">
      <c r="A2117" s="82" t="s">
        <v>36</v>
      </c>
      <c r="B2117" s="83">
        <v>795</v>
      </c>
      <c r="C2117" s="84" t="s">
        <v>161</v>
      </c>
      <c r="D2117" s="84" t="s">
        <v>173</v>
      </c>
      <c r="E2117" s="84" t="s">
        <v>377</v>
      </c>
      <c r="F2117" s="84" t="s">
        <v>37</v>
      </c>
      <c r="G2117" s="87">
        <f t="shared" si="529"/>
        <v>0</v>
      </c>
      <c r="H2117" s="87">
        <f t="shared" si="529"/>
        <v>0</v>
      </c>
      <c r="I2117" s="87">
        <f t="shared" si="529"/>
        <v>0</v>
      </c>
      <c r="J2117" s="177"/>
      <c r="K2117" s="207"/>
      <c r="L2117" s="207"/>
      <c r="M2117" s="199"/>
      <c r="N2117" s="199"/>
      <c r="O2117" s="199"/>
      <c r="P2117" s="199"/>
      <c r="Q2117" s="199"/>
      <c r="R2117" s="199"/>
    </row>
    <row r="2118" spans="1:18" s="3" customFormat="1" ht="39.75" hidden="1" customHeight="1">
      <c r="A2118" s="82" t="s">
        <v>38</v>
      </c>
      <c r="B2118" s="83">
        <v>795</v>
      </c>
      <c r="C2118" s="84" t="s">
        <v>161</v>
      </c>
      <c r="D2118" s="84" t="s">
        <v>173</v>
      </c>
      <c r="E2118" s="84" t="s">
        <v>377</v>
      </c>
      <c r="F2118" s="84" t="s">
        <v>39</v>
      </c>
      <c r="G2118" s="87"/>
      <c r="H2118" s="87"/>
      <c r="I2118" s="87"/>
      <c r="J2118" s="177"/>
      <c r="K2118" s="207"/>
      <c r="L2118" s="207"/>
      <c r="M2118" s="199"/>
      <c r="N2118" s="199"/>
      <c r="O2118" s="199"/>
      <c r="P2118" s="199"/>
      <c r="Q2118" s="199"/>
      <c r="R2118" s="199"/>
    </row>
    <row r="2119" spans="1:18" s="3" customFormat="1" ht="35.25" hidden="1" customHeight="1">
      <c r="A2119" s="82" t="s">
        <v>128</v>
      </c>
      <c r="B2119" s="83">
        <v>795</v>
      </c>
      <c r="C2119" s="84" t="s">
        <v>161</v>
      </c>
      <c r="D2119" s="84" t="s">
        <v>173</v>
      </c>
      <c r="E2119" s="84" t="s">
        <v>285</v>
      </c>
      <c r="F2119" s="84"/>
      <c r="G2119" s="87">
        <f>G2121</f>
        <v>0</v>
      </c>
      <c r="H2119" s="87">
        <f>H2121</f>
        <v>0</v>
      </c>
      <c r="I2119" s="87">
        <f>I2121</f>
        <v>0</v>
      </c>
      <c r="J2119" s="177"/>
      <c r="K2119" s="207"/>
      <c r="L2119" s="207"/>
      <c r="M2119" s="199"/>
      <c r="N2119" s="199"/>
      <c r="O2119" s="199"/>
      <c r="P2119" s="199"/>
      <c r="Q2119" s="199"/>
      <c r="R2119" s="199"/>
    </row>
    <row r="2120" spans="1:18" s="3" customFormat="1" ht="38.25" hidden="1" customHeight="1">
      <c r="A2120" s="82" t="s">
        <v>36</v>
      </c>
      <c r="B2120" s="83">
        <v>795</v>
      </c>
      <c r="C2120" s="84" t="s">
        <v>161</v>
      </c>
      <c r="D2120" s="84" t="s">
        <v>173</v>
      </c>
      <c r="E2120" s="84" t="s">
        <v>285</v>
      </c>
      <c r="F2120" s="84" t="s">
        <v>37</v>
      </c>
      <c r="G2120" s="87">
        <f>G2121</f>
        <v>0</v>
      </c>
      <c r="H2120" s="87">
        <f>H2121</f>
        <v>0</v>
      </c>
      <c r="I2120" s="87">
        <f>I2121</f>
        <v>0</v>
      </c>
      <c r="J2120" s="177"/>
      <c r="K2120" s="207"/>
      <c r="L2120" s="207"/>
      <c r="M2120" s="199"/>
      <c r="N2120" s="199"/>
      <c r="O2120" s="199"/>
      <c r="P2120" s="199"/>
      <c r="Q2120" s="199"/>
      <c r="R2120" s="199"/>
    </row>
    <row r="2121" spans="1:18" s="3" customFormat="1" ht="38.25" hidden="1" customHeight="1">
      <c r="A2121" s="82" t="s">
        <v>38</v>
      </c>
      <c r="B2121" s="83">
        <v>795</v>
      </c>
      <c r="C2121" s="84" t="s">
        <v>161</v>
      </c>
      <c r="D2121" s="84" t="s">
        <v>173</v>
      </c>
      <c r="E2121" s="84" t="s">
        <v>285</v>
      </c>
      <c r="F2121" s="84" t="s">
        <v>39</v>
      </c>
      <c r="G2121" s="87"/>
      <c r="H2121" s="87"/>
      <c r="I2121" s="87"/>
      <c r="J2121" s="177"/>
      <c r="K2121" s="207"/>
      <c r="L2121" s="207"/>
      <c r="M2121" s="199"/>
      <c r="N2121" s="199"/>
      <c r="O2121" s="199"/>
      <c r="P2121" s="199"/>
      <c r="Q2121" s="199"/>
      <c r="R2121" s="199"/>
    </row>
    <row r="2122" spans="1:18" s="3" customFormat="1" ht="31.5" hidden="1" customHeight="1">
      <c r="A2122" s="82" t="s">
        <v>532</v>
      </c>
      <c r="B2122" s="83">
        <v>795</v>
      </c>
      <c r="C2122" s="84" t="s">
        <v>161</v>
      </c>
      <c r="D2122" s="84" t="s">
        <v>173</v>
      </c>
      <c r="E2122" s="84" t="s">
        <v>533</v>
      </c>
      <c r="F2122" s="84"/>
      <c r="G2122" s="87">
        <f>G2123</f>
        <v>0</v>
      </c>
      <c r="H2122" s="87">
        <f t="shared" ref="H2122:I2122" si="530">H2123</f>
        <v>0</v>
      </c>
      <c r="I2122" s="87">
        <f t="shared" si="530"/>
        <v>0</v>
      </c>
      <c r="J2122" s="177"/>
      <c r="K2122" s="207"/>
      <c r="L2122" s="207"/>
      <c r="M2122" s="199"/>
      <c r="N2122" s="199"/>
      <c r="O2122" s="199"/>
      <c r="P2122" s="199"/>
      <c r="Q2122" s="199"/>
      <c r="R2122" s="199"/>
    </row>
    <row r="2123" spans="1:18" s="3" customFormat="1" ht="38.25" hidden="1" customHeight="1">
      <c r="A2123" s="82" t="s">
        <v>36</v>
      </c>
      <c r="B2123" s="83">
        <v>795</v>
      </c>
      <c r="C2123" s="84" t="s">
        <v>161</v>
      </c>
      <c r="D2123" s="84" t="s">
        <v>173</v>
      </c>
      <c r="E2123" s="84" t="s">
        <v>533</v>
      </c>
      <c r="F2123" s="84" t="s">
        <v>37</v>
      </c>
      <c r="G2123" s="87">
        <f>G2124</f>
        <v>0</v>
      </c>
      <c r="H2123" s="87">
        <f t="shared" ref="H2123:I2123" si="531">H2124</f>
        <v>0</v>
      </c>
      <c r="I2123" s="87">
        <f t="shared" si="531"/>
        <v>0</v>
      </c>
      <c r="J2123" s="177"/>
      <c r="K2123" s="207"/>
      <c r="L2123" s="207"/>
      <c r="M2123" s="199"/>
      <c r="N2123" s="199"/>
      <c r="O2123" s="199"/>
      <c r="P2123" s="199"/>
      <c r="Q2123" s="199"/>
      <c r="R2123" s="199"/>
    </row>
    <row r="2124" spans="1:18" s="3" customFormat="1" ht="38.25" hidden="1" customHeight="1">
      <c r="A2124" s="82" t="s">
        <v>38</v>
      </c>
      <c r="B2124" s="83">
        <v>795</v>
      </c>
      <c r="C2124" s="84" t="s">
        <v>161</v>
      </c>
      <c r="D2124" s="84" t="s">
        <v>173</v>
      </c>
      <c r="E2124" s="84" t="s">
        <v>533</v>
      </c>
      <c r="F2124" s="84" t="s">
        <v>39</v>
      </c>
      <c r="G2124" s="87"/>
      <c r="H2124" s="87"/>
      <c r="I2124" s="87"/>
      <c r="J2124" s="177"/>
      <c r="K2124" s="207"/>
      <c r="L2124" s="207"/>
      <c r="M2124" s="199"/>
      <c r="N2124" s="199"/>
      <c r="O2124" s="199"/>
      <c r="P2124" s="199"/>
      <c r="Q2124" s="199"/>
      <c r="R2124" s="199"/>
    </row>
    <row r="2125" spans="1:18" s="3" customFormat="1" ht="38.25" hidden="1" customHeight="1">
      <c r="A2125" s="82" t="s">
        <v>532</v>
      </c>
      <c r="B2125" s="83">
        <v>795</v>
      </c>
      <c r="C2125" s="84" t="s">
        <v>161</v>
      </c>
      <c r="D2125" s="84" t="s">
        <v>173</v>
      </c>
      <c r="E2125" s="84" t="s">
        <v>561</v>
      </c>
      <c r="F2125" s="84"/>
      <c r="G2125" s="87">
        <f>G2126+G2128</f>
        <v>0</v>
      </c>
      <c r="H2125" s="87">
        <f t="shared" ref="H2125:I2131" si="532">H2126</f>
        <v>0</v>
      </c>
      <c r="I2125" s="87">
        <f t="shared" si="532"/>
        <v>0</v>
      </c>
      <c r="J2125" s="177"/>
      <c r="K2125" s="207"/>
      <c r="L2125" s="207"/>
      <c r="M2125" s="199"/>
      <c r="N2125" s="199"/>
      <c r="O2125" s="199"/>
      <c r="P2125" s="199"/>
      <c r="Q2125" s="199"/>
      <c r="R2125" s="199"/>
    </row>
    <row r="2126" spans="1:18" s="3" customFormat="1" ht="38.25" hidden="1" customHeight="1">
      <c r="A2126" s="82" t="s">
        <v>36</v>
      </c>
      <c r="B2126" s="83">
        <v>795</v>
      </c>
      <c r="C2126" s="84" t="s">
        <v>161</v>
      </c>
      <c r="D2126" s="84" t="s">
        <v>173</v>
      </c>
      <c r="E2126" s="84" t="s">
        <v>561</v>
      </c>
      <c r="F2126" s="84" t="s">
        <v>37</v>
      </c>
      <c r="G2126" s="87">
        <f>G2127</f>
        <v>0</v>
      </c>
      <c r="H2126" s="87">
        <f t="shared" si="532"/>
        <v>0</v>
      </c>
      <c r="I2126" s="87">
        <f t="shared" si="532"/>
        <v>0</v>
      </c>
      <c r="J2126" s="177"/>
      <c r="K2126" s="207"/>
      <c r="L2126" s="207"/>
      <c r="M2126" s="199"/>
      <c r="N2126" s="199"/>
      <c r="O2126" s="199"/>
      <c r="P2126" s="199"/>
      <c r="Q2126" s="199"/>
      <c r="R2126" s="199"/>
    </row>
    <row r="2127" spans="1:18" s="3" customFormat="1" ht="38.25" hidden="1" customHeight="1">
      <c r="A2127" s="82" t="s">
        <v>38</v>
      </c>
      <c r="B2127" s="83">
        <v>795</v>
      </c>
      <c r="C2127" s="84" t="s">
        <v>161</v>
      </c>
      <c r="D2127" s="84" t="s">
        <v>173</v>
      </c>
      <c r="E2127" s="84" t="s">
        <v>561</v>
      </c>
      <c r="F2127" s="84" t="s">
        <v>39</v>
      </c>
      <c r="G2127" s="87"/>
      <c r="H2127" s="87">
        <v>0</v>
      </c>
      <c r="I2127" s="87">
        <v>0</v>
      </c>
      <c r="J2127" s="177"/>
      <c r="K2127" s="207"/>
      <c r="L2127" s="207"/>
      <c r="M2127" s="199"/>
      <c r="N2127" s="199"/>
      <c r="O2127" s="199"/>
      <c r="P2127" s="199"/>
      <c r="Q2127" s="199"/>
      <c r="R2127" s="199"/>
    </row>
    <row r="2128" spans="1:18" s="3" customFormat="1" ht="24.75" hidden="1" customHeight="1">
      <c r="A2128" s="82" t="s">
        <v>156</v>
      </c>
      <c r="B2128" s="83">
        <v>795</v>
      </c>
      <c r="C2128" s="84" t="s">
        <v>161</v>
      </c>
      <c r="D2128" s="84" t="s">
        <v>173</v>
      </c>
      <c r="E2128" s="84" t="s">
        <v>561</v>
      </c>
      <c r="F2128" s="84" t="s">
        <v>157</v>
      </c>
      <c r="G2128" s="87">
        <f>G2129</f>
        <v>0</v>
      </c>
      <c r="H2128" s="87">
        <v>0</v>
      </c>
      <c r="I2128" s="87">
        <v>0</v>
      </c>
      <c r="J2128" s="177"/>
      <c r="K2128" s="207"/>
      <c r="L2128" s="207"/>
      <c r="M2128" s="199"/>
      <c r="N2128" s="199"/>
      <c r="O2128" s="199"/>
      <c r="P2128" s="199"/>
      <c r="Q2128" s="199"/>
      <c r="R2128" s="199"/>
    </row>
    <row r="2129" spans="1:18" s="3" customFormat="1" ht="32.25" hidden="1" customHeight="1">
      <c r="A2129" s="82" t="s">
        <v>170</v>
      </c>
      <c r="B2129" s="83">
        <v>795</v>
      </c>
      <c r="C2129" s="84" t="s">
        <v>161</v>
      </c>
      <c r="D2129" s="84" t="s">
        <v>173</v>
      </c>
      <c r="E2129" s="84" t="s">
        <v>561</v>
      </c>
      <c r="F2129" s="84" t="s">
        <v>171</v>
      </c>
      <c r="G2129" s="87"/>
      <c r="H2129" s="87">
        <v>0</v>
      </c>
      <c r="I2129" s="87">
        <v>0</v>
      </c>
      <c r="J2129" s="177"/>
      <c r="K2129" s="207"/>
      <c r="L2129" s="207"/>
      <c r="M2129" s="199"/>
      <c r="N2129" s="199"/>
      <c r="O2129" s="199"/>
      <c r="P2129" s="199"/>
      <c r="Q2129" s="199"/>
      <c r="R2129" s="199"/>
    </row>
    <row r="2130" spans="1:18" s="3" customFormat="1" ht="38.25" hidden="1" customHeight="1">
      <c r="A2130" s="82" t="s">
        <v>563</v>
      </c>
      <c r="B2130" s="83">
        <v>795</v>
      </c>
      <c r="C2130" s="84" t="s">
        <v>161</v>
      </c>
      <c r="D2130" s="84" t="s">
        <v>173</v>
      </c>
      <c r="E2130" s="84" t="s">
        <v>562</v>
      </c>
      <c r="F2130" s="84"/>
      <c r="G2130" s="87">
        <f>G2131</f>
        <v>0</v>
      </c>
      <c r="H2130" s="87">
        <f t="shared" si="532"/>
        <v>0</v>
      </c>
      <c r="I2130" s="87">
        <f t="shared" si="532"/>
        <v>0</v>
      </c>
      <c r="J2130" s="177"/>
      <c r="K2130" s="207"/>
      <c r="L2130" s="207"/>
      <c r="M2130" s="199"/>
      <c r="N2130" s="199"/>
      <c r="O2130" s="199"/>
      <c r="P2130" s="199"/>
      <c r="Q2130" s="199"/>
      <c r="R2130" s="199"/>
    </row>
    <row r="2131" spans="1:18" s="3" customFormat="1" ht="38.25" hidden="1" customHeight="1">
      <c r="A2131" s="82" t="s">
        <v>36</v>
      </c>
      <c r="B2131" s="83">
        <v>795</v>
      </c>
      <c r="C2131" s="84" t="s">
        <v>161</v>
      </c>
      <c r="D2131" s="84" t="s">
        <v>173</v>
      </c>
      <c r="E2131" s="84" t="s">
        <v>562</v>
      </c>
      <c r="F2131" s="84" t="s">
        <v>37</v>
      </c>
      <c r="G2131" s="87">
        <f>G2132</f>
        <v>0</v>
      </c>
      <c r="H2131" s="87">
        <f t="shared" si="532"/>
        <v>0</v>
      </c>
      <c r="I2131" s="87">
        <f t="shared" si="532"/>
        <v>0</v>
      </c>
      <c r="J2131" s="177"/>
      <c r="K2131" s="207"/>
      <c r="L2131" s="207"/>
      <c r="M2131" s="199"/>
      <c r="N2131" s="199"/>
      <c r="O2131" s="199"/>
      <c r="P2131" s="199"/>
      <c r="Q2131" s="199"/>
      <c r="R2131" s="199"/>
    </row>
    <row r="2132" spans="1:18" s="3" customFormat="1" ht="38.25" hidden="1" customHeight="1">
      <c r="A2132" s="82" t="s">
        <v>38</v>
      </c>
      <c r="B2132" s="83">
        <v>795</v>
      </c>
      <c r="C2132" s="84" t="s">
        <v>161</v>
      </c>
      <c r="D2132" s="84" t="s">
        <v>173</v>
      </c>
      <c r="E2132" s="84" t="s">
        <v>562</v>
      </c>
      <c r="F2132" s="84" t="s">
        <v>39</v>
      </c>
      <c r="G2132" s="87"/>
      <c r="H2132" s="87">
        <v>0</v>
      </c>
      <c r="I2132" s="87">
        <v>0</v>
      </c>
      <c r="J2132" s="177"/>
      <c r="K2132" s="207"/>
      <c r="L2132" s="207"/>
      <c r="M2132" s="199"/>
      <c r="N2132" s="199"/>
      <c r="O2132" s="199"/>
      <c r="P2132" s="199"/>
      <c r="Q2132" s="199"/>
      <c r="R2132" s="199"/>
    </row>
    <row r="2133" spans="1:18" s="3" customFormat="1" ht="38.25" hidden="1" customHeight="1">
      <c r="A2133" s="82" t="s">
        <v>460</v>
      </c>
      <c r="B2133" s="83">
        <v>795</v>
      </c>
      <c r="C2133" s="84" t="s">
        <v>161</v>
      </c>
      <c r="D2133" s="84" t="s">
        <v>173</v>
      </c>
      <c r="E2133" s="84" t="s">
        <v>461</v>
      </c>
      <c r="F2133" s="84"/>
      <c r="G2133" s="87">
        <f>G2134</f>
        <v>0</v>
      </c>
      <c r="H2133" s="87">
        <f>H2134</f>
        <v>0</v>
      </c>
      <c r="I2133" s="87">
        <f>I2134</f>
        <v>0</v>
      </c>
      <c r="J2133" s="177"/>
      <c r="K2133" s="207"/>
      <c r="L2133" s="207"/>
      <c r="M2133" s="199"/>
      <c r="N2133" s="199"/>
      <c r="O2133" s="199"/>
      <c r="P2133" s="199"/>
      <c r="Q2133" s="199"/>
      <c r="R2133" s="199"/>
    </row>
    <row r="2134" spans="1:18" s="3" customFormat="1" ht="31.5" hidden="1" customHeight="1">
      <c r="A2134" s="82" t="s">
        <v>36</v>
      </c>
      <c r="B2134" s="83">
        <v>795</v>
      </c>
      <c r="C2134" s="84" t="s">
        <v>161</v>
      </c>
      <c r="D2134" s="84" t="s">
        <v>173</v>
      </c>
      <c r="E2134" s="84" t="s">
        <v>461</v>
      </c>
      <c r="F2134" s="84" t="s">
        <v>37</v>
      </c>
      <c r="G2134" s="87">
        <f>G2135</f>
        <v>0</v>
      </c>
      <c r="H2134" s="87">
        <v>0</v>
      </c>
      <c r="I2134" s="87">
        <v>0</v>
      </c>
      <c r="J2134" s="177"/>
      <c r="K2134" s="207"/>
      <c r="L2134" s="207"/>
      <c r="M2134" s="199"/>
      <c r="N2134" s="199"/>
      <c r="O2134" s="199"/>
      <c r="P2134" s="199"/>
      <c r="Q2134" s="199"/>
      <c r="R2134" s="199"/>
    </row>
    <row r="2135" spans="1:18" s="3" customFormat="1" ht="33.75" hidden="1" customHeight="1">
      <c r="A2135" s="82" t="s">
        <v>38</v>
      </c>
      <c r="B2135" s="83">
        <v>795</v>
      </c>
      <c r="C2135" s="84" t="s">
        <v>161</v>
      </c>
      <c r="D2135" s="84" t="s">
        <v>173</v>
      </c>
      <c r="E2135" s="84" t="s">
        <v>461</v>
      </c>
      <c r="F2135" s="84" t="s">
        <v>39</v>
      </c>
      <c r="G2135" s="87"/>
      <c r="H2135" s="87">
        <v>0</v>
      </c>
      <c r="I2135" s="87">
        <v>0</v>
      </c>
      <c r="J2135" s="177"/>
      <c r="K2135" s="207"/>
      <c r="L2135" s="207"/>
      <c r="M2135" s="199"/>
      <c r="N2135" s="199"/>
      <c r="O2135" s="199"/>
      <c r="P2135" s="199"/>
      <c r="Q2135" s="199"/>
      <c r="R2135" s="199"/>
    </row>
    <row r="2136" spans="1:18" s="3" customFormat="1" ht="38.25" hidden="1" customHeight="1">
      <c r="A2136" s="82" t="s">
        <v>560</v>
      </c>
      <c r="B2136" s="83">
        <v>795</v>
      </c>
      <c r="C2136" s="84" t="s">
        <v>161</v>
      </c>
      <c r="D2136" s="84" t="s">
        <v>173</v>
      </c>
      <c r="E2136" s="84" t="s">
        <v>559</v>
      </c>
      <c r="F2136" s="84"/>
      <c r="G2136" s="87">
        <f>G2137</f>
        <v>0</v>
      </c>
      <c r="H2136" s="87">
        <f t="shared" ref="H2136:I2140" si="533">H2137</f>
        <v>0</v>
      </c>
      <c r="I2136" s="87">
        <f t="shared" si="533"/>
        <v>0</v>
      </c>
      <c r="J2136" s="177"/>
      <c r="K2136" s="207"/>
      <c r="L2136" s="207"/>
      <c r="M2136" s="199"/>
      <c r="N2136" s="199"/>
      <c r="O2136" s="199"/>
      <c r="P2136" s="199"/>
      <c r="Q2136" s="199"/>
      <c r="R2136" s="199"/>
    </row>
    <row r="2137" spans="1:18" s="3" customFormat="1" ht="38.25" hidden="1" customHeight="1">
      <c r="A2137" s="82" t="s">
        <v>36</v>
      </c>
      <c r="B2137" s="83">
        <v>795</v>
      </c>
      <c r="C2137" s="84" t="s">
        <v>161</v>
      </c>
      <c r="D2137" s="84" t="s">
        <v>173</v>
      </c>
      <c r="E2137" s="84" t="s">
        <v>559</v>
      </c>
      <c r="F2137" s="84" t="s">
        <v>37</v>
      </c>
      <c r="G2137" s="87">
        <f>G2138</f>
        <v>0</v>
      </c>
      <c r="H2137" s="87">
        <f t="shared" si="533"/>
        <v>0</v>
      </c>
      <c r="I2137" s="87">
        <f t="shared" si="533"/>
        <v>0</v>
      </c>
      <c r="J2137" s="177"/>
      <c r="K2137" s="207"/>
      <c r="L2137" s="207"/>
      <c r="M2137" s="199"/>
      <c r="N2137" s="199"/>
      <c r="O2137" s="199"/>
      <c r="P2137" s="199"/>
      <c r="Q2137" s="199"/>
      <c r="R2137" s="199"/>
    </row>
    <row r="2138" spans="1:18" s="3" customFormat="1" ht="38.25" hidden="1" customHeight="1">
      <c r="A2138" s="82" t="s">
        <v>38</v>
      </c>
      <c r="B2138" s="83">
        <v>795</v>
      </c>
      <c r="C2138" s="84" t="s">
        <v>161</v>
      </c>
      <c r="D2138" s="84" t="s">
        <v>173</v>
      </c>
      <c r="E2138" s="84" t="s">
        <v>559</v>
      </c>
      <c r="F2138" s="84" t="s">
        <v>39</v>
      </c>
      <c r="G2138" s="87"/>
      <c r="H2138" s="87">
        <v>0</v>
      </c>
      <c r="I2138" s="87">
        <v>0</v>
      </c>
      <c r="J2138" s="177"/>
      <c r="K2138" s="207"/>
      <c r="L2138" s="207"/>
      <c r="M2138" s="199"/>
      <c r="N2138" s="199"/>
      <c r="O2138" s="199"/>
      <c r="P2138" s="199"/>
      <c r="Q2138" s="199"/>
      <c r="R2138" s="199"/>
    </row>
    <row r="2139" spans="1:18" s="3" customFormat="1" ht="38.25" hidden="1" customHeight="1">
      <c r="A2139" s="82" t="s">
        <v>558</v>
      </c>
      <c r="B2139" s="83">
        <v>795</v>
      </c>
      <c r="C2139" s="84" t="s">
        <v>161</v>
      </c>
      <c r="D2139" s="84" t="s">
        <v>173</v>
      </c>
      <c r="E2139" s="84" t="s">
        <v>557</v>
      </c>
      <c r="F2139" s="84"/>
      <c r="G2139" s="87">
        <f>G2140</f>
        <v>0</v>
      </c>
      <c r="H2139" s="87">
        <f t="shared" si="533"/>
        <v>0</v>
      </c>
      <c r="I2139" s="87">
        <f t="shared" si="533"/>
        <v>0</v>
      </c>
      <c r="J2139" s="177"/>
      <c r="K2139" s="207"/>
      <c r="L2139" s="207"/>
      <c r="M2139" s="199"/>
      <c r="N2139" s="199"/>
      <c r="O2139" s="199"/>
      <c r="P2139" s="199"/>
      <c r="Q2139" s="199"/>
      <c r="R2139" s="199"/>
    </row>
    <row r="2140" spans="1:18" s="3" customFormat="1" ht="38.25" hidden="1" customHeight="1">
      <c r="A2140" s="82" t="s">
        <v>36</v>
      </c>
      <c r="B2140" s="83">
        <v>795</v>
      </c>
      <c r="C2140" s="84" t="s">
        <v>161</v>
      </c>
      <c r="D2140" s="84" t="s">
        <v>173</v>
      </c>
      <c r="E2140" s="84" t="s">
        <v>557</v>
      </c>
      <c r="F2140" s="84" t="s">
        <v>37</v>
      </c>
      <c r="G2140" s="87">
        <f>G2141</f>
        <v>0</v>
      </c>
      <c r="H2140" s="87">
        <f t="shared" si="533"/>
        <v>0</v>
      </c>
      <c r="I2140" s="87">
        <f t="shared" si="533"/>
        <v>0</v>
      </c>
      <c r="J2140" s="177"/>
      <c r="K2140" s="207"/>
      <c r="L2140" s="207"/>
      <c r="M2140" s="199"/>
      <c r="N2140" s="199"/>
      <c r="O2140" s="199"/>
      <c r="P2140" s="199"/>
      <c r="Q2140" s="199"/>
      <c r="R2140" s="199"/>
    </row>
    <row r="2141" spans="1:18" s="3" customFormat="1" ht="38.25" hidden="1" customHeight="1">
      <c r="A2141" s="82" t="s">
        <v>38</v>
      </c>
      <c r="B2141" s="83">
        <v>795</v>
      </c>
      <c r="C2141" s="84" t="s">
        <v>161</v>
      </c>
      <c r="D2141" s="84" t="s">
        <v>173</v>
      </c>
      <c r="E2141" s="84" t="s">
        <v>557</v>
      </c>
      <c r="F2141" s="84" t="s">
        <v>39</v>
      </c>
      <c r="G2141" s="87"/>
      <c r="H2141" s="87">
        <v>0</v>
      </c>
      <c r="I2141" s="87">
        <v>0</v>
      </c>
      <c r="J2141" s="177"/>
      <c r="K2141" s="207"/>
      <c r="L2141" s="207"/>
      <c r="M2141" s="199"/>
      <c r="N2141" s="199"/>
      <c r="O2141" s="199"/>
      <c r="P2141" s="199"/>
      <c r="Q2141" s="199"/>
      <c r="R2141" s="199"/>
    </row>
    <row r="2142" spans="1:18" s="3" customFormat="1" ht="38.25" hidden="1" customHeight="1">
      <c r="A2142" s="82" t="s">
        <v>556</v>
      </c>
      <c r="B2142" s="83">
        <v>795</v>
      </c>
      <c r="C2142" s="84" t="s">
        <v>161</v>
      </c>
      <c r="D2142" s="84" t="s">
        <v>173</v>
      </c>
      <c r="E2142" s="84" t="s">
        <v>555</v>
      </c>
      <c r="F2142" s="84"/>
      <c r="G2142" s="87">
        <f>G2143</f>
        <v>0</v>
      </c>
      <c r="H2142" s="87">
        <f t="shared" ref="H2142:I2142" si="534">H2143</f>
        <v>0</v>
      </c>
      <c r="I2142" s="87">
        <f t="shared" si="534"/>
        <v>0</v>
      </c>
      <c r="J2142" s="177"/>
      <c r="K2142" s="207"/>
      <c r="L2142" s="207"/>
      <c r="M2142" s="199"/>
      <c r="N2142" s="199"/>
      <c r="O2142" s="199"/>
      <c r="P2142" s="199"/>
      <c r="Q2142" s="199"/>
      <c r="R2142" s="199"/>
    </row>
    <row r="2143" spans="1:18" s="3" customFormat="1" ht="38.25" hidden="1" customHeight="1">
      <c r="A2143" s="82" t="s">
        <v>156</v>
      </c>
      <c r="B2143" s="83">
        <v>795</v>
      </c>
      <c r="C2143" s="84" t="s">
        <v>161</v>
      </c>
      <c r="D2143" s="84" t="s">
        <v>173</v>
      </c>
      <c r="E2143" s="84" t="s">
        <v>555</v>
      </c>
      <c r="F2143" s="84" t="s">
        <v>157</v>
      </c>
      <c r="G2143" s="87">
        <f>G2144</f>
        <v>0</v>
      </c>
      <c r="H2143" s="87">
        <f t="shared" ref="H2143:I2146" si="535">H2144</f>
        <v>0</v>
      </c>
      <c r="I2143" s="87">
        <f t="shared" si="535"/>
        <v>0</v>
      </c>
      <c r="J2143" s="177"/>
      <c r="K2143" s="207"/>
      <c r="L2143" s="207"/>
      <c r="M2143" s="199"/>
      <c r="N2143" s="199"/>
      <c r="O2143" s="199"/>
      <c r="P2143" s="199"/>
      <c r="Q2143" s="199"/>
      <c r="R2143" s="199"/>
    </row>
    <row r="2144" spans="1:18" s="3" customFormat="1" ht="38.25" hidden="1" customHeight="1">
      <c r="A2144" s="82" t="s">
        <v>170</v>
      </c>
      <c r="B2144" s="83">
        <v>795</v>
      </c>
      <c r="C2144" s="84" t="s">
        <v>161</v>
      </c>
      <c r="D2144" s="84" t="s">
        <v>173</v>
      </c>
      <c r="E2144" s="84" t="s">
        <v>555</v>
      </c>
      <c r="F2144" s="84" t="s">
        <v>171</v>
      </c>
      <c r="G2144" s="87"/>
      <c r="H2144" s="87">
        <v>0</v>
      </c>
      <c r="I2144" s="87">
        <v>0</v>
      </c>
      <c r="J2144" s="177"/>
      <c r="K2144" s="207"/>
      <c r="L2144" s="207"/>
      <c r="M2144" s="199"/>
      <c r="N2144" s="199"/>
      <c r="O2144" s="199"/>
      <c r="P2144" s="199"/>
      <c r="Q2144" s="199"/>
      <c r="R2144" s="199"/>
    </row>
    <row r="2145" spans="1:18" s="3" customFormat="1" ht="38.25" hidden="1" customHeight="1">
      <c r="A2145" s="82" t="s">
        <v>554</v>
      </c>
      <c r="B2145" s="83">
        <v>795</v>
      </c>
      <c r="C2145" s="84" t="s">
        <v>161</v>
      </c>
      <c r="D2145" s="84" t="s">
        <v>173</v>
      </c>
      <c r="E2145" s="84" t="s">
        <v>553</v>
      </c>
      <c r="F2145" s="84"/>
      <c r="G2145" s="87">
        <f>G2146</f>
        <v>0</v>
      </c>
      <c r="H2145" s="87">
        <f t="shared" ref="H2145:I2145" si="536">H2146</f>
        <v>0</v>
      </c>
      <c r="I2145" s="87">
        <f t="shared" si="536"/>
        <v>0</v>
      </c>
      <c r="J2145" s="177"/>
      <c r="K2145" s="207"/>
      <c r="L2145" s="207"/>
      <c r="M2145" s="199"/>
      <c r="N2145" s="199"/>
      <c r="O2145" s="199"/>
      <c r="P2145" s="199"/>
      <c r="Q2145" s="199"/>
      <c r="R2145" s="199"/>
    </row>
    <row r="2146" spans="1:18" s="3" customFormat="1" ht="38.25" hidden="1" customHeight="1">
      <c r="A2146" s="82" t="s">
        <v>156</v>
      </c>
      <c r="B2146" s="83">
        <v>795</v>
      </c>
      <c r="C2146" s="84" t="s">
        <v>161</v>
      </c>
      <c r="D2146" s="84" t="s">
        <v>173</v>
      </c>
      <c r="E2146" s="84" t="s">
        <v>553</v>
      </c>
      <c r="F2146" s="84" t="s">
        <v>157</v>
      </c>
      <c r="G2146" s="87">
        <f>G2147</f>
        <v>0</v>
      </c>
      <c r="H2146" s="87">
        <f t="shared" si="535"/>
        <v>0</v>
      </c>
      <c r="I2146" s="87">
        <f t="shared" si="535"/>
        <v>0</v>
      </c>
      <c r="J2146" s="177"/>
      <c r="K2146" s="207"/>
      <c r="L2146" s="207"/>
      <c r="M2146" s="199"/>
      <c r="N2146" s="199"/>
      <c r="O2146" s="199"/>
      <c r="P2146" s="199"/>
      <c r="Q2146" s="199"/>
      <c r="R2146" s="199"/>
    </row>
    <row r="2147" spans="1:18" s="3" customFormat="1" ht="38.25" hidden="1" customHeight="1">
      <c r="A2147" s="82" t="s">
        <v>170</v>
      </c>
      <c r="B2147" s="83">
        <v>795</v>
      </c>
      <c r="C2147" s="84" t="s">
        <v>161</v>
      </c>
      <c r="D2147" s="84" t="s">
        <v>173</v>
      </c>
      <c r="E2147" s="84" t="s">
        <v>553</v>
      </c>
      <c r="F2147" s="84" t="s">
        <v>171</v>
      </c>
      <c r="G2147" s="87"/>
      <c r="H2147" s="87">
        <v>0</v>
      </c>
      <c r="I2147" s="87">
        <v>0</v>
      </c>
      <c r="J2147" s="177"/>
      <c r="K2147" s="207"/>
      <c r="L2147" s="207"/>
      <c r="M2147" s="199"/>
      <c r="N2147" s="199"/>
      <c r="O2147" s="199"/>
      <c r="P2147" s="199"/>
      <c r="Q2147" s="199"/>
      <c r="R2147" s="199"/>
    </row>
    <row r="2148" spans="1:18" s="3" customFormat="1" ht="38.25" hidden="1" customHeight="1">
      <c r="A2148" s="82" t="s">
        <v>706</v>
      </c>
      <c r="B2148" s="83">
        <v>795</v>
      </c>
      <c r="C2148" s="84" t="s">
        <v>161</v>
      </c>
      <c r="D2148" s="84" t="s">
        <v>173</v>
      </c>
      <c r="E2148" s="84" t="s">
        <v>705</v>
      </c>
      <c r="F2148" s="84"/>
      <c r="G2148" s="87">
        <f>G2149</f>
        <v>0</v>
      </c>
      <c r="H2148" s="87">
        <f t="shared" ref="H2148:I2152" si="537">H2149</f>
        <v>0</v>
      </c>
      <c r="I2148" s="87">
        <f t="shared" si="537"/>
        <v>0</v>
      </c>
      <c r="J2148" s="177"/>
      <c r="K2148" s="207"/>
      <c r="L2148" s="207"/>
      <c r="M2148" s="199"/>
      <c r="N2148" s="199"/>
      <c r="O2148" s="199"/>
      <c r="P2148" s="199"/>
      <c r="Q2148" s="199"/>
      <c r="R2148" s="199"/>
    </row>
    <row r="2149" spans="1:18" s="3" customFormat="1" ht="38.25" hidden="1" customHeight="1">
      <c r="A2149" s="82" t="s">
        <v>36</v>
      </c>
      <c r="B2149" s="83">
        <v>795</v>
      </c>
      <c r="C2149" s="84" t="s">
        <v>161</v>
      </c>
      <c r="D2149" s="84" t="s">
        <v>173</v>
      </c>
      <c r="E2149" s="84" t="s">
        <v>705</v>
      </c>
      <c r="F2149" s="84" t="s">
        <v>37</v>
      </c>
      <c r="G2149" s="87">
        <f>G2150</f>
        <v>0</v>
      </c>
      <c r="H2149" s="87">
        <f t="shared" si="537"/>
        <v>0</v>
      </c>
      <c r="I2149" s="87">
        <f t="shared" si="537"/>
        <v>0</v>
      </c>
      <c r="J2149" s="177"/>
      <c r="K2149" s="207"/>
      <c r="L2149" s="207"/>
      <c r="M2149" s="199"/>
      <c r="N2149" s="199"/>
      <c r="O2149" s="199"/>
      <c r="P2149" s="199"/>
      <c r="Q2149" s="199"/>
      <c r="R2149" s="199"/>
    </row>
    <row r="2150" spans="1:18" s="3" customFormat="1" ht="38.25" hidden="1" customHeight="1">
      <c r="A2150" s="82" t="s">
        <v>38</v>
      </c>
      <c r="B2150" s="83">
        <v>795</v>
      </c>
      <c r="C2150" s="84" t="s">
        <v>161</v>
      </c>
      <c r="D2150" s="84" t="s">
        <v>173</v>
      </c>
      <c r="E2150" s="84" t="s">
        <v>705</v>
      </c>
      <c r="F2150" s="84" t="s">
        <v>39</v>
      </c>
      <c r="G2150" s="87"/>
      <c r="H2150" s="87"/>
      <c r="I2150" s="87"/>
      <c r="J2150" s="177"/>
      <c r="K2150" s="207"/>
      <c r="L2150" s="207"/>
      <c r="M2150" s="199"/>
      <c r="N2150" s="199"/>
      <c r="O2150" s="199"/>
      <c r="P2150" s="199"/>
      <c r="Q2150" s="199"/>
      <c r="R2150" s="199"/>
    </row>
    <row r="2151" spans="1:18" s="3" customFormat="1" ht="63" hidden="1" customHeight="1">
      <c r="A2151" s="82" t="s">
        <v>781</v>
      </c>
      <c r="B2151" s="83">
        <v>795</v>
      </c>
      <c r="C2151" s="84" t="s">
        <v>161</v>
      </c>
      <c r="D2151" s="84" t="s">
        <v>173</v>
      </c>
      <c r="E2151" s="84" t="s">
        <v>780</v>
      </c>
      <c r="F2151" s="84"/>
      <c r="G2151" s="87">
        <f>G2152</f>
        <v>0</v>
      </c>
      <c r="H2151" s="87">
        <f t="shared" si="537"/>
        <v>0</v>
      </c>
      <c r="I2151" s="87">
        <f t="shared" si="537"/>
        <v>0</v>
      </c>
      <c r="J2151" s="177"/>
      <c r="K2151" s="207"/>
      <c r="L2151" s="207"/>
      <c r="M2151" s="199"/>
      <c r="N2151" s="199"/>
      <c r="O2151" s="199"/>
      <c r="P2151" s="199"/>
      <c r="Q2151" s="199"/>
      <c r="R2151" s="199"/>
    </row>
    <row r="2152" spans="1:18" s="3" customFormat="1" ht="38.25" hidden="1" customHeight="1">
      <c r="A2152" s="82" t="s">
        <v>36</v>
      </c>
      <c r="B2152" s="83">
        <v>795</v>
      </c>
      <c r="C2152" s="84" t="s">
        <v>161</v>
      </c>
      <c r="D2152" s="84" t="s">
        <v>173</v>
      </c>
      <c r="E2152" s="84" t="s">
        <v>780</v>
      </c>
      <c r="F2152" s="84" t="s">
        <v>37</v>
      </c>
      <c r="G2152" s="87">
        <f>G2153</f>
        <v>0</v>
      </c>
      <c r="H2152" s="87">
        <f t="shared" si="537"/>
        <v>0</v>
      </c>
      <c r="I2152" s="87">
        <f t="shared" si="537"/>
        <v>0</v>
      </c>
      <c r="J2152" s="177"/>
      <c r="K2152" s="207"/>
      <c r="L2152" s="207"/>
      <c r="M2152" s="199"/>
      <c r="N2152" s="199"/>
      <c r="O2152" s="199"/>
      <c r="P2152" s="199"/>
      <c r="Q2152" s="199"/>
      <c r="R2152" s="199"/>
    </row>
    <row r="2153" spans="1:18" s="3" customFormat="1" ht="38.25" hidden="1" customHeight="1">
      <c r="A2153" s="82" t="s">
        <v>38</v>
      </c>
      <c r="B2153" s="83">
        <v>795</v>
      </c>
      <c r="C2153" s="84" t="s">
        <v>161</v>
      </c>
      <c r="D2153" s="84" t="s">
        <v>173</v>
      </c>
      <c r="E2153" s="84" t="s">
        <v>780</v>
      </c>
      <c r="F2153" s="84" t="s">
        <v>39</v>
      </c>
      <c r="G2153" s="87"/>
      <c r="H2153" s="87"/>
      <c r="I2153" s="87"/>
      <c r="J2153" s="177"/>
      <c r="K2153" s="207"/>
      <c r="L2153" s="207"/>
      <c r="M2153" s="199"/>
      <c r="N2153" s="199"/>
      <c r="O2153" s="199"/>
      <c r="P2153" s="199"/>
      <c r="Q2153" s="199"/>
      <c r="R2153" s="199"/>
    </row>
    <row r="2154" spans="1:18" s="124" customFormat="1" ht="20.25" hidden="1" customHeight="1">
      <c r="A2154" s="282" t="s">
        <v>74</v>
      </c>
      <c r="B2154" s="273"/>
      <c r="C2154" s="156"/>
      <c r="D2154" s="156"/>
      <c r="E2154" s="156"/>
      <c r="F2154" s="156"/>
      <c r="G2154" s="157">
        <f>G1851+G1946+G2104+G1845</f>
        <v>0</v>
      </c>
      <c r="H2154" s="157">
        <f t="shared" ref="H2154:I2154" si="538">H1851+H1946+H2104+H1845</f>
        <v>0</v>
      </c>
      <c r="I2154" s="157">
        <f t="shared" si="538"/>
        <v>0</v>
      </c>
      <c r="J2154" s="196"/>
      <c r="K2154" s="207"/>
      <c r="L2154" s="207"/>
      <c r="M2154" s="207"/>
      <c r="N2154" s="207"/>
      <c r="O2154" s="207"/>
      <c r="P2154" s="207"/>
      <c r="Q2154" s="207"/>
      <c r="R2154" s="207"/>
    </row>
    <row r="2155" spans="1:18" s="90" customFormat="1" ht="38.25">
      <c r="A2155" s="321" t="s">
        <v>992</v>
      </c>
      <c r="B2155" s="318">
        <v>795</v>
      </c>
      <c r="C2155" s="325"/>
      <c r="D2155" s="325"/>
      <c r="E2155" s="325"/>
      <c r="F2155" s="325"/>
      <c r="G2155" s="324"/>
      <c r="H2155" s="324"/>
      <c r="I2155" s="324"/>
      <c r="J2155" s="197"/>
      <c r="K2155" s="209"/>
      <c r="L2155" s="186"/>
      <c r="M2155" s="186"/>
      <c r="N2155" s="186"/>
      <c r="O2155" s="186"/>
      <c r="P2155" s="186"/>
      <c r="Q2155" s="186"/>
      <c r="R2155" s="186"/>
    </row>
    <row r="2156" spans="1:18" s="124" customFormat="1" ht="16.5">
      <c r="A2156" s="266" t="s">
        <v>18</v>
      </c>
      <c r="B2156" s="303">
        <v>795</v>
      </c>
      <c r="C2156" s="304" t="s">
        <v>19</v>
      </c>
      <c r="D2156" s="305"/>
      <c r="E2156" s="305"/>
      <c r="F2156" s="305"/>
      <c r="G2156" s="308">
        <f>G2157</f>
        <v>6852</v>
      </c>
      <c r="H2156" s="306"/>
      <c r="I2156" s="306"/>
      <c r="J2156" s="307"/>
      <c r="K2156" s="208"/>
      <c r="L2156" s="207"/>
      <c r="M2156" s="207"/>
      <c r="N2156" s="207"/>
      <c r="O2156" s="207"/>
      <c r="P2156" s="207"/>
      <c r="Q2156" s="207"/>
      <c r="R2156" s="207"/>
    </row>
    <row r="2157" spans="1:18" s="150" customFormat="1" ht="16.5">
      <c r="A2157" s="300" t="s">
        <v>22</v>
      </c>
      <c r="B2157" s="299">
        <v>795</v>
      </c>
      <c r="C2157" s="298" t="s">
        <v>19</v>
      </c>
      <c r="D2157" s="298" t="s">
        <v>23</v>
      </c>
      <c r="E2157" s="297"/>
      <c r="F2157" s="297"/>
      <c r="G2157" s="309">
        <f>G2158</f>
        <v>6852</v>
      </c>
      <c r="H2157" s="301"/>
      <c r="I2157" s="301"/>
      <c r="J2157" s="302"/>
      <c r="K2157" s="214"/>
      <c r="L2157" s="222"/>
      <c r="M2157" s="222"/>
      <c r="N2157" s="222"/>
      <c r="O2157" s="222"/>
      <c r="P2157" s="222"/>
      <c r="Q2157" s="222"/>
      <c r="R2157" s="222"/>
    </row>
    <row r="2158" spans="1:18" s="150" customFormat="1" ht="25.5">
      <c r="A2158" s="300" t="s">
        <v>164</v>
      </c>
      <c r="B2158" s="299">
        <v>795</v>
      </c>
      <c r="C2158" s="298" t="s">
        <v>19</v>
      </c>
      <c r="D2158" s="298" t="s">
        <v>23</v>
      </c>
      <c r="E2158" s="299" t="s">
        <v>210</v>
      </c>
      <c r="F2158" s="297"/>
      <c r="G2158" s="309">
        <f>G2159</f>
        <v>6852</v>
      </c>
      <c r="H2158" s="301"/>
      <c r="I2158" s="301"/>
      <c r="J2158" s="302"/>
      <c r="K2158" s="214"/>
      <c r="L2158" s="222"/>
      <c r="M2158" s="222"/>
      <c r="N2158" s="222"/>
      <c r="O2158" s="222"/>
      <c r="P2158" s="222"/>
      <c r="Q2158" s="222"/>
      <c r="R2158" s="222"/>
    </row>
    <row r="2159" spans="1:18" s="150" customFormat="1" ht="25.5">
      <c r="A2159" s="82" t="s">
        <v>405</v>
      </c>
      <c r="B2159" s="299">
        <v>795</v>
      </c>
      <c r="C2159" s="298" t="s">
        <v>19</v>
      </c>
      <c r="D2159" s="298" t="s">
        <v>23</v>
      </c>
      <c r="E2159" s="299" t="s">
        <v>404</v>
      </c>
      <c r="F2159" s="297"/>
      <c r="G2159" s="309">
        <f>G2160</f>
        <v>6852</v>
      </c>
      <c r="H2159" s="301"/>
      <c r="I2159" s="301"/>
      <c r="J2159" s="302"/>
      <c r="K2159" s="214"/>
      <c r="L2159" s="222"/>
      <c r="M2159" s="222"/>
      <c r="N2159" s="222"/>
      <c r="O2159" s="222"/>
      <c r="P2159" s="222"/>
      <c r="Q2159" s="222"/>
      <c r="R2159" s="222"/>
    </row>
    <row r="2160" spans="1:18" s="150" customFormat="1">
      <c r="A2160" s="82" t="s">
        <v>63</v>
      </c>
      <c r="B2160" s="299">
        <v>795</v>
      </c>
      <c r="C2160" s="298" t="s">
        <v>19</v>
      </c>
      <c r="D2160" s="298" t="s">
        <v>23</v>
      </c>
      <c r="E2160" s="299" t="s">
        <v>404</v>
      </c>
      <c r="F2160" s="299">
        <v>800</v>
      </c>
      <c r="G2160" s="309">
        <f>G2161</f>
        <v>6852</v>
      </c>
      <c r="H2160" s="301"/>
      <c r="I2160" s="301"/>
      <c r="J2160" s="302"/>
      <c r="K2160" s="214"/>
      <c r="L2160" s="222"/>
      <c r="M2160" s="222"/>
      <c r="N2160" s="222"/>
      <c r="O2160" s="222"/>
      <c r="P2160" s="222"/>
      <c r="Q2160" s="222"/>
      <c r="R2160" s="222"/>
    </row>
    <row r="2161" spans="1:18" s="150" customFormat="1">
      <c r="A2161" s="82" t="s">
        <v>328</v>
      </c>
      <c r="B2161" s="299">
        <v>795</v>
      </c>
      <c r="C2161" s="298" t="s">
        <v>19</v>
      </c>
      <c r="D2161" s="298" t="s">
        <v>23</v>
      </c>
      <c r="E2161" s="299" t="s">
        <v>404</v>
      </c>
      <c r="F2161" s="299">
        <v>830</v>
      </c>
      <c r="G2161" s="309">
        <v>6852</v>
      </c>
      <c r="H2161" s="301"/>
      <c r="I2161" s="301"/>
      <c r="J2161" s="302"/>
      <c r="K2161" s="214"/>
      <c r="L2161" s="222"/>
      <c r="M2161" s="222"/>
      <c r="N2161" s="222"/>
      <c r="O2161" s="222"/>
      <c r="P2161" s="222"/>
      <c r="Q2161" s="222"/>
      <c r="R2161" s="222"/>
    </row>
    <row r="2162" spans="1:18">
      <c r="A2162" s="268" t="s">
        <v>86</v>
      </c>
      <c r="B2162" s="269">
        <v>795</v>
      </c>
      <c r="C2162" s="270" t="s">
        <v>54</v>
      </c>
      <c r="D2162" s="270"/>
      <c r="E2162" s="270"/>
      <c r="F2162" s="270"/>
      <c r="G2162" s="267">
        <f>G2190+G2163</f>
        <v>1710264.4699999997</v>
      </c>
      <c r="H2162" s="267">
        <f t="shared" ref="H2162:I2162" si="539">H2190</f>
        <v>0</v>
      </c>
      <c r="I2162" s="267">
        <f t="shared" si="539"/>
        <v>0</v>
      </c>
      <c r="J2162" s="191"/>
      <c r="K2162" s="191"/>
      <c r="L2162" s="191"/>
      <c r="M2162" s="191"/>
      <c r="N2162" s="191"/>
      <c r="O2162" s="191"/>
      <c r="P2162" s="209"/>
      <c r="Q2162" s="209"/>
    </row>
    <row r="2163" spans="1:18" ht="19.5" customHeight="1">
      <c r="A2163" s="82" t="s">
        <v>172</v>
      </c>
      <c r="B2163" s="149">
        <v>795</v>
      </c>
      <c r="C2163" s="84" t="s">
        <v>54</v>
      </c>
      <c r="D2163" s="84" t="s">
        <v>123</v>
      </c>
      <c r="E2163" s="84"/>
      <c r="F2163" s="84"/>
      <c r="G2163" s="87">
        <f>G2164</f>
        <v>1580354.5499999998</v>
      </c>
      <c r="H2163" s="87">
        <f t="shared" ref="H2163:I2163" si="540">H2164</f>
        <v>0</v>
      </c>
      <c r="I2163" s="87">
        <f t="shared" si="540"/>
        <v>0</v>
      </c>
      <c r="J2163" s="177"/>
      <c r="K2163" s="69"/>
      <c r="L2163" s="69"/>
      <c r="M2163" s="69"/>
      <c r="N2163" s="69"/>
      <c r="O2163" s="69"/>
      <c r="P2163" s="69"/>
      <c r="Q2163" s="69"/>
      <c r="R2163" s="69"/>
    </row>
    <row r="2164" spans="1:18" s="18" customFormat="1" ht="27" customHeight="1">
      <c r="A2164" s="82" t="s">
        <v>489</v>
      </c>
      <c r="B2164" s="149">
        <v>795</v>
      </c>
      <c r="C2164" s="84" t="s">
        <v>54</v>
      </c>
      <c r="D2164" s="84" t="s">
        <v>123</v>
      </c>
      <c r="E2164" s="84" t="s">
        <v>234</v>
      </c>
      <c r="F2164" s="84"/>
      <c r="G2164" s="87">
        <f>G2165+G2171+G2177</f>
        <v>1580354.5499999998</v>
      </c>
      <c r="H2164" s="87">
        <f>H2171+H2184</f>
        <v>0</v>
      </c>
      <c r="I2164" s="87">
        <f>I2171+I2184</f>
        <v>0</v>
      </c>
      <c r="J2164" s="177"/>
      <c r="K2164" s="176"/>
      <c r="L2164" s="176"/>
      <c r="M2164" s="176"/>
      <c r="N2164" s="176"/>
      <c r="O2164" s="176"/>
      <c r="P2164" s="184"/>
      <c r="Q2164" s="249"/>
      <c r="R2164" s="184"/>
    </row>
    <row r="2165" spans="1:18" s="18" customFormat="1" ht="86.25" customHeight="1">
      <c r="A2165" s="82" t="s">
        <v>997</v>
      </c>
      <c r="B2165" s="149">
        <v>795</v>
      </c>
      <c r="C2165" s="84" t="s">
        <v>54</v>
      </c>
      <c r="D2165" s="84" t="s">
        <v>123</v>
      </c>
      <c r="E2165" s="84" t="s">
        <v>996</v>
      </c>
      <c r="F2165" s="84"/>
      <c r="G2165" s="87">
        <f>G2166</f>
        <v>527146.93999999994</v>
      </c>
      <c r="H2165" s="87">
        <f>H2166+H2171</f>
        <v>0</v>
      </c>
      <c r="I2165" s="87">
        <f>I2166+I2171</f>
        <v>0</v>
      </c>
      <c r="J2165" s="177"/>
      <c r="K2165" s="184"/>
      <c r="L2165" s="184"/>
      <c r="M2165" s="184"/>
      <c r="N2165" s="184"/>
      <c r="O2165" s="184"/>
      <c r="P2165" s="184"/>
      <c r="Q2165" s="184"/>
      <c r="R2165" s="184"/>
    </row>
    <row r="2166" spans="1:18" s="18" customFormat="1" ht="76.5" customHeight="1">
      <c r="A2166" s="82" t="s">
        <v>997</v>
      </c>
      <c r="B2166" s="149">
        <v>795</v>
      </c>
      <c r="C2166" s="84" t="s">
        <v>54</v>
      </c>
      <c r="D2166" s="84" t="s">
        <v>123</v>
      </c>
      <c r="E2166" s="84" t="s">
        <v>1000</v>
      </c>
      <c r="F2166" s="84"/>
      <c r="G2166" s="87">
        <f>G2169+G2167</f>
        <v>527146.93999999994</v>
      </c>
      <c r="H2166" s="87">
        <f>H2169</f>
        <v>0</v>
      </c>
      <c r="I2166" s="87">
        <f>I2169</f>
        <v>0</v>
      </c>
      <c r="J2166" s="177"/>
      <c r="K2166" s="184"/>
      <c r="L2166" s="184"/>
      <c r="M2166" s="184"/>
      <c r="N2166" s="184"/>
      <c r="O2166" s="184"/>
      <c r="P2166" s="184"/>
      <c r="Q2166" s="184"/>
      <c r="R2166" s="184"/>
    </row>
    <row r="2167" spans="1:18" s="18" customFormat="1" ht="15" customHeight="1">
      <c r="A2167" s="82" t="s">
        <v>323</v>
      </c>
      <c r="B2167" s="149">
        <v>795</v>
      </c>
      <c r="C2167" s="84" t="s">
        <v>54</v>
      </c>
      <c r="D2167" s="84" t="s">
        <v>123</v>
      </c>
      <c r="E2167" s="84" t="s">
        <v>1000</v>
      </c>
      <c r="F2167" s="84" t="s">
        <v>37</v>
      </c>
      <c r="G2167" s="87">
        <f>G2168</f>
        <v>448906.07</v>
      </c>
      <c r="H2167" s="87">
        <f>H2168</f>
        <v>0</v>
      </c>
      <c r="I2167" s="87">
        <f>I2168</f>
        <v>0</v>
      </c>
      <c r="J2167" s="177"/>
      <c r="K2167" s="184"/>
      <c r="L2167" s="184"/>
      <c r="M2167" s="184"/>
      <c r="N2167" s="184"/>
      <c r="O2167" s="184"/>
      <c r="P2167" s="184"/>
      <c r="Q2167" s="184"/>
      <c r="R2167" s="184"/>
    </row>
    <row r="2168" spans="1:18" s="18" customFormat="1" ht="32.25" customHeight="1">
      <c r="A2168" s="82" t="s">
        <v>38</v>
      </c>
      <c r="B2168" s="149">
        <v>795</v>
      </c>
      <c r="C2168" s="84" t="s">
        <v>54</v>
      </c>
      <c r="D2168" s="84" t="s">
        <v>123</v>
      </c>
      <c r="E2168" s="84" t="s">
        <v>1000</v>
      </c>
      <c r="F2168" s="84" t="s">
        <v>39</v>
      </c>
      <c r="G2168" s="87">
        <v>448906.07</v>
      </c>
      <c r="H2168" s="87">
        <v>0</v>
      </c>
      <c r="I2168" s="87">
        <v>0</v>
      </c>
      <c r="J2168" s="177"/>
      <c r="K2168" s="184"/>
      <c r="L2168" s="184"/>
      <c r="M2168" s="184"/>
      <c r="N2168" s="184"/>
      <c r="O2168" s="184"/>
      <c r="P2168" s="184"/>
      <c r="Q2168" s="184"/>
      <c r="R2168" s="184"/>
    </row>
    <row r="2169" spans="1:18" s="18" customFormat="1" ht="15" customHeight="1">
      <c r="A2169" s="82" t="s">
        <v>156</v>
      </c>
      <c r="B2169" s="149">
        <v>795</v>
      </c>
      <c r="C2169" s="84" t="s">
        <v>54</v>
      </c>
      <c r="D2169" s="84" t="s">
        <v>123</v>
      </c>
      <c r="E2169" s="84" t="s">
        <v>1000</v>
      </c>
      <c r="F2169" s="84" t="s">
        <v>157</v>
      </c>
      <c r="G2169" s="87">
        <f t="shared" ref="G2169:I2169" si="541">G2170</f>
        <v>78240.87</v>
      </c>
      <c r="H2169" s="87">
        <f t="shared" si="541"/>
        <v>0</v>
      </c>
      <c r="I2169" s="87">
        <f t="shared" si="541"/>
        <v>0</v>
      </c>
      <c r="J2169" s="177"/>
      <c r="K2169" s="184"/>
      <c r="L2169" s="184"/>
      <c r="M2169" s="184"/>
      <c r="N2169" s="184"/>
      <c r="O2169" s="184"/>
      <c r="P2169" s="184"/>
      <c r="Q2169" s="184"/>
      <c r="R2169" s="184"/>
    </row>
    <row r="2170" spans="1:18" s="18" customFormat="1" ht="32.25" customHeight="1">
      <c r="A2170" s="82" t="s">
        <v>178</v>
      </c>
      <c r="B2170" s="149">
        <v>795</v>
      </c>
      <c r="C2170" s="84" t="s">
        <v>54</v>
      </c>
      <c r="D2170" s="84" t="s">
        <v>123</v>
      </c>
      <c r="E2170" s="84" t="s">
        <v>1000</v>
      </c>
      <c r="F2170" s="84" t="s">
        <v>179</v>
      </c>
      <c r="G2170" s="87">
        <v>78240.87</v>
      </c>
      <c r="H2170" s="87">
        <v>0</v>
      </c>
      <c r="I2170" s="87">
        <v>0</v>
      </c>
      <c r="J2170" s="177"/>
      <c r="K2170" s="184"/>
      <c r="L2170" s="184"/>
      <c r="M2170" s="184"/>
      <c r="N2170" s="184"/>
      <c r="O2170" s="184"/>
      <c r="P2170" s="184"/>
      <c r="Q2170" s="184"/>
      <c r="R2170" s="184"/>
    </row>
    <row r="2171" spans="1:18" s="18" customFormat="1" ht="86.25" customHeight="1">
      <c r="A2171" s="82" t="s">
        <v>998</v>
      </c>
      <c r="B2171" s="149">
        <v>795</v>
      </c>
      <c r="C2171" s="84" t="s">
        <v>54</v>
      </c>
      <c r="D2171" s="84" t="s">
        <v>123</v>
      </c>
      <c r="E2171" s="84" t="s">
        <v>11</v>
      </c>
      <c r="F2171" s="84"/>
      <c r="G2171" s="87">
        <f>G2172</f>
        <v>1024610.61</v>
      </c>
      <c r="H2171" s="87">
        <f>H2172+H2181</f>
        <v>0</v>
      </c>
      <c r="I2171" s="87">
        <f>I2172+I2181</f>
        <v>0</v>
      </c>
      <c r="J2171" s="177"/>
      <c r="K2171" s="184"/>
      <c r="L2171" s="184"/>
      <c r="M2171" s="184"/>
      <c r="N2171" s="184"/>
      <c r="O2171" s="184"/>
      <c r="P2171" s="184"/>
      <c r="Q2171" s="184"/>
      <c r="R2171" s="184"/>
    </row>
    <row r="2172" spans="1:18" s="18" customFormat="1" ht="76.5" customHeight="1">
      <c r="A2172" s="82" t="s">
        <v>998</v>
      </c>
      <c r="B2172" s="149">
        <v>795</v>
      </c>
      <c r="C2172" s="84" t="s">
        <v>54</v>
      </c>
      <c r="D2172" s="84" t="s">
        <v>123</v>
      </c>
      <c r="E2172" s="84" t="s">
        <v>999</v>
      </c>
      <c r="F2172" s="84"/>
      <c r="G2172" s="87">
        <f>G2175+G2174</f>
        <v>1024610.61</v>
      </c>
      <c r="H2172" s="87">
        <f>H2175</f>
        <v>0</v>
      </c>
      <c r="I2172" s="87">
        <f>I2175</f>
        <v>0</v>
      </c>
      <c r="J2172" s="177"/>
      <c r="K2172" s="184"/>
      <c r="L2172" s="184"/>
      <c r="M2172" s="184"/>
      <c r="N2172" s="184"/>
      <c r="O2172" s="184"/>
      <c r="P2172" s="184"/>
      <c r="Q2172" s="184"/>
      <c r="R2172" s="184"/>
    </row>
    <row r="2173" spans="1:18" s="18" customFormat="1" ht="15" customHeight="1">
      <c r="A2173" s="82" t="s">
        <v>323</v>
      </c>
      <c r="B2173" s="149">
        <v>795</v>
      </c>
      <c r="C2173" s="84" t="s">
        <v>54</v>
      </c>
      <c r="D2173" s="84" t="s">
        <v>123</v>
      </c>
      <c r="E2173" s="84" t="s">
        <v>999</v>
      </c>
      <c r="F2173" s="84" t="s">
        <v>37</v>
      </c>
      <c r="G2173" s="87">
        <f>G2174</f>
        <v>597245.36</v>
      </c>
      <c r="H2173" s="87">
        <f>H2174</f>
        <v>0</v>
      </c>
      <c r="I2173" s="87">
        <f>I2174</f>
        <v>0</v>
      </c>
      <c r="J2173" s="177"/>
      <c r="K2173" s="184"/>
      <c r="L2173" s="184"/>
      <c r="M2173" s="184"/>
      <c r="N2173" s="184"/>
      <c r="O2173" s="184"/>
      <c r="P2173" s="184"/>
      <c r="Q2173" s="184"/>
      <c r="R2173" s="184"/>
    </row>
    <row r="2174" spans="1:18" s="18" customFormat="1" ht="32.25" customHeight="1">
      <c r="A2174" s="82" t="s">
        <v>38</v>
      </c>
      <c r="B2174" s="149">
        <v>795</v>
      </c>
      <c r="C2174" s="84" t="s">
        <v>54</v>
      </c>
      <c r="D2174" s="84" t="s">
        <v>123</v>
      </c>
      <c r="E2174" s="84" t="s">
        <v>999</v>
      </c>
      <c r="F2174" s="84" t="s">
        <v>39</v>
      </c>
      <c r="G2174" s="87">
        <f>447043.05+150202.31</f>
        <v>597245.36</v>
      </c>
      <c r="H2174" s="87">
        <v>0</v>
      </c>
      <c r="I2174" s="87">
        <v>0</v>
      </c>
      <c r="J2174" s="177"/>
      <c r="K2174" s="184"/>
      <c r="L2174" s="184"/>
      <c r="M2174" s="184"/>
      <c r="N2174" s="184"/>
      <c r="O2174" s="184"/>
      <c r="P2174" s="184"/>
      <c r="Q2174" s="184"/>
      <c r="R2174" s="184"/>
    </row>
    <row r="2175" spans="1:18" s="18" customFormat="1" ht="15" customHeight="1">
      <c r="A2175" s="82" t="s">
        <v>156</v>
      </c>
      <c r="B2175" s="149">
        <v>795</v>
      </c>
      <c r="C2175" s="84" t="s">
        <v>54</v>
      </c>
      <c r="D2175" s="84" t="s">
        <v>123</v>
      </c>
      <c r="E2175" s="84" t="s">
        <v>999</v>
      </c>
      <c r="F2175" s="84" t="s">
        <v>157</v>
      </c>
      <c r="G2175" s="87">
        <f t="shared" ref="G2175:I2175" si="542">G2176</f>
        <v>427365.25</v>
      </c>
      <c r="H2175" s="87">
        <f t="shared" si="542"/>
        <v>0</v>
      </c>
      <c r="I2175" s="87">
        <f t="shared" si="542"/>
        <v>0</v>
      </c>
      <c r="J2175" s="177"/>
      <c r="K2175" s="184"/>
      <c r="L2175" s="184"/>
      <c r="M2175" s="184"/>
      <c r="N2175" s="184"/>
      <c r="O2175" s="184"/>
      <c r="P2175" s="184"/>
      <c r="Q2175" s="184"/>
      <c r="R2175" s="184"/>
    </row>
    <row r="2176" spans="1:18" s="18" customFormat="1" ht="32.25" customHeight="1">
      <c r="A2176" s="82" t="s">
        <v>178</v>
      </c>
      <c r="B2176" s="149">
        <v>795</v>
      </c>
      <c r="C2176" s="84" t="s">
        <v>54</v>
      </c>
      <c r="D2176" s="84" t="s">
        <v>123</v>
      </c>
      <c r="E2176" s="84" t="s">
        <v>999</v>
      </c>
      <c r="F2176" s="84" t="s">
        <v>179</v>
      </c>
      <c r="G2176" s="87">
        <v>427365.25</v>
      </c>
      <c r="H2176" s="87">
        <v>0</v>
      </c>
      <c r="I2176" s="87">
        <v>0</v>
      </c>
      <c r="J2176" s="177"/>
      <c r="K2176" s="184"/>
      <c r="L2176" s="184"/>
      <c r="M2176" s="184"/>
      <c r="N2176" s="184"/>
      <c r="O2176" s="184"/>
      <c r="P2176" s="184"/>
      <c r="Q2176" s="184"/>
      <c r="R2176" s="184"/>
    </row>
    <row r="2177" spans="1:18" s="18" customFormat="1" ht="102" customHeight="1">
      <c r="A2177" s="82" t="s">
        <v>1002</v>
      </c>
      <c r="B2177" s="149">
        <v>795</v>
      </c>
      <c r="C2177" s="84" t="s">
        <v>54</v>
      </c>
      <c r="D2177" s="84" t="s">
        <v>123</v>
      </c>
      <c r="E2177" s="84" t="s">
        <v>1001</v>
      </c>
      <c r="F2177" s="84"/>
      <c r="G2177" s="87">
        <f>G2178</f>
        <v>28597</v>
      </c>
      <c r="H2177" s="87">
        <f t="shared" ref="H2177:I2177" si="543">H2178+H2187</f>
        <v>0</v>
      </c>
      <c r="I2177" s="87">
        <f t="shared" si="543"/>
        <v>0</v>
      </c>
      <c r="J2177" s="177"/>
      <c r="K2177" s="184"/>
      <c r="L2177" s="184"/>
      <c r="M2177" s="184"/>
      <c r="N2177" s="184"/>
      <c r="O2177" s="184"/>
      <c r="P2177" s="184"/>
      <c r="Q2177" s="184"/>
      <c r="R2177" s="184"/>
    </row>
    <row r="2178" spans="1:18" s="18" customFormat="1" ht="108" customHeight="1">
      <c r="A2178" s="82" t="s">
        <v>1002</v>
      </c>
      <c r="B2178" s="149">
        <v>795</v>
      </c>
      <c r="C2178" s="84" t="s">
        <v>54</v>
      </c>
      <c r="D2178" s="84" t="s">
        <v>123</v>
      </c>
      <c r="E2178" s="84" t="s">
        <v>1003</v>
      </c>
      <c r="F2178" s="84"/>
      <c r="G2178" s="87">
        <f>G2179+G2182</f>
        <v>28597</v>
      </c>
      <c r="H2178" s="87">
        <f t="shared" ref="G2178:I2179" si="544">H2179</f>
        <v>0</v>
      </c>
      <c r="I2178" s="87">
        <f t="shared" si="544"/>
        <v>0</v>
      </c>
      <c r="J2178" s="177"/>
      <c r="K2178" s="184"/>
      <c r="L2178" s="184"/>
      <c r="M2178" s="184"/>
      <c r="N2178" s="184"/>
      <c r="O2178" s="184"/>
      <c r="P2178" s="184"/>
      <c r="Q2178" s="184"/>
      <c r="R2178" s="184"/>
    </row>
    <row r="2179" spans="1:18" s="18" customFormat="1" ht="15" customHeight="1">
      <c r="A2179" s="82" t="s">
        <v>156</v>
      </c>
      <c r="B2179" s="149">
        <v>795</v>
      </c>
      <c r="C2179" s="84" t="s">
        <v>54</v>
      </c>
      <c r="D2179" s="84" t="s">
        <v>123</v>
      </c>
      <c r="E2179" s="84" t="s">
        <v>1003</v>
      </c>
      <c r="F2179" s="84" t="s">
        <v>157</v>
      </c>
      <c r="G2179" s="87">
        <f t="shared" si="544"/>
        <v>28597</v>
      </c>
      <c r="H2179" s="87">
        <f t="shared" si="544"/>
        <v>0</v>
      </c>
      <c r="I2179" s="87">
        <f t="shared" si="544"/>
        <v>0</v>
      </c>
      <c r="J2179" s="177"/>
      <c r="K2179" s="184"/>
      <c r="L2179" s="184"/>
      <c r="M2179" s="184"/>
      <c r="N2179" s="184"/>
      <c r="O2179" s="184"/>
      <c r="P2179" s="184"/>
      <c r="Q2179" s="184"/>
      <c r="R2179" s="184"/>
    </row>
    <row r="2180" spans="1:18" s="18" customFormat="1" ht="32.25" customHeight="1">
      <c r="A2180" s="82" t="s">
        <v>178</v>
      </c>
      <c r="B2180" s="149">
        <v>795</v>
      </c>
      <c r="C2180" s="84" t="s">
        <v>54</v>
      </c>
      <c r="D2180" s="84" t="s">
        <v>123</v>
      </c>
      <c r="E2180" s="84" t="s">
        <v>1003</v>
      </c>
      <c r="F2180" s="84" t="s">
        <v>179</v>
      </c>
      <c r="G2180" s="87">
        <v>28597</v>
      </c>
      <c r="H2180" s="87">
        <v>0</v>
      </c>
      <c r="I2180" s="87">
        <v>0</v>
      </c>
      <c r="J2180" s="177"/>
      <c r="K2180" s="184"/>
      <c r="L2180" s="184"/>
      <c r="M2180" s="184"/>
      <c r="N2180" s="184"/>
      <c r="O2180" s="184"/>
      <c r="P2180" s="184"/>
      <c r="Q2180" s="184"/>
      <c r="R2180" s="184"/>
    </row>
    <row r="2181" spans="1:18" s="18" customFormat="1" ht="106.5" hidden="1" customHeight="1">
      <c r="A2181" s="82" t="s">
        <v>967</v>
      </c>
      <c r="B2181" s="149">
        <v>795</v>
      </c>
      <c r="C2181" s="84" t="s">
        <v>54</v>
      </c>
      <c r="D2181" s="84" t="s">
        <v>123</v>
      </c>
      <c r="E2181" s="84" t="s">
        <v>528</v>
      </c>
      <c r="F2181" s="84"/>
      <c r="G2181" s="87">
        <f>G2182</f>
        <v>0</v>
      </c>
      <c r="H2181" s="87"/>
      <c r="I2181" s="87"/>
      <c r="J2181" s="177"/>
      <c r="K2181" s="184"/>
      <c r="L2181" s="184"/>
      <c r="M2181" s="184"/>
      <c r="N2181" s="184"/>
      <c r="O2181" s="184"/>
      <c r="P2181" s="184"/>
      <c r="Q2181" s="184"/>
      <c r="R2181" s="184"/>
    </row>
    <row r="2182" spans="1:18" s="18" customFormat="1" ht="27.75" hidden="1" customHeight="1">
      <c r="A2182" s="82" t="s">
        <v>96</v>
      </c>
      <c r="B2182" s="149">
        <v>795</v>
      </c>
      <c r="C2182" s="84" t="s">
        <v>54</v>
      </c>
      <c r="D2182" s="84" t="s">
        <v>123</v>
      </c>
      <c r="E2182" s="84" t="s">
        <v>528</v>
      </c>
      <c r="F2182" s="84" t="s">
        <v>348</v>
      </c>
      <c r="G2182" s="87">
        <f>G2183</f>
        <v>0</v>
      </c>
      <c r="H2182" s="87"/>
      <c r="I2182" s="87"/>
      <c r="J2182" s="177"/>
      <c r="K2182" s="184"/>
      <c r="L2182" s="184"/>
      <c r="M2182" s="184"/>
      <c r="N2182" s="184"/>
      <c r="O2182" s="184"/>
      <c r="P2182" s="184"/>
      <c r="Q2182" s="184"/>
      <c r="R2182" s="184"/>
    </row>
    <row r="2183" spans="1:18" s="18" customFormat="1" ht="15" hidden="1" customHeight="1">
      <c r="A2183" s="82" t="s">
        <v>349</v>
      </c>
      <c r="B2183" s="149">
        <v>795</v>
      </c>
      <c r="C2183" s="84" t="s">
        <v>54</v>
      </c>
      <c r="D2183" s="84" t="s">
        <v>123</v>
      </c>
      <c r="E2183" s="84" t="s">
        <v>528</v>
      </c>
      <c r="F2183" s="84" t="s">
        <v>350</v>
      </c>
      <c r="G2183" s="87"/>
      <c r="H2183" s="87"/>
      <c r="I2183" s="87"/>
      <c r="J2183" s="177"/>
      <c r="K2183" s="184"/>
      <c r="L2183" s="184"/>
      <c r="M2183" s="184"/>
      <c r="N2183" s="184"/>
      <c r="O2183" s="184"/>
      <c r="P2183" s="184"/>
      <c r="Q2183" s="184"/>
      <c r="R2183" s="184"/>
    </row>
    <row r="2184" spans="1:18" s="18" customFormat="1" ht="86.25" hidden="1" customHeight="1">
      <c r="A2184" s="82" t="s">
        <v>907</v>
      </c>
      <c r="B2184" s="149">
        <v>795</v>
      </c>
      <c r="C2184" s="84" t="s">
        <v>54</v>
      </c>
      <c r="D2184" s="84" t="s">
        <v>123</v>
      </c>
      <c r="E2184" s="84" t="s">
        <v>105</v>
      </c>
      <c r="F2184" s="84"/>
      <c r="G2184" s="87">
        <f>G2185</f>
        <v>0</v>
      </c>
      <c r="H2184" s="87">
        <f t="shared" ref="H2184:I2184" si="545">H2185</f>
        <v>0</v>
      </c>
      <c r="I2184" s="87">
        <f t="shared" si="545"/>
        <v>0</v>
      </c>
      <c r="J2184" s="177"/>
      <c r="K2184" s="184"/>
      <c r="L2184" s="184"/>
      <c r="M2184" s="184"/>
      <c r="N2184" s="184"/>
      <c r="O2184" s="184"/>
      <c r="P2184" s="184"/>
      <c r="Q2184" s="184"/>
      <c r="R2184" s="184"/>
    </row>
    <row r="2185" spans="1:18" s="18" customFormat="1" ht="122.25" hidden="1" customHeight="1">
      <c r="A2185" s="142" t="s">
        <v>905</v>
      </c>
      <c r="B2185" s="149">
        <v>795</v>
      </c>
      <c r="C2185" s="84" t="s">
        <v>54</v>
      </c>
      <c r="D2185" s="84" t="s">
        <v>123</v>
      </c>
      <c r="E2185" s="84" t="s">
        <v>906</v>
      </c>
      <c r="F2185" s="84"/>
      <c r="G2185" s="87">
        <f>G2186+G2188</f>
        <v>0</v>
      </c>
      <c r="H2185" s="87">
        <f t="shared" ref="H2185:I2185" si="546">H2186+H2188</f>
        <v>0</v>
      </c>
      <c r="I2185" s="87">
        <f t="shared" si="546"/>
        <v>0</v>
      </c>
      <c r="J2185" s="177"/>
      <c r="K2185" s="184"/>
      <c r="L2185" s="184"/>
      <c r="M2185" s="184"/>
      <c r="N2185" s="184"/>
      <c r="O2185" s="184"/>
      <c r="P2185" s="184"/>
      <c r="Q2185" s="184"/>
      <c r="R2185" s="184"/>
    </row>
    <row r="2186" spans="1:18" s="18" customFormat="1" ht="24.75" hidden="1" customHeight="1">
      <c r="A2186" s="82" t="s">
        <v>323</v>
      </c>
      <c r="B2186" s="149">
        <v>795</v>
      </c>
      <c r="C2186" s="84" t="s">
        <v>54</v>
      </c>
      <c r="D2186" s="84" t="s">
        <v>123</v>
      </c>
      <c r="E2186" s="84" t="s">
        <v>906</v>
      </c>
      <c r="F2186" s="84" t="s">
        <v>37</v>
      </c>
      <c r="G2186" s="87">
        <f t="shared" ref="G2186:I2186" si="547">G2187</f>
        <v>0</v>
      </c>
      <c r="H2186" s="87">
        <f t="shared" si="547"/>
        <v>0</v>
      </c>
      <c r="I2186" s="87">
        <f t="shared" si="547"/>
        <v>0</v>
      </c>
      <c r="J2186" s="177"/>
      <c r="K2186" s="184"/>
      <c r="L2186" s="184"/>
      <c r="M2186" s="184"/>
      <c r="N2186" s="184"/>
      <c r="O2186" s="184"/>
      <c r="P2186" s="184"/>
      <c r="Q2186" s="184"/>
      <c r="R2186" s="184"/>
    </row>
    <row r="2187" spans="1:18" s="18" customFormat="1" ht="30.75" hidden="1" customHeight="1">
      <c r="A2187" s="82" t="s">
        <v>38</v>
      </c>
      <c r="B2187" s="149">
        <v>795</v>
      </c>
      <c r="C2187" s="84" t="s">
        <v>54</v>
      </c>
      <c r="D2187" s="84" t="s">
        <v>123</v>
      </c>
      <c r="E2187" s="84" t="s">
        <v>906</v>
      </c>
      <c r="F2187" s="84" t="s">
        <v>39</v>
      </c>
      <c r="G2187" s="87"/>
      <c r="H2187" s="87"/>
      <c r="I2187" s="87"/>
      <c r="J2187" s="177"/>
      <c r="K2187" s="184"/>
      <c r="L2187" s="184"/>
      <c r="M2187" s="184"/>
      <c r="N2187" s="184"/>
      <c r="O2187" s="184"/>
      <c r="P2187" s="184"/>
      <c r="Q2187" s="184"/>
      <c r="R2187" s="184"/>
    </row>
    <row r="2188" spans="1:18" ht="22.5" hidden="1" customHeight="1">
      <c r="A2188" s="82" t="s">
        <v>156</v>
      </c>
      <c r="B2188" s="149">
        <v>795</v>
      </c>
      <c r="C2188" s="84" t="s">
        <v>54</v>
      </c>
      <c r="D2188" s="84" t="s">
        <v>123</v>
      </c>
      <c r="E2188" s="84" t="s">
        <v>623</v>
      </c>
      <c r="F2188" s="84" t="s">
        <v>157</v>
      </c>
      <c r="G2188" s="87">
        <f>G2189</f>
        <v>0</v>
      </c>
      <c r="H2188" s="87">
        <f t="shared" ref="H2188:I2188" si="548">H2189</f>
        <v>0</v>
      </c>
      <c r="I2188" s="87">
        <f t="shared" si="548"/>
        <v>0</v>
      </c>
      <c r="J2188" s="177"/>
      <c r="K2188" s="69"/>
      <c r="L2188" s="69"/>
      <c r="M2188" s="69"/>
      <c r="N2188" s="69"/>
      <c r="O2188" s="69"/>
      <c r="P2188" s="69"/>
      <c r="Q2188" s="69"/>
      <c r="R2188" s="69"/>
    </row>
    <row r="2189" spans="1:18" ht="16.5" hidden="1" customHeight="1">
      <c r="A2189" s="82" t="s">
        <v>178</v>
      </c>
      <c r="B2189" s="149">
        <v>795</v>
      </c>
      <c r="C2189" s="84" t="s">
        <v>54</v>
      </c>
      <c r="D2189" s="84" t="s">
        <v>123</v>
      </c>
      <c r="E2189" s="84" t="s">
        <v>623</v>
      </c>
      <c r="F2189" s="84" t="s">
        <v>179</v>
      </c>
      <c r="G2189" s="87"/>
      <c r="H2189" s="127"/>
      <c r="I2189" s="127"/>
      <c r="J2189" s="198"/>
      <c r="K2189" s="69"/>
      <c r="L2189" s="69"/>
      <c r="M2189" s="69"/>
      <c r="N2189" s="69"/>
      <c r="O2189" s="69"/>
      <c r="P2189" s="69"/>
      <c r="Q2189" s="69"/>
      <c r="R2189" s="69"/>
    </row>
    <row r="2190" spans="1:18" ht="18.75" customHeight="1">
      <c r="A2190" s="82" t="s">
        <v>87</v>
      </c>
      <c r="B2190" s="149">
        <v>795</v>
      </c>
      <c r="C2190" s="84" t="s">
        <v>54</v>
      </c>
      <c r="D2190" s="84" t="s">
        <v>88</v>
      </c>
      <c r="E2190" s="84"/>
      <c r="F2190" s="149"/>
      <c r="G2190" s="87">
        <f>G2191</f>
        <v>129909.92</v>
      </c>
      <c r="H2190" s="87">
        <f t="shared" ref="H2190:I2191" si="549">H2191</f>
        <v>0</v>
      </c>
      <c r="I2190" s="87">
        <f t="shared" si="549"/>
        <v>0</v>
      </c>
      <c r="J2190" s="177"/>
      <c r="K2190" s="176"/>
      <c r="L2190" s="176"/>
      <c r="M2190" s="176"/>
      <c r="N2190" s="176"/>
      <c r="O2190" s="176"/>
      <c r="P2190" s="69"/>
      <c r="Q2190" s="69"/>
      <c r="R2190" s="69"/>
    </row>
    <row r="2191" spans="1:18" ht="54" customHeight="1">
      <c r="A2191" s="82" t="s">
        <v>494</v>
      </c>
      <c r="B2191" s="149">
        <v>795</v>
      </c>
      <c r="C2191" s="84" t="s">
        <v>54</v>
      </c>
      <c r="D2191" s="84" t="s">
        <v>88</v>
      </c>
      <c r="E2191" s="84" t="s">
        <v>295</v>
      </c>
      <c r="F2191" s="84"/>
      <c r="G2191" s="87">
        <f>G2192</f>
        <v>129909.92</v>
      </c>
      <c r="H2191" s="87">
        <f t="shared" si="549"/>
        <v>0</v>
      </c>
      <c r="I2191" s="87">
        <f t="shared" si="549"/>
        <v>0</v>
      </c>
      <c r="J2191" s="177"/>
      <c r="K2191" s="69"/>
      <c r="L2191" s="69"/>
      <c r="M2191" s="69"/>
      <c r="N2191" s="69"/>
      <c r="O2191" s="69"/>
      <c r="P2191" s="69"/>
      <c r="Q2191" s="69"/>
      <c r="R2191" s="69"/>
    </row>
    <row r="2192" spans="1:18" ht="35.25" customHeight="1">
      <c r="A2192" s="139" t="s">
        <v>76</v>
      </c>
      <c r="B2192" s="149">
        <v>795</v>
      </c>
      <c r="C2192" s="84" t="s">
        <v>54</v>
      </c>
      <c r="D2192" s="84" t="s">
        <v>88</v>
      </c>
      <c r="E2192" s="84" t="s">
        <v>282</v>
      </c>
      <c r="F2192" s="84"/>
      <c r="G2192" s="87">
        <f>G2195+G2193+G2197</f>
        <v>129909.92</v>
      </c>
      <c r="H2192" s="87">
        <f t="shared" ref="H2192:I2192" si="550">H2195+H2193</f>
        <v>0</v>
      </c>
      <c r="I2192" s="87">
        <f t="shared" si="550"/>
        <v>0</v>
      </c>
      <c r="J2192" s="178"/>
      <c r="K2192" s="69"/>
      <c r="L2192" s="69"/>
      <c r="M2192" s="69"/>
      <c r="N2192" s="69"/>
      <c r="O2192" s="69"/>
      <c r="P2192" s="69"/>
      <c r="Q2192" s="69"/>
      <c r="R2192" s="69"/>
    </row>
    <row r="2193" spans="1:18" s="3" customFormat="1" ht="63.75">
      <c r="A2193" s="146" t="s">
        <v>55</v>
      </c>
      <c r="B2193" s="149">
        <v>795</v>
      </c>
      <c r="C2193" s="84" t="s">
        <v>54</v>
      </c>
      <c r="D2193" s="84" t="s">
        <v>88</v>
      </c>
      <c r="E2193" s="84" t="s">
        <v>282</v>
      </c>
      <c r="F2193" s="84" t="s">
        <v>58</v>
      </c>
      <c r="G2193" s="87">
        <f>G2194</f>
        <v>38392.979999999996</v>
      </c>
      <c r="H2193" s="87">
        <f>H2194</f>
        <v>0</v>
      </c>
      <c r="I2193" s="87">
        <f>I2194</f>
        <v>0</v>
      </c>
      <c r="J2193" s="177"/>
      <c r="K2193" s="199"/>
      <c r="L2193" s="199"/>
      <c r="M2193" s="199"/>
      <c r="N2193" s="199"/>
      <c r="O2193" s="199"/>
      <c r="P2193" s="199"/>
      <c r="Q2193" s="222"/>
      <c r="R2193" s="199"/>
    </row>
    <row r="2194" spans="1:18" s="3" customFormat="1" ht="25.5">
      <c r="A2194" s="146" t="s">
        <v>56</v>
      </c>
      <c r="B2194" s="149">
        <v>795</v>
      </c>
      <c r="C2194" s="84" t="s">
        <v>54</v>
      </c>
      <c r="D2194" s="84" t="s">
        <v>88</v>
      </c>
      <c r="E2194" s="84" t="s">
        <v>282</v>
      </c>
      <c r="F2194" s="84" t="s">
        <v>59</v>
      </c>
      <c r="G2194" s="87">
        <f>43000-123.8-4483.22</f>
        <v>38392.979999999996</v>
      </c>
      <c r="H2194" s="87">
        <v>0</v>
      </c>
      <c r="I2194" s="87">
        <v>0</v>
      </c>
      <c r="J2194" s="177"/>
      <c r="K2194" s="199"/>
      <c r="L2194" s="199"/>
      <c r="M2194" s="199"/>
      <c r="N2194" s="199"/>
      <c r="O2194" s="199"/>
      <c r="P2194" s="199"/>
      <c r="Q2194" s="222"/>
      <c r="R2194" s="199"/>
    </row>
    <row r="2195" spans="1:18" ht="30.75" customHeight="1">
      <c r="A2195" s="82" t="s">
        <v>456</v>
      </c>
      <c r="B2195" s="149">
        <v>795</v>
      </c>
      <c r="C2195" s="84" t="s">
        <v>54</v>
      </c>
      <c r="D2195" s="84" t="s">
        <v>88</v>
      </c>
      <c r="E2195" s="84" t="s">
        <v>282</v>
      </c>
      <c r="F2195" s="84" t="s">
        <v>37</v>
      </c>
      <c r="G2195" s="87">
        <f>G2196</f>
        <v>91393.14</v>
      </c>
      <c r="H2195" s="85">
        <v>0</v>
      </c>
      <c r="I2195" s="85">
        <v>0</v>
      </c>
      <c r="J2195" s="178"/>
      <c r="K2195" s="69"/>
      <c r="L2195" s="69"/>
      <c r="M2195" s="69"/>
      <c r="N2195" s="69"/>
      <c r="O2195" s="69"/>
      <c r="P2195" s="69"/>
      <c r="Q2195" s="69"/>
      <c r="R2195" s="69"/>
    </row>
    <row r="2196" spans="1:18" ht="38.25" customHeight="1">
      <c r="A2196" s="82" t="s">
        <v>38</v>
      </c>
      <c r="B2196" s="149">
        <v>795</v>
      </c>
      <c r="C2196" s="84" t="s">
        <v>54</v>
      </c>
      <c r="D2196" s="84" t="s">
        <v>88</v>
      </c>
      <c r="E2196" s="84" t="s">
        <v>282</v>
      </c>
      <c r="F2196" s="84" t="s">
        <v>39</v>
      </c>
      <c r="G2196" s="87">
        <f>69040.92+17869+4483.22</f>
        <v>91393.14</v>
      </c>
      <c r="H2196" s="85">
        <v>0</v>
      </c>
      <c r="I2196" s="85">
        <v>0</v>
      </c>
      <c r="J2196" s="178"/>
      <c r="K2196" s="69"/>
      <c r="L2196" s="69"/>
      <c r="M2196" s="69"/>
      <c r="N2196" s="69"/>
      <c r="O2196" s="69"/>
      <c r="P2196" s="69"/>
      <c r="Q2196" s="69"/>
      <c r="R2196" s="69"/>
    </row>
    <row r="2197" spans="1:18" ht="26.25" customHeight="1">
      <c r="A2197" s="82" t="s">
        <v>63</v>
      </c>
      <c r="B2197" s="149">
        <v>795</v>
      </c>
      <c r="C2197" s="84" t="s">
        <v>54</v>
      </c>
      <c r="D2197" s="84" t="s">
        <v>88</v>
      </c>
      <c r="E2197" s="84" t="s">
        <v>282</v>
      </c>
      <c r="F2197" s="84" t="s">
        <v>64</v>
      </c>
      <c r="G2197" s="87">
        <f>G2198</f>
        <v>123.8</v>
      </c>
      <c r="H2197" s="85"/>
      <c r="I2197" s="85"/>
      <c r="J2197" s="178"/>
      <c r="K2197" s="69"/>
      <c r="L2197" s="69"/>
      <c r="M2197" s="69"/>
      <c r="N2197" s="69"/>
      <c r="O2197" s="69"/>
      <c r="P2197" s="69"/>
      <c r="Q2197" s="69"/>
      <c r="R2197" s="69"/>
    </row>
    <row r="2198" spans="1:18" ht="21" customHeight="1">
      <c r="A2198" s="82" t="s">
        <v>144</v>
      </c>
      <c r="B2198" s="149">
        <v>795</v>
      </c>
      <c r="C2198" s="84" t="s">
        <v>54</v>
      </c>
      <c r="D2198" s="84" t="s">
        <v>88</v>
      </c>
      <c r="E2198" s="84" t="s">
        <v>282</v>
      </c>
      <c r="F2198" s="84" t="s">
        <v>67</v>
      </c>
      <c r="G2198" s="87">
        <v>123.8</v>
      </c>
      <c r="H2198" s="85"/>
      <c r="I2198" s="85"/>
      <c r="J2198" s="178"/>
      <c r="K2198" s="69"/>
      <c r="L2198" s="69"/>
      <c r="M2198" s="69"/>
      <c r="N2198" s="69"/>
      <c r="O2198" s="69"/>
      <c r="P2198" s="69"/>
      <c r="Q2198" s="69"/>
      <c r="R2198" s="69"/>
    </row>
    <row r="2199" spans="1:18">
      <c r="A2199" s="134" t="s">
        <v>346</v>
      </c>
      <c r="B2199" s="155">
        <v>795</v>
      </c>
      <c r="C2199" s="270" t="s">
        <v>173</v>
      </c>
      <c r="D2199" s="270"/>
      <c r="E2199" s="270"/>
      <c r="F2199" s="270"/>
      <c r="G2199" s="267">
        <f>G2443+G2337+G2563+G2586+G2200+G2291+G2364+G2225+G2243</f>
        <v>639275.65</v>
      </c>
      <c r="H2199" s="267">
        <f>H2443+H2337+H2563+H2586+H2200+H2291+H2364</f>
        <v>0</v>
      </c>
      <c r="I2199" s="267">
        <f>I2443+I2337+I2563+I2586+I2200+I2291+I2364</f>
        <v>0</v>
      </c>
      <c r="J2199" s="191"/>
      <c r="K2199" s="69"/>
      <c r="L2199" s="69"/>
      <c r="M2199" s="69"/>
      <c r="N2199" s="69"/>
      <c r="O2199" s="69"/>
      <c r="P2199" s="250"/>
      <c r="Q2199" s="250"/>
      <c r="R2199" s="69"/>
    </row>
    <row r="2200" spans="1:18">
      <c r="A2200" s="132" t="s">
        <v>174</v>
      </c>
      <c r="B2200" s="149">
        <v>795</v>
      </c>
      <c r="C2200" s="153" t="s">
        <v>173</v>
      </c>
      <c r="D2200" s="153" t="s">
        <v>19</v>
      </c>
      <c r="E2200" s="270"/>
      <c r="F2200" s="270"/>
      <c r="G2200" s="94">
        <f>G2201+G2215</f>
        <v>158888.71</v>
      </c>
      <c r="H2200" s="94">
        <f>H2201+H2256</f>
        <v>0</v>
      </c>
      <c r="I2200" s="94">
        <f>I2201+I2256</f>
        <v>0</v>
      </c>
      <c r="J2200" s="194"/>
      <c r="K2200" s="251"/>
      <c r="L2200" s="251"/>
      <c r="M2200" s="251"/>
      <c r="N2200" s="251"/>
      <c r="O2200" s="251"/>
      <c r="P2200" s="69"/>
      <c r="Q2200" s="69"/>
      <c r="R2200" s="69"/>
    </row>
    <row r="2201" spans="1:18" ht="51">
      <c r="A2201" s="82" t="s">
        <v>494</v>
      </c>
      <c r="B2201" s="149">
        <v>795</v>
      </c>
      <c r="C2201" s="84" t="s">
        <v>173</v>
      </c>
      <c r="D2201" s="84" t="s">
        <v>19</v>
      </c>
      <c r="E2201" s="84" t="s">
        <v>295</v>
      </c>
      <c r="F2201" s="84"/>
      <c r="G2201" s="87">
        <f>G2209+G2212</f>
        <v>48888.71</v>
      </c>
      <c r="H2201" s="87">
        <f>H2204+H2208+H2211+H2255+H2250</f>
        <v>0</v>
      </c>
      <c r="I2201" s="87">
        <f>I2204+I2208+I2211+I2255+I2250</f>
        <v>0</v>
      </c>
      <c r="J2201" s="177"/>
      <c r="K2201" s="69"/>
      <c r="L2201" s="69"/>
      <c r="M2201" s="69"/>
      <c r="N2201" s="69"/>
      <c r="O2201" s="69"/>
      <c r="P2201" s="69"/>
      <c r="Q2201" s="69"/>
      <c r="R2201" s="69"/>
    </row>
    <row r="2202" spans="1:18" s="18" customFormat="1" ht="20.25" hidden="1" customHeight="1">
      <c r="A2202" s="82" t="s">
        <v>85</v>
      </c>
      <c r="B2202" s="149">
        <v>795</v>
      </c>
      <c r="C2202" s="84" t="s">
        <v>173</v>
      </c>
      <c r="D2202" s="84" t="s">
        <v>19</v>
      </c>
      <c r="E2202" s="84" t="s">
        <v>84</v>
      </c>
      <c r="F2202" s="84"/>
      <c r="G2202" s="87">
        <f t="shared" ref="G2202:I2203" si="551">G2203</f>
        <v>0</v>
      </c>
      <c r="H2202" s="87">
        <f t="shared" si="551"/>
        <v>0</v>
      </c>
      <c r="I2202" s="87">
        <f t="shared" si="551"/>
        <v>0</v>
      </c>
      <c r="J2202" s="177"/>
      <c r="K2202" s="184"/>
      <c r="L2202" s="184"/>
      <c r="M2202" s="184"/>
      <c r="N2202" s="184"/>
      <c r="O2202" s="184"/>
      <c r="P2202" s="184"/>
      <c r="Q2202" s="184"/>
      <c r="R2202" s="184"/>
    </row>
    <row r="2203" spans="1:18" ht="30.75" hidden="1" customHeight="1">
      <c r="A2203" s="82" t="s">
        <v>36</v>
      </c>
      <c r="B2203" s="149">
        <v>795</v>
      </c>
      <c r="C2203" s="84" t="s">
        <v>173</v>
      </c>
      <c r="D2203" s="84" t="s">
        <v>19</v>
      </c>
      <c r="E2203" s="84" t="s">
        <v>84</v>
      </c>
      <c r="F2203" s="84" t="s">
        <v>37</v>
      </c>
      <c r="G2203" s="87">
        <f t="shared" si="551"/>
        <v>0</v>
      </c>
      <c r="H2203" s="87">
        <f t="shared" si="551"/>
        <v>0</v>
      </c>
      <c r="I2203" s="87">
        <f t="shared" si="551"/>
        <v>0</v>
      </c>
      <c r="J2203" s="177"/>
      <c r="K2203" s="69"/>
      <c r="L2203" s="69"/>
      <c r="M2203" s="69"/>
      <c r="N2203" s="69"/>
      <c r="O2203" s="69"/>
      <c r="P2203" s="69"/>
      <c r="Q2203" s="69"/>
      <c r="R2203" s="69"/>
    </row>
    <row r="2204" spans="1:18" s="18" customFormat="1" ht="34.5" hidden="1" customHeight="1">
      <c r="A2204" s="82" t="s">
        <v>38</v>
      </c>
      <c r="B2204" s="149">
        <v>795</v>
      </c>
      <c r="C2204" s="84" t="s">
        <v>173</v>
      </c>
      <c r="D2204" s="84" t="s">
        <v>19</v>
      </c>
      <c r="E2204" s="84" t="s">
        <v>84</v>
      </c>
      <c r="F2204" s="84" t="s">
        <v>39</v>
      </c>
      <c r="G2204" s="87"/>
      <c r="H2204" s="87"/>
      <c r="I2204" s="87"/>
      <c r="J2204" s="177"/>
      <c r="K2204" s="184"/>
      <c r="L2204" s="184"/>
      <c r="M2204" s="184"/>
      <c r="N2204" s="184"/>
      <c r="O2204" s="184"/>
      <c r="P2204" s="184"/>
      <c r="Q2204" s="184"/>
      <c r="R2204" s="184"/>
    </row>
    <row r="2205" spans="1:18" s="3" customFormat="1" ht="52.5" hidden="1" customHeight="1">
      <c r="A2205" s="82"/>
      <c r="B2205" s="149">
        <v>795</v>
      </c>
      <c r="C2205" s="84"/>
      <c r="D2205" s="84"/>
      <c r="E2205" s="84"/>
      <c r="F2205" s="84"/>
      <c r="G2205" s="87"/>
      <c r="H2205" s="87"/>
      <c r="I2205" s="87"/>
      <c r="J2205" s="177"/>
      <c r="K2205" s="62"/>
      <c r="L2205" s="62"/>
      <c r="M2205" s="62"/>
      <c r="N2205" s="62"/>
      <c r="O2205" s="62"/>
      <c r="P2205" s="62"/>
      <c r="Q2205" s="62"/>
      <c r="R2205" s="62"/>
    </row>
    <row r="2206" spans="1:18" s="18" customFormat="1" ht="63" hidden="1" customHeight="1">
      <c r="A2206" s="82" t="s">
        <v>81</v>
      </c>
      <c r="B2206" s="149">
        <v>795</v>
      </c>
      <c r="C2206" s="84" t="s">
        <v>173</v>
      </c>
      <c r="D2206" s="84" t="s">
        <v>19</v>
      </c>
      <c r="E2206" s="84" t="s">
        <v>80</v>
      </c>
      <c r="F2206" s="84"/>
      <c r="G2206" s="87">
        <f t="shared" ref="G2206:I2207" si="552">G2207</f>
        <v>0</v>
      </c>
      <c r="H2206" s="87">
        <f t="shared" si="552"/>
        <v>0</v>
      </c>
      <c r="I2206" s="87">
        <f t="shared" si="552"/>
        <v>0</v>
      </c>
      <c r="J2206" s="177"/>
      <c r="K2206" s="184"/>
      <c r="L2206" s="184"/>
      <c r="M2206" s="184"/>
      <c r="N2206" s="184"/>
      <c r="O2206" s="184"/>
      <c r="P2206" s="184"/>
      <c r="Q2206" s="184"/>
      <c r="R2206" s="184"/>
    </row>
    <row r="2207" spans="1:18" ht="30.75" hidden="1" customHeight="1">
      <c r="A2207" s="82" t="s">
        <v>36</v>
      </c>
      <c r="B2207" s="149">
        <v>795</v>
      </c>
      <c r="C2207" s="84" t="s">
        <v>173</v>
      </c>
      <c r="D2207" s="84" t="s">
        <v>19</v>
      </c>
      <c r="E2207" s="84" t="s">
        <v>80</v>
      </c>
      <c r="F2207" s="84" t="s">
        <v>37</v>
      </c>
      <c r="G2207" s="87">
        <f t="shared" si="552"/>
        <v>0</v>
      </c>
      <c r="H2207" s="87">
        <f t="shared" si="552"/>
        <v>0</v>
      </c>
      <c r="I2207" s="87">
        <f t="shared" si="552"/>
        <v>0</v>
      </c>
      <c r="J2207" s="177"/>
      <c r="K2207" s="69"/>
      <c r="L2207" s="69"/>
      <c r="M2207" s="69"/>
      <c r="N2207" s="69"/>
      <c r="O2207" s="69"/>
      <c r="P2207" s="69"/>
      <c r="Q2207" s="69"/>
      <c r="R2207" s="69"/>
    </row>
    <row r="2208" spans="1:18" s="18" customFormat="1" ht="34.5" hidden="1" customHeight="1">
      <c r="A2208" s="82" t="s">
        <v>38</v>
      </c>
      <c r="B2208" s="149">
        <v>795</v>
      </c>
      <c r="C2208" s="84" t="s">
        <v>173</v>
      </c>
      <c r="D2208" s="84" t="s">
        <v>19</v>
      </c>
      <c r="E2208" s="84" t="s">
        <v>80</v>
      </c>
      <c r="F2208" s="84" t="s">
        <v>39</v>
      </c>
      <c r="G2208" s="87"/>
      <c r="H2208" s="87"/>
      <c r="I2208" s="87"/>
      <c r="J2208" s="177"/>
      <c r="K2208" s="184"/>
      <c r="L2208" s="184"/>
      <c r="M2208" s="184"/>
      <c r="N2208" s="184"/>
      <c r="O2208" s="184"/>
      <c r="P2208" s="184"/>
      <c r="Q2208" s="184"/>
      <c r="R2208" s="184"/>
    </row>
    <row r="2209" spans="1:18" s="18" customFormat="1" ht="35.25" customHeight="1">
      <c r="A2209" s="82" t="s">
        <v>85</v>
      </c>
      <c r="B2209" s="149">
        <v>795</v>
      </c>
      <c r="C2209" s="84" t="s">
        <v>173</v>
      </c>
      <c r="D2209" s="84" t="s">
        <v>19</v>
      </c>
      <c r="E2209" s="84" t="s">
        <v>84</v>
      </c>
      <c r="F2209" s="84"/>
      <c r="G2209" s="87">
        <f t="shared" ref="G2209:I2213" si="553">G2210</f>
        <v>38764.49</v>
      </c>
      <c r="H2209" s="87">
        <f t="shared" si="553"/>
        <v>0</v>
      </c>
      <c r="I2209" s="87">
        <f t="shared" si="553"/>
        <v>0</v>
      </c>
      <c r="J2209" s="177"/>
      <c r="K2209" s="184"/>
      <c r="L2209" s="184"/>
      <c r="M2209" s="184"/>
      <c r="N2209" s="184"/>
      <c r="O2209" s="184"/>
      <c r="P2209" s="184"/>
      <c r="Q2209" s="184"/>
      <c r="R2209" s="184"/>
    </row>
    <row r="2210" spans="1:18" ht="35.25" customHeight="1">
      <c r="A2210" s="82" t="s">
        <v>36</v>
      </c>
      <c r="B2210" s="149">
        <v>795</v>
      </c>
      <c r="C2210" s="84" t="s">
        <v>173</v>
      </c>
      <c r="D2210" s="84" t="s">
        <v>19</v>
      </c>
      <c r="E2210" s="84" t="s">
        <v>84</v>
      </c>
      <c r="F2210" s="84" t="s">
        <v>37</v>
      </c>
      <c r="G2210" s="87">
        <f t="shared" si="553"/>
        <v>38764.49</v>
      </c>
      <c r="H2210" s="87">
        <f t="shared" si="553"/>
        <v>0</v>
      </c>
      <c r="I2210" s="87">
        <f t="shared" si="553"/>
        <v>0</v>
      </c>
      <c r="J2210" s="177"/>
      <c r="K2210" s="69"/>
      <c r="L2210" s="69"/>
      <c r="M2210" s="69"/>
      <c r="N2210" s="69"/>
      <c r="O2210" s="69"/>
      <c r="P2210" s="69"/>
      <c r="Q2210" s="69"/>
      <c r="R2210" s="69"/>
    </row>
    <row r="2211" spans="1:18" s="18" customFormat="1" ht="35.25" customHeight="1">
      <c r="A2211" s="82" t="s">
        <v>38</v>
      </c>
      <c r="B2211" s="149">
        <v>795</v>
      </c>
      <c r="C2211" s="84" t="s">
        <v>173</v>
      </c>
      <c r="D2211" s="84" t="s">
        <v>19</v>
      </c>
      <c r="E2211" s="84" t="s">
        <v>84</v>
      </c>
      <c r="F2211" s="84" t="s">
        <v>39</v>
      </c>
      <c r="G2211" s="87">
        <v>38764.49</v>
      </c>
      <c r="H2211" s="87">
        <v>0</v>
      </c>
      <c r="I2211" s="87">
        <v>0</v>
      </c>
      <c r="J2211" s="177"/>
      <c r="K2211" s="184"/>
      <c r="L2211" s="184"/>
      <c r="M2211" s="184"/>
      <c r="N2211" s="184"/>
      <c r="O2211" s="184"/>
      <c r="P2211" s="184"/>
      <c r="Q2211" s="184"/>
      <c r="R2211" s="184"/>
    </row>
    <row r="2212" spans="1:18" s="18" customFormat="1" ht="60.75" customHeight="1">
      <c r="A2212" s="82" t="s">
        <v>81</v>
      </c>
      <c r="B2212" s="149">
        <v>795</v>
      </c>
      <c r="C2212" s="84" t="s">
        <v>173</v>
      </c>
      <c r="D2212" s="84" t="s">
        <v>19</v>
      </c>
      <c r="E2212" s="84" t="s">
        <v>80</v>
      </c>
      <c r="F2212" s="84"/>
      <c r="G2212" s="87">
        <f t="shared" si="553"/>
        <v>10124.220000000001</v>
      </c>
      <c r="H2212" s="87">
        <f t="shared" si="553"/>
        <v>0</v>
      </c>
      <c r="I2212" s="87">
        <f t="shared" si="553"/>
        <v>0</v>
      </c>
      <c r="J2212" s="177"/>
      <c r="K2212" s="184"/>
      <c r="L2212" s="184"/>
      <c r="M2212" s="184"/>
      <c r="N2212" s="184"/>
      <c r="O2212" s="184"/>
      <c r="P2212" s="184"/>
      <c r="Q2212" s="184"/>
      <c r="R2212" s="184"/>
    </row>
    <row r="2213" spans="1:18" ht="35.25" customHeight="1">
      <c r="A2213" s="82" t="s">
        <v>36</v>
      </c>
      <c r="B2213" s="149">
        <v>795</v>
      </c>
      <c r="C2213" s="84" t="s">
        <v>173</v>
      </c>
      <c r="D2213" s="84" t="s">
        <v>19</v>
      </c>
      <c r="E2213" s="84" t="s">
        <v>80</v>
      </c>
      <c r="F2213" s="84" t="s">
        <v>37</v>
      </c>
      <c r="G2213" s="87">
        <f t="shared" si="553"/>
        <v>10124.220000000001</v>
      </c>
      <c r="H2213" s="87">
        <f t="shared" si="553"/>
        <v>0</v>
      </c>
      <c r="I2213" s="87">
        <f t="shared" si="553"/>
        <v>0</v>
      </c>
      <c r="J2213" s="177"/>
      <c r="K2213" s="69"/>
      <c r="L2213" s="69"/>
      <c r="M2213" s="69"/>
      <c r="N2213" s="69"/>
      <c r="O2213" s="69"/>
      <c r="P2213" s="69"/>
      <c r="Q2213" s="69"/>
      <c r="R2213" s="69"/>
    </row>
    <row r="2214" spans="1:18" s="18" customFormat="1" ht="35.25" customHeight="1">
      <c r="A2214" s="82" t="s">
        <v>38</v>
      </c>
      <c r="B2214" s="149">
        <v>795</v>
      </c>
      <c r="C2214" s="84" t="s">
        <v>173</v>
      </c>
      <c r="D2214" s="84" t="s">
        <v>19</v>
      </c>
      <c r="E2214" s="84" t="s">
        <v>80</v>
      </c>
      <c r="F2214" s="84" t="s">
        <v>39</v>
      </c>
      <c r="G2214" s="87">
        <f>203124.22-193000</f>
        <v>10124.220000000001</v>
      </c>
      <c r="H2214" s="87">
        <v>0</v>
      </c>
      <c r="I2214" s="87">
        <v>0</v>
      </c>
      <c r="J2214" s="177"/>
      <c r="K2214" s="184"/>
      <c r="L2214" s="184"/>
      <c r="M2214" s="184"/>
      <c r="N2214" s="184"/>
      <c r="O2214" s="184"/>
      <c r="P2214" s="184"/>
      <c r="Q2214" s="184"/>
      <c r="R2214" s="184"/>
    </row>
    <row r="2215" spans="1:18" s="18" customFormat="1" ht="51">
      <c r="A2215" s="82" t="s">
        <v>513</v>
      </c>
      <c r="B2215" s="149">
        <v>795</v>
      </c>
      <c r="C2215" s="153" t="s">
        <v>173</v>
      </c>
      <c r="D2215" s="153" t="s">
        <v>19</v>
      </c>
      <c r="E2215" s="84" t="s">
        <v>214</v>
      </c>
      <c r="F2215" s="84"/>
      <c r="G2215" s="87">
        <f>G2222</f>
        <v>110000</v>
      </c>
      <c r="H2215" s="87">
        <f>H2216+H2222+H2219+H2251+H2256</f>
        <v>0</v>
      </c>
      <c r="I2215" s="87">
        <f>I2216+I2222+I2219+I2251+I2256</f>
        <v>0</v>
      </c>
      <c r="J2215" s="177"/>
      <c r="K2215" s="184"/>
      <c r="L2215" s="184"/>
      <c r="M2215" s="184"/>
      <c r="N2215" s="184"/>
      <c r="O2215" s="184"/>
      <c r="P2215" s="184"/>
      <c r="Q2215" s="184"/>
      <c r="R2215" s="184"/>
    </row>
    <row r="2216" spans="1:18" s="18" customFormat="1" ht="89.25" hidden="1">
      <c r="A2216" s="82" t="s">
        <v>438</v>
      </c>
      <c r="B2216" s="149">
        <v>795</v>
      </c>
      <c r="C2216" s="153" t="s">
        <v>173</v>
      </c>
      <c r="D2216" s="153" t="s">
        <v>19</v>
      </c>
      <c r="E2216" s="84" t="s">
        <v>524</v>
      </c>
      <c r="F2216" s="84"/>
      <c r="G2216" s="87">
        <f>G2217</f>
        <v>0</v>
      </c>
      <c r="H2216" s="87">
        <f t="shared" ref="H2216:I2220" si="554">H2217</f>
        <v>0</v>
      </c>
      <c r="I2216" s="87">
        <f t="shared" si="554"/>
        <v>0</v>
      </c>
      <c r="J2216" s="177"/>
      <c r="K2216" s="184"/>
      <c r="L2216" s="184"/>
      <c r="M2216" s="184"/>
      <c r="N2216" s="184"/>
      <c r="O2216" s="184"/>
      <c r="P2216" s="184"/>
      <c r="Q2216" s="184"/>
      <c r="R2216" s="184"/>
    </row>
    <row r="2217" spans="1:18" s="18" customFormat="1" ht="23.25" hidden="1" customHeight="1">
      <c r="A2217" s="82" t="s">
        <v>63</v>
      </c>
      <c r="B2217" s="149">
        <v>795</v>
      </c>
      <c r="C2217" s="153" t="s">
        <v>173</v>
      </c>
      <c r="D2217" s="153" t="s">
        <v>19</v>
      </c>
      <c r="E2217" s="84" t="s">
        <v>524</v>
      </c>
      <c r="F2217" s="84" t="s">
        <v>64</v>
      </c>
      <c r="G2217" s="87">
        <f>G2218</f>
        <v>0</v>
      </c>
      <c r="H2217" s="87">
        <f t="shared" si="554"/>
        <v>0</v>
      </c>
      <c r="I2217" s="87">
        <f t="shared" si="554"/>
        <v>0</v>
      </c>
      <c r="J2217" s="177"/>
      <c r="K2217" s="184"/>
      <c r="L2217" s="184"/>
      <c r="M2217" s="184"/>
      <c r="N2217" s="184"/>
      <c r="O2217" s="184"/>
      <c r="P2217" s="184"/>
      <c r="Q2217" s="184"/>
      <c r="R2217" s="184"/>
    </row>
    <row r="2218" spans="1:18" s="18" customFormat="1" ht="20.25" hidden="1" customHeight="1">
      <c r="A2218" s="133" t="s">
        <v>144</v>
      </c>
      <c r="B2218" s="149">
        <v>795</v>
      </c>
      <c r="C2218" s="153" t="s">
        <v>173</v>
      </c>
      <c r="D2218" s="153" t="s">
        <v>19</v>
      </c>
      <c r="E2218" s="84" t="s">
        <v>524</v>
      </c>
      <c r="F2218" s="84" t="s">
        <v>67</v>
      </c>
      <c r="G2218" s="87"/>
      <c r="H2218" s="87"/>
      <c r="I2218" s="87"/>
      <c r="J2218" s="177"/>
      <c r="K2218" s="184"/>
      <c r="L2218" s="184"/>
      <c r="M2218" s="184"/>
      <c r="N2218" s="184"/>
      <c r="O2218" s="184"/>
      <c r="P2218" s="184"/>
      <c r="Q2218" s="184"/>
      <c r="R2218" s="184"/>
    </row>
    <row r="2219" spans="1:18" s="18" customFormat="1" ht="76.5" hidden="1">
      <c r="A2219" s="82" t="s">
        <v>439</v>
      </c>
      <c r="B2219" s="149">
        <v>795</v>
      </c>
      <c r="C2219" s="153" t="s">
        <v>173</v>
      </c>
      <c r="D2219" s="153" t="s">
        <v>19</v>
      </c>
      <c r="E2219" s="84" t="s">
        <v>525</v>
      </c>
      <c r="F2219" s="84"/>
      <c r="G2219" s="87">
        <f>G2220</f>
        <v>0</v>
      </c>
      <c r="H2219" s="87">
        <f t="shared" si="554"/>
        <v>0</v>
      </c>
      <c r="I2219" s="87">
        <f t="shared" si="554"/>
        <v>0</v>
      </c>
      <c r="J2219" s="177"/>
      <c r="K2219" s="184"/>
      <c r="L2219" s="184"/>
      <c r="M2219" s="184"/>
      <c r="N2219" s="184"/>
      <c r="O2219" s="184"/>
      <c r="P2219" s="184"/>
      <c r="Q2219" s="184"/>
      <c r="R2219" s="184"/>
    </row>
    <row r="2220" spans="1:18" s="18" customFormat="1" ht="22.5" hidden="1" customHeight="1">
      <c r="A2220" s="82" t="s">
        <v>63</v>
      </c>
      <c r="B2220" s="149">
        <v>795</v>
      </c>
      <c r="C2220" s="153" t="s">
        <v>173</v>
      </c>
      <c r="D2220" s="153" t="s">
        <v>19</v>
      </c>
      <c r="E2220" s="84" t="s">
        <v>525</v>
      </c>
      <c r="F2220" s="84" t="s">
        <v>64</v>
      </c>
      <c r="G2220" s="87">
        <f>G2221</f>
        <v>0</v>
      </c>
      <c r="H2220" s="87">
        <f t="shared" si="554"/>
        <v>0</v>
      </c>
      <c r="I2220" s="87">
        <f t="shared" si="554"/>
        <v>0</v>
      </c>
      <c r="J2220" s="177"/>
      <c r="K2220" s="184"/>
      <c r="L2220" s="184"/>
      <c r="M2220" s="184"/>
      <c r="N2220" s="184"/>
      <c r="O2220" s="184"/>
      <c r="P2220" s="184"/>
      <c r="Q2220" s="184"/>
      <c r="R2220" s="184"/>
    </row>
    <row r="2221" spans="1:18" s="18" customFormat="1" ht="17.25" hidden="1" customHeight="1">
      <c r="A2221" s="133" t="s">
        <v>144</v>
      </c>
      <c r="B2221" s="149">
        <v>795</v>
      </c>
      <c r="C2221" s="153" t="s">
        <v>173</v>
      </c>
      <c r="D2221" s="153" t="s">
        <v>19</v>
      </c>
      <c r="E2221" s="84" t="s">
        <v>525</v>
      </c>
      <c r="F2221" s="84" t="s">
        <v>67</v>
      </c>
      <c r="G2221" s="87"/>
      <c r="H2221" s="87"/>
      <c r="I2221" s="87"/>
      <c r="J2221" s="177"/>
      <c r="K2221" s="184"/>
      <c r="L2221" s="184"/>
      <c r="M2221" s="184"/>
      <c r="N2221" s="184"/>
      <c r="O2221" s="184"/>
      <c r="P2221" s="184"/>
      <c r="Q2221" s="184"/>
      <c r="R2221" s="184"/>
    </row>
    <row r="2222" spans="1:18" s="46" customFormat="1" ht="48.75" customHeight="1">
      <c r="A2222" s="82" t="s">
        <v>423</v>
      </c>
      <c r="B2222" s="149">
        <v>795</v>
      </c>
      <c r="C2222" s="153" t="s">
        <v>173</v>
      </c>
      <c r="D2222" s="153" t="s">
        <v>19</v>
      </c>
      <c r="E2222" s="84" t="s">
        <v>378</v>
      </c>
      <c r="F2222" s="84"/>
      <c r="G2222" s="87">
        <f>G2223</f>
        <v>110000</v>
      </c>
      <c r="H2222" s="87">
        <f t="shared" ref="G2222:I2223" si="555">H2223</f>
        <v>0</v>
      </c>
      <c r="I2222" s="87">
        <f t="shared" si="555"/>
        <v>0</v>
      </c>
      <c r="J2222" s="177"/>
      <c r="K2222" s="58"/>
      <c r="L2222" s="58"/>
      <c r="M2222" s="58"/>
      <c r="N2222" s="58"/>
      <c r="O2222" s="58"/>
      <c r="P2222" s="58"/>
      <c r="Q2222" s="58"/>
      <c r="R2222" s="58"/>
    </row>
    <row r="2223" spans="1:18" s="46" customFormat="1" ht="21" customHeight="1">
      <c r="A2223" s="82" t="s">
        <v>323</v>
      </c>
      <c r="B2223" s="149">
        <v>795</v>
      </c>
      <c r="C2223" s="153" t="s">
        <v>173</v>
      </c>
      <c r="D2223" s="153" t="s">
        <v>19</v>
      </c>
      <c r="E2223" s="84" t="s">
        <v>378</v>
      </c>
      <c r="F2223" s="84" t="s">
        <v>37</v>
      </c>
      <c r="G2223" s="87">
        <f t="shared" si="555"/>
        <v>110000</v>
      </c>
      <c r="H2223" s="87">
        <f t="shared" si="555"/>
        <v>0</v>
      </c>
      <c r="I2223" s="87">
        <f t="shared" si="555"/>
        <v>0</v>
      </c>
      <c r="J2223" s="177"/>
      <c r="K2223" s="58"/>
      <c r="L2223" s="58"/>
      <c r="M2223" s="58"/>
      <c r="N2223" s="58"/>
      <c r="O2223" s="58"/>
      <c r="P2223" s="58"/>
      <c r="Q2223" s="58"/>
      <c r="R2223" s="58"/>
    </row>
    <row r="2224" spans="1:18" s="46" customFormat="1" ht="28.5" customHeight="1">
      <c r="A2224" s="82" t="s">
        <v>38</v>
      </c>
      <c r="B2224" s="149">
        <v>795</v>
      </c>
      <c r="C2224" s="153" t="s">
        <v>173</v>
      </c>
      <c r="D2224" s="153" t="s">
        <v>19</v>
      </c>
      <c r="E2224" s="84" t="s">
        <v>378</v>
      </c>
      <c r="F2224" s="84" t="s">
        <v>39</v>
      </c>
      <c r="G2224" s="87">
        <v>110000</v>
      </c>
      <c r="H2224" s="87"/>
      <c r="I2224" s="87"/>
      <c r="J2224" s="177"/>
      <c r="K2224" s="58"/>
      <c r="L2224" s="58"/>
      <c r="M2224" s="58"/>
      <c r="N2224" s="58"/>
      <c r="O2224" s="58"/>
      <c r="P2224" s="58"/>
      <c r="Q2224" s="58"/>
      <c r="R2224" s="58"/>
    </row>
    <row r="2225" spans="1:20">
      <c r="A2225" s="135" t="s">
        <v>175</v>
      </c>
      <c r="B2225" s="149">
        <v>795</v>
      </c>
      <c r="C2225" s="84" t="s">
        <v>173</v>
      </c>
      <c r="D2225" s="84" t="s">
        <v>28</v>
      </c>
      <c r="E2225" s="84"/>
      <c r="F2225" s="84"/>
      <c r="G2225" s="87">
        <f>G2226+G2237+G2233</f>
        <v>479586.94</v>
      </c>
      <c r="H2225" s="87">
        <f t="shared" ref="H2225:I2225" si="556">H2226</f>
        <v>0</v>
      </c>
      <c r="I2225" s="87">
        <f t="shared" si="556"/>
        <v>0</v>
      </c>
      <c r="J2225" s="177"/>
      <c r="K2225" s="69"/>
      <c r="L2225" s="69"/>
      <c r="M2225" s="69"/>
      <c r="N2225" s="69"/>
      <c r="O2225" s="69"/>
      <c r="P2225" s="69"/>
      <c r="Q2225" s="69"/>
      <c r="R2225" s="69"/>
    </row>
    <row r="2226" spans="1:20" s="3" customFormat="1" ht="52.5" customHeight="1">
      <c r="A2226" s="82" t="s">
        <v>494</v>
      </c>
      <c r="B2226" s="149">
        <v>795</v>
      </c>
      <c r="C2226" s="84" t="s">
        <v>173</v>
      </c>
      <c r="D2226" s="84" t="s">
        <v>28</v>
      </c>
      <c r="E2226" s="84" t="s">
        <v>295</v>
      </c>
      <c r="F2226" s="84"/>
      <c r="G2226" s="87">
        <f>G2229+G2300+G2302+G2272+G2230</f>
        <v>271694</v>
      </c>
      <c r="H2226" s="87">
        <f>H2229+H2300+H2302+H2272</f>
        <v>0</v>
      </c>
      <c r="I2226" s="87">
        <f>I2229+I2300+I2302+I2272</f>
        <v>0</v>
      </c>
      <c r="J2226" s="177"/>
      <c r="K2226" s="62"/>
      <c r="L2226" s="62"/>
      <c r="M2226" s="62"/>
      <c r="N2226" s="62"/>
      <c r="O2226" s="62"/>
      <c r="P2226" s="62"/>
      <c r="Q2226" s="62"/>
      <c r="R2226" s="62"/>
    </row>
    <row r="2227" spans="1:20" ht="28.5" customHeight="1">
      <c r="A2227" s="82" t="s">
        <v>756</v>
      </c>
      <c r="B2227" s="149">
        <v>795</v>
      </c>
      <c r="C2227" s="84" t="s">
        <v>173</v>
      </c>
      <c r="D2227" s="84" t="s">
        <v>28</v>
      </c>
      <c r="E2227" s="84" t="s">
        <v>296</v>
      </c>
      <c r="F2227" s="84"/>
      <c r="G2227" s="87">
        <f>G2228</f>
        <v>224021</v>
      </c>
      <c r="H2227" s="87">
        <f t="shared" ref="G2227:I2231" si="557">H2228</f>
        <v>0</v>
      </c>
      <c r="I2227" s="87">
        <f t="shared" si="557"/>
        <v>0</v>
      </c>
      <c r="J2227" s="177"/>
      <c r="K2227" s="69"/>
      <c r="L2227" s="69"/>
      <c r="M2227" s="69"/>
      <c r="N2227" s="69"/>
      <c r="O2227" s="69"/>
      <c r="P2227" s="69"/>
      <c r="Q2227" s="69"/>
      <c r="R2227" s="69"/>
    </row>
    <row r="2228" spans="1:20" ht="25.5">
      <c r="A2228" s="82" t="s">
        <v>36</v>
      </c>
      <c r="B2228" s="149">
        <v>795</v>
      </c>
      <c r="C2228" s="84" t="s">
        <v>173</v>
      </c>
      <c r="D2228" s="84" t="s">
        <v>28</v>
      </c>
      <c r="E2228" s="84" t="s">
        <v>296</v>
      </c>
      <c r="F2228" s="84" t="s">
        <v>37</v>
      </c>
      <c r="G2228" s="87">
        <f t="shared" si="557"/>
        <v>224021</v>
      </c>
      <c r="H2228" s="87">
        <f t="shared" si="557"/>
        <v>0</v>
      </c>
      <c r="I2228" s="87">
        <f t="shared" si="557"/>
        <v>0</v>
      </c>
      <c r="J2228" s="177"/>
      <c r="K2228" s="69"/>
      <c r="L2228" s="69"/>
      <c r="M2228" s="69"/>
      <c r="N2228" s="69"/>
      <c r="O2228" s="69"/>
      <c r="P2228" s="69"/>
      <c r="Q2228" s="69"/>
      <c r="R2228" s="69"/>
    </row>
    <row r="2229" spans="1:20" ht="25.5">
      <c r="A2229" s="82" t="s">
        <v>38</v>
      </c>
      <c r="B2229" s="149">
        <v>795</v>
      </c>
      <c r="C2229" s="84" t="s">
        <v>173</v>
      </c>
      <c r="D2229" s="84" t="s">
        <v>28</v>
      </c>
      <c r="E2229" s="84" t="s">
        <v>296</v>
      </c>
      <c r="F2229" s="84" t="s">
        <v>39</v>
      </c>
      <c r="G2229" s="87">
        <v>224021</v>
      </c>
      <c r="H2229" s="87">
        <v>0</v>
      </c>
      <c r="I2229" s="87">
        <v>0</v>
      </c>
      <c r="J2229" s="177"/>
      <c r="K2229" s="69"/>
      <c r="L2229" s="69"/>
      <c r="M2229" s="69"/>
      <c r="N2229" s="69"/>
      <c r="O2229" s="69"/>
      <c r="P2229" s="69"/>
      <c r="Q2229" s="69"/>
      <c r="R2229" s="69"/>
    </row>
    <row r="2230" spans="1:20" ht="28.5" customHeight="1">
      <c r="A2230" s="82" t="s">
        <v>535</v>
      </c>
      <c r="B2230" s="149">
        <v>795</v>
      </c>
      <c r="C2230" s="84" t="s">
        <v>173</v>
      </c>
      <c r="D2230" s="84" t="s">
        <v>28</v>
      </c>
      <c r="E2230" s="84" t="s">
        <v>534</v>
      </c>
      <c r="F2230" s="84"/>
      <c r="G2230" s="87">
        <f>G2231</f>
        <v>47673</v>
      </c>
      <c r="H2230" s="87">
        <f t="shared" si="557"/>
        <v>0</v>
      </c>
      <c r="I2230" s="87">
        <f t="shared" si="557"/>
        <v>0</v>
      </c>
      <c r="J2230" s="177"/>
      <c r="K2230" s="69"/>
      <c r="L2230" s="69"/>
      <c r="M2230" s="69"/>
      <c r="N2230" s="69"/>
      <c r="O2230" s="69"/>
      <c r="P2230" s="69"/>
      <c r="Q2230" s="69"/>
      <c r="R2230" s="69"/>
    </row>
    <row r="2231" spans="1:20" ht="25.5">
      <c r="A2231" s="82" t="s">
        <v>36</v>
      </c>
      <c r="B2231" s="149">
        <v>795</v>
      </c>
      <c r="C2231" s="84" t="s">
        <v>173</v>
      </c>
      <c r="D2231" s="84" t="s">
        <v>28</v>
      </c>
      <c r="E2231" s="84" t="s">
        <v>534</v>
      </c>
      <c r="F2231" s="84" t="s">
        <v>37</v>
      </c>
      <c r="G2231" s="87">
        <f t="shared" si="557"/>
        <v>47673</v>
      </c>
      <c r="H2231" s="87">
        <f t="shared" si="557"/>
        <v>0</v>
      </c>
      <c r="I2231" s="87">
        <f t="shared" si="557"/>
        <v>0</v>
      </c>
      <c r="J2231" s="177"/>
      <c r="K2231" s="69"/>
      <c r="L2231" s="69"/>
      <c r="M2231" s="69"/>
      <c r="N2231" s="69"/>
      <c r="O2231" s="69"/>
      <c r="P2231" s="69"/>
      <c r="Q2231" s="69"/>
      <c r="R2231" s="69"/>
    </row>
    <row r="2232" spans="1:20" ht="25.5">
      <c r="A2232" s="82" t="s">
        <v>38</v>
      </c>
      <c r="B2232" s="149">
        <v>795</v>
      </c>
      <c r="C2232" s="84" t="s">
        <v>173</v>
      </c>
      <c r="D2232" s="84" t="s">
        <v>28</v>
      </c>
      <c r="E2232" s="84" t="s">
        <v>534</v>
      </c>
      <c r="F2232" s="84" t="s">
        <v>39</v>
      </c>
      <c r="G2232" s="87">
        <v>47673</v>
      </c>
      <c r="H2232" s="87">
        <v>0</v>
      </c>
      <c r="I2232" s="87">
        <v>0</v>
      </c>
      <c r="J2232" s="177"/>
      <c r="K2232" s="69"/>
      <c r="L2232" s="69"/>
      <c r="M2232" s="69"/>
      <c r="N2232" s="69"/>
      <c r="O2232" s="69"/>
      <c r="P2232" s="69"/>
      <c r="Q2232" s="69"/>
      <c r="R2232" s="69"/>
    </row>
    <row r="2233" spans="1:20" s="124" customFormat="1" ht="30.75" customHeight="1">
      <c r="A2233" s="82" t="s">
        <v>1118</v>
      </c>
      <c r="B2233" s="149">
        <v>795</v>
      </c>
      <c r="C2233" s="84" t="s">
        <v>173</v>
      </c>
      <c r="D2233" s="84" t="s">
        <v>28</v>
      </c>
      <c r="E2233" s="84" t="s">
        <v>1117</v>
      </c>
      <c r="F2233" s="84"/>
      <c r="G2233" s="87">
        <f t="shared" ref="G2233:I2235" si="558">G2234</f>
        <v>207892.94</v>
      </c>
      <c r="H2233" s="87">
        <f t="shared" si="558"/>
        <v>0</v>
      </c>
      <c r="I2233" s="87">
        <f t="shared" si="558"/>
        <v>0</v>
      </c>
      <c r="J2233" s="123"/>
      <c r="P2233" s="123"/>
      <c r="Q2233" s="123"/>
      <c r="R2233" s="123"/>
      <c r="S2233" s="123"/>
      <c r="T2233" s="123"/>
    </row>
    <row r="2234" spans="1:20" s="124" customFormat="1" ht="24.75" customHeight="1">
      <c r="A2234" s="82" t="s">
        <v>333</v>
      </c>
      <c r="B2234" s="149">
        <v>795</v>
      </c>
      <c r="C2234" s="84" t="s">
        <v>173</v>
      </c>
      <c r="D2234" s="84" t="s">
        <v>28</v>
      </c>
      <c r="E2234" s="84" t="s">
        <v>1116</v>
      </c>
      <c r="F2234" s="84"/>
      <c r="G2234" s="87">
        <f t="shared" si="558"/>
        <v>207892.94</v>
      </c>
      <c r="H2234" s="87">
        <f t="shared" si="558"/>
        <v>0</v>
      </c>
      <c r="I2234" s="87">
        <f t="shared" si="558"/>
        <v>0</v>
      </c>
      <c r="J2234" s="123"/>
      <c r="P2234" s="123"/>
      <c r="Q2234" s="123"/>
      <c r="R2234" s="123"/>
      <c r="S2234" s="123"/>
      <c r="T2234" s="123"/>
    </row>
    <row r="2235" spans="1:20" s="124" customFormat="1" ht="26.25" customHeight="1">
      <c r="A2235" s="82" t="s">
        <v>323</v>
      </c>
      <c r="B2235" s="149">
        <v>795</v>
      </c>
      <c r="C2235" s="84" t="s">
        <v>173</v>
      </c>
      <c r="D2235" s="84" t="s">
        <v>28</v>
      </c>
      <c r="E2235" s="84" t="s">
        <v>1116</v>
      </c>
      <c r="F2235" s="84" t="s">
        <v>37</v>
      </c>
      <c r="G2235" s="87">
        <f t="shared" si="558"/>
        <v>207892.94</v>
      </c>
      <c r="H2235" s="87">
        <f t="shared" si="558"/>
        <v>0</v>
      </c>
      <c r="I2235" s="87">
        <f t="shared" si="558"/>
        <v>0</v>
      </c>
      <c r="J2235" s="123"/>
      <c r="P2235" s="123"/>
      <c r="Q2235" s="123"/>
      <c r="R2235" s="123"/>
      <c r="S2235" s="123"/>
      <c r="T2235" s="123"/>
    </row>
    <row r="2236" spans="1:20" s="124" customFormat="1" ht="26.25" customHeight="1">
      <c r="A2236" s="82" t="s">
        <v>38</v>
      </c>
      <c r="B2236" s="149">
        <v>795</v>
      </c>
      <c r="C2236" s="84" t="s">
        <v>173</v>
      </c>
      <c r="D2236" s="84" t="s">
        <v>28</v>
      </c>
      <c r="E2236" s="84" t="s">
        <v>1116</v>
      </c>
      <c r="F2236" s="84" t="s">
        <v>39</v>
      </c>
      <c r="G2236" s="87">
        <f>75032.33+132860.61</f>
        <v>207892.94</v>
      </c>
      <c r="H2236" s="87"/>
      <c r="I2236" s="87"/>
      <c r="J2236" s="123"/>
      <c r="P2236" s="123"/>
      <c r="Q2236" s="123"/>
      <c r="R2236" s="123"/>
      <c r="S2236" s="123"/>
      <c r="T2236" s="123"/>
    </row>
    <row r="2237" spans="1:20" s="124" customFormat="1" ht="26.25" customHeight="1">
      <c r="A2237" s="154" t="s">
        <v>164</v>
      </c>
      <c r="B2237" s="149">
        <v>795</v>
      </c>
      <c r="C2237" s="84" t="s">
        <v>173</v>
      </c>
      <c r="D2237" s="84" t="s">
        <v>28</v>
      </c>
      <c r="E2237" s="147" t="s">
        <v>210</v>
      </c>
      <c r="F2237" s="156"/>
      <c r="G2237" s="87">
        <f>G2238</f>
        <v>0</v>
      </c>
      <c r="H2237" s="157">
        <f>H2234+H2238+H2243+H2246+H2261</f>
        <v>0</v>
      </c>
      <c r="I2237" s="157">
        <f>I2234+I2238+I2243+I2246+I2261</f>
        <v>0</v>
      </c>
      <c r="J2237" s="123"/>
      <c r="P2237" s="123"/>
      <c r="Q2237" s="123"/>
      <c r="R2237" s="123"/>
      <c r="S2237" s="123"/>
      <c r="T2237" s="123"/>
    </row>
    <row r="2238" spans="1:20" s="90" customFormat="1" ht="20.25" customHeight="1">
      <c r="A2238" s="82" t="s">
        <v>333</v>
      </c>
      <c r="B2238" s="149">
        <v>795</v>
      </c>
      <c r="C2238" s="84" t="s">
        <v>173</v>
      </c>
      <c r="D2238" s="84" t="s">
        <v>28</v>
      </c>
      <c r="E2238" s="84" t="s">
        <v>211</v>
      </c>
      <c r="F2238" s="84"/>
      <c r="G2238" s="87">
        <f>G2241</f>
        <v>0</v>
      </c>
      <c r="H2238" s="87">
        <f t="shared" ref="H2238:I2238" si="559">H2241+H2249</f>
        <v>0</v>
      </c>
      <c r="I2238" s="87">
        <f t="shared" si="559"/>
        <v>0</v>
      </c>
      <c r="J2238" s="126"/>
      <c r="P2238" s="126"/>
      <c r="Q2238" s="126"/>
      <c r="R2238" s="126"/>
      <c r="S2238" s="126"/>
      <c r="T2238" s="126"/>
    </row>
    <row r="2239" spans="1:20" s="90" customFormat="1" ht="29.25" hidden="1" customHeight="1">
      <c r="A2239" s="82" t="s">
        <v>30</v>
      </c>
      <c r="B2239" s="149">
        <v>795</v>
      </c>
      <c r="C2239" s="84" t="s">
        <v>173</v>
      </c>
      <c r="D2239" s="84" t="s">
        <v>28</v>
      </c>
      <c r="E2239" s="84" t="s">
        <v>211</v>
      </c>
      <c r="F2239" s="84" t="s">
        <v>31</v>
      </c>
      <c r="G2239" s="87">
        <f>G2240</f>
        <v>0</v>
      </c>
      <c r="H2239" s="87"/>
      <c r="I2239" s="87"/>
      <c r="J2239" s="126"/>
      <c r="P2239" s="126"/>
      <c r="Q2239" s="126"/>
      <c r="R2239" s="126"/>
      <c r="S2239" s="126"/>
      <c r="T2239" s="126"/>
    </row>
    <row r="2240" spans="1:20" s="90" customFormat="1" ht="19.5" hidden="1" customHeight="1">
      <c r="A2240" s="82" t="s">
        <v>32</v>
      </c>
      <c r="B2240" s="149">
        <v>795</v>
      </c>
      <c r="C2240" s="84" t="s">
        <v>173</v>
      </c>
      <c r="D2240" s="84" t="s">
        <v>28</v>
      </c>
      <c r="E2240" s="84" t="s">
        <v>211</v>
      </c>
      <c r="F2240" s="84" t="s">
        <v>33</v>
      </c>
      <c r="G2240" s="87"/>
      <c r="H2240" s="87"/>
      <c r="I2240" s="87"/>
      <c r="J2240" s="126"/>
      <c r="P2240" s="126"/>
      <c r="Q2240" s="126"/>
      <c r="R2240" s="126"/>
      <c r="S2240" s="126"/>
      <c r="T2240" s="126"/>
    </row>
    <row r="2241" spans="1:20" s="90" customFormat="1">
      <c r="A2241" s="82" t="s">
        <v>63</v>
      </c>
      <c r="B2241" s="149">
        <v>795</v>
      </c>
      <c r="C2241" s="84" t="s">
        <v>173</v>
      </c>
      <c r="D2241" s="84" t="s">
        <v>28</v>
      </c>
      <c r="E2241" s="84" t="s">
        <v>211</v>
      </c>
      <c r="F2241" s="84" t="s">
        <v>37</v>
      </c>
      <c r="G2241" s="87">
        <f t="shared" ref="G2241:I2241" si="560">G2242</f>
        <v>0</v>
      </c>
      <c r="H2241" s="87">
        <f t="shared" si="560"/>
        <v>0</v>
      </c>
      <c r="I2241" s="87">
        <f t="shared" si="560"/>
        <v>0</v>
      </c>
      <c r="J2241" s="126"/>
      <c r="P2241" s="126"/>
      <c r="Q2241" s="126"/>
      <c r="R2241" s="126"/>
      <c r="S2241" s="126"/>
      <c r="T2241" s="126"/>
    </row>
    <row r="2242" spans="1:20" s="90" customFormat="1" ht="18.75" customHeight="1">
      <c r="A2242" s="82" t="s">
        <v>328</v>
      </c>
      <c r="B2242" s="149">
        <v>795</v>
      </c>
      <c r="C2242" s="84" t="s">
        <v>173</v>
      </c>
      <c r="D2242" s="84" t="s">
        <v>28</v>
      </c>
      <c r="E2242" s="84" t="s">
        <v>211</v>
      </c>
      <c r="F2242" s="84" t="s">
        <v>39</v>
      </c>
      <c r="G2242" s="87">
        <f>132860.61-132860.61</f>
        <v>0</v>
      </c>
      <c r="H2242" s="87"/>
      <c r="I2242" s="87"/>
      <c r="J2242" s="126"/>
      <c r="P2242" s="126"/>
      <c r="Q2242" s="126"/>
      <c r="R2242" s="126"/>
      <c r="S2242" s="126"/>
      <c r="T2242" s="126"/>
    </row>
    <row r="2243" spans="1:20" s="46" customFormat="1" ht="17.25" customHeight="1">
      <c r="A2243" s="82" t="s">
        <v>284</v>
      </c>
      <c r="B2243" s="149">
        <v>795</v>
      </c>
      <c r="C2243" s="84" t="s">
        <v>173</v>
      </c>
      <c r="D2243" s="84" t="s">
        <v>70</v>
      </c>
      <c r="E2243" s="84"/>
      <c r="F2243" s="84"/>
      <c r="G2243" s="87">
        <f>G2246</f>
        <v>800</v>
      </c>
      <c r="H2243" s="87">
        <f t="shared" ref="H2243:I2243" si="561">H2246</f>
        <v>0</v>
      </c>
      <c r="I2243" s="87">
        <f t="shared" si="561"/>
        <v>0</v>
      </c>
      <c r="J2243" s="177"/>
      <c r="K2243" s="58"/>
      <c r="L2243" s="58"/>
      <c r="M2243" s="58"/>
      <c r="N2243" s="58"/>
      <c r="O2243" s="58"/>
      <c r="P2243" s="58"/>
      <c r="Q2243" s="58"/>
      <c r="R2243" s="58"/>
    </row>
    <row r="2244" spans="1:20" s="46" customFormat="1" ht="17.25" hidden="1" customHeight="1">
      <c r="A2244" s="82"/>
      <c r="B2244" s="149">
        <v>795</v>
      </c>
      <c r="C2244" s="84"/>
      <c r="D2244" s="84"/>
      <c r="E2244" s="84"/>
      <c r="F2244" s="84"/>
      <c r="G2244" s="87"/>
      <c r="H2244" s="87"/>
      <c r="I2244" s="87"/>
      <c r="J2244" s="177"/>
      <c r="K2244" s="58"/>
      <c r="L2244" s="58"/>
      <c r="M2244" s="58"/>
      <c r="N2244" s="58"/>
      <c r="O2244" s="58"/>
      <c r="P2244" s="58"/>
      <c r="Q2244" s="58"/>
      <c r="R2244" s="58"/>
    </row>
    <row r="2245" spans="1:20" s="46" customFormat="1" ht="17.25" hidden="1" customHeight="1">
      <c r="A2245" s="82"/>
      <c r="B2245" s="149">
        <v>795</v>
      </c>
      <c r="C2245" s="84"/>
      <c r="D2245" s="84"/>
      <c r="E2245" s="84"/>
      <c r="F2245" s="84"/>
      <c r="G2245" s="87"/>
      <c r="H2245" s="87"/>
      <c r="I2245" s="87"/>
      <c r="J2245" s="177"/>
      <c r="K2245" s="58"/>
      <c r="L2245" s="58"/>
      <c r="M2245" s="58"/>
      <c r="N2245" s="58"/>
      <c r="O2245" s="58"/>
      <c r="P2245" s="58"/>
      <c r="Q2245" s="58"/>
      <c r="R2245" s="58"/>
    </row>
    <row r="2246" spans="1:20" ht="51">
      <c r="A2246" s="82" t="s">
        <v>494</v>
      </c>
      <c r="B2246" s="149">
        <v>795</v>
      </c>
      <c r="C2246" s="84" t="s">
        <v>173</v>
      </c>
      <c r="D2246" s="84" t="s">
        <v>70</v>
      </c>
      <c r="E2246" s="84" t="s">
        <v>295</v>
      </c>
      <c r="F2246" s="84"/>
      <c r="G2246" s="87">
        <f>G2247</f>
        <v>800</v>
      </c>
      <c r="H2246" s="87">
        <f t="shared" ref="H2246:I2246" si="562">H2247</f>
        <v>0</v>
      </c>
      <c r="I2246" s="87">
        <f t="shared" si="562"/>
        <v>0</v>
      </c>
      <c r="J2246" s="177"/>
      <c r="K2246" s="69"/>
      <c r="L2246" s="69"/>
      <c r="M2246" s="69"/>
      <c r="N2246" s="69"/>
      <c r="O2246" s="69"/>
      <c r="P2246" s="69"/>
      <c r="Q2246" s="69"/>
      <c r="R2246" s="69"/>
    </row>
    <row r="2247" spans="1:20">
      <c r="A2247" s="82" t="s">
        <v>79</v>
      </c>
      <c r="B2247" s="149">
        <v>795</v>
      </c>
      <c r="C2247" s="84" t="s">
        <v>173</v>
      </c>
      <c r="D2247" s="84" t="s">
        <v>70</v>
      </c>
      <c r="E2247" s="84" t="s">
        <v>100</v>
      </c>
      <c r="F2247" s="84"/>
      <c r="G2247" s="87">
        <f>G2248</f>
        <v>800</v>
      </c>
      <c r="H2247" s="87">
        <f t="shared" ref="H2247:I2247" si="563">H2248</f>
        <v>0</v>
      </c>
      <c r="I2247" s="87">
        <f t="shared" si="563"/>
        <v>0</v>
      </c>
      <c r="J2247" s="177"/>
      <c r="K2247" s="69"/>
      <c r="L2247" s="69"/>
      <c r="M2247" s="69"/>
      <c r="N2247" s="69"/>
      <c r="O2247" s="69"/>
      <c r="P2247" s="69"/>
      <c r="Q2247" s="69"/>
      <c r="R2247" s="69"/>
    </row>
    <row r="2248" spans="1:20" ht="25.5">
      <c r="A2248" s="82" t="s">
        <v>36</v>
      </c>
      <c r="B2248" s="149">
        <v>795</v>
      </c>
      <c r="C2248" s="84" t="s">
        <v>173</v>
      </c>
      <c r="D2248" s="84" t="s">
        <v>70</v>
      </c>
      <c r="E2248" s="84" t="s">
        <v>100</v>
      </c>
      <c r="F2248" s="84" t="s">
        <v>37</v>
      </c>
      <c r="G2248" s="87">
        <f>G2249</f>
        <v>800</v>
      </c>
      <c r="H2248" s="87">
        <f>H2249</f>
        <v>0</v>
      </c>
      <c r="I2248" s="87">
        <f>I2249</f>
        <v>0</v>
      </c>
      <c r="J2248" s="177"/>
      <c r="K2248" s="69"/>
      <c r="L2248" s="69"/>
      <c r="M2248" s="69"/>
      <c r="N2248" s="69"/>
      <c r="O2248" s="69"/>
      <c r="P2248" s="69"/>
      <c r="Q2248" s="69"/>
      <c r="R2248" s="69"/>
    </row>
    <row r="2249" spans="1:20" ht="30.75" customHeight="1">
      <c r="A2249" s="82" t="s">
        <v>38</v>
      </c>
      <c r="B2249" s="149">
        <v>795</v>
      </c>
      <c r="C2249" s="84" t="s">
        <v>173</v>
      </c>
      <c r="D2249" s="84" t="s">
        <v>70</v>
      </c>
      <c r="E2249" s="84" t="s">
        <v>100</v>
      </c>
      <c r="F2249" s="84" t="s">
        <v>39</v>
      </c>
      <c r="G2249" s="87">
        <v>800</v>
      </c>
      <c r="H2249" s="87">
        <v>0</v>
      </c>
      <c r="I2249" s="87">
        <v>0</v>
      </c>
      <c r="J2249" s="177"/>
      <c r="K2249" s="69"/>
      <c r="L2249" s="69"/>
      <c r="M2249" s="69"/>
      <c r="N2249" s="69"/>
      <c r="O2249" s="69"/>
      <c r="P2249" s="69"/>
      <c r="Q2249" s="69"/>
      <c r="R2249" s="69"/>
    </row>
    <row r="2250" spans="1:20" s="22" customFormat="1" ht="22.5" customHeight="1">
      <c r="A2250" s="154" t="s">
        <v>2</v>
      </c>
      <c r="B2250" s="155">
        <v>795</v>
      </c>
      <c r="C2250" s="156" t="s">
        <v>161</v>
      </c>
      <c r="D2250" s="156"/>
      <c r="E2250" s="156"/>
      <c r="F2250" s="156"/>
      <c r="G2250" s="157">
        <f>G2251</f>
        <v>28332.400000000001</v>
      </c>
      <c r="H2250" s="157">
        <f t="shared" ref="H2250:I2251" si="564">H2251</f>
        <v>0</v>
      </c>
      <c r="I2250" s="157">
        <f t="shared" si="564"/>
        <v>0</v>
      </c>
      <c r="J2250" s="196"/>
      <c r="K2250" s="61"/>
      <c r="L2250" s="61"/>
      <c r="M2250" s="61"/>
      <c r="N2250" s="61"/>
      <c r="O2250" s="61"/>
      <c r="P2250" s="61"/>
      <c r="Q2250" s="252"/>
      <c r="R2250" s="61"/>
    </row>
    <row r="2251" spans="1:20" s="3" customFormat="1" ht="24.75" customHeight="1">
      <c r="A2251" s="82" t="s">
        <v>352</v>
      </c>
      <c r="B2251" s="149">
        <v>795</v>
      </c>
      <c r="C2251" s="84" t="s">
        <v>161</v>
      </c>
      <c r="D2251" s="84" t="s">
        <v>173</v>
      </c>
      <c r="E2251" s="84"/>
      <c r="F2251" s="84"/>
      <c r="G2251" s="87">
        <f>G2252</f>
        <v>28332.400000000001</v>
      </c>
      <c r="H2251" s="87">
        <f t="shared" si="564"/>
        <v>0</v>
      </c>
      <c r="I2251" s="87">
        <f t="shared" si="564"/>
        <v>0</v>
      </c>
      <c r="J2251" s="177"/>
      <c r="K2251" s="62"/>
      <c r="L2251" s="62"/>
      <c r="M2251" s="62"/>
      <c r="N2251" s="62"/>
      <c r="O2251" s="62"/>
      <c r="P2251" s="62"/>
      <c r="Q2251" s="62"/>
      <c r="R2251" s="62"/>
    </row>
    <row r="2252" spans="1:20" s="3" customFormat="1" ht="38.25" customHeight="1">
      <c r="A2252" s="82" t="s">
        <v>479</v>
      </c>
      <c r="B2252" s="149">
        <v>795</v>
      </c>
      <c r="C2252" s="84" t="s">
        <v>161</v>
      </c>
      <c r="D2252" s="84" t="s">
        <v>173</v>
      </c>
      <c r="E2252" s="84" t="s">
        <v>261</v>
      </c>
      <c r="F2252" s="84"/>
      <c r="G2252" s="87">
        <f>G2255</f>
        <v>28332.400000000001</v>
      </c>
      <c r="H2252" s="87">
        <f t="shared" ref="H2252:I2252" si="565">H2255</f>
        <v>0</v>
      </c>
      <c r="I2252" s="87">
        <f t="shared" si="565"/>
        <v>0</v>
      </c>
      <c r="J2252" s="177"/>
      <c r="K2252" s="62"/>
      <c r="L2252" s="62"/>
      <c r="M2252" s="62"/>
      <c r="N2252" s="62"/>
      <c r="O2252" s="62"/>
      <c r="P2252" s="62"/>
      <c r="Q2252" s="62"/>
      <c r="R2252" s="62"/>
    </row>
    <row r="2253" spans="1:20" s="3" customFormat="1" ht="38.25" customHeight="1">
      <c r="A2253" s="82" t="s">
        <v>532</v>
      </c>
      <c r="B2253" s="149">
        <v>795</v>
      </c>
      <c r="C2253" s="84" t="s">
        <v>161</v>
      </c>
      <c r="D2253" s="84" t="s">
        <v>173</v>
      </c>
      <c r="E2253" s="84" t="s">
        <v>533</v>
      </c>
      <c r="F2253" s="84"/>
      <c r="G2253" s="87">
        <f>G2254</f>
        <v>28332.400000000001</v>
      </c>
      <c r="H2253" s="87">
        <f t="shared" ref="H2253:I2254" si="566">H2254</f>
        <v>0</v>
      </c>
      <c r="I2253" s="87">
        <f t="shared" si="566"/>
        <v>0</v>
      </c>
      <c r="J2253" s="178"/>
      <c r="K2253" s="62"/>
      <c r="L2253" s="62"/>
      <c r="M2253" s="62"/>
      <c r="N2253" s="62"/>
      <c r="O2253" s="62"/>
      <c r="P2253" s="62"/>
      <c r="Q2253" s="62"/>
      <c r="R2253" s="62"/>
    </row>
    <row r="2254" spans="1:20" s="3" customFormat="1" ht="38.25" customHeight="1">
      <c r="A2254" s="82" t="s">
        <v>36</v>
      </c>
      <c r="B2254" s="149">
        <v>795</v>
      </c>
      <c r="C2254" s="84" t="s">
        <v>161</v>
      </c>
      <c r="D2254" s="84" t="s">
        <v>173</v>
      </c>
      <c r="E2254" s="84" t="s">
        <v>533</v>
      </c>
      <c r="F2254" s="84" t="s">
        <v>37</v>
      </c>
      <c r="G2254" s="87">
        <f>G2255</f>
        <v>28332.400000000001</v>
      </c>
      <c r="H2254" s="87">
        <f t="shared" si="566"/>
        <v>0</v>
      </c>
      <c r="I2254" s="87">
        <f t="shared" si="566"/>
        <v>0</v>
      </c>
      <c r="J2254" s="178"/>
      <c r="K2254" s="62"/>
      <c r="L2254" s="62"/>
      <c r="M2254" s="62"/>
      <c r="N2254" s="62"/>
      <c r="O2254" s="62"/>
      <c r="P2254" s="62"/>
      <c r="Q2254" s="62"/>
      <c r="R2254" s="62"/>
    </row>
    <row r="2255" spans="1:20" s="3" customFormat="1" ht="38.25" customHeight="1">
      <c r="A2255" s="82" t="s">
        <v>38</v>
      </c>
      <c r="B2255" s="149">
        <v>795</v>
      </c>
      <c r="C2255" s="84" t="s">
        <v>161</v>
      </c>
      <c r="D2255" s="84" t="s">
        <v>173</v>
      </c>
      <c r="E2255" s="84" t="s">
        <v>533</v>
      </c>
      <c r="F2255" s="84" t="s">
        <v>39</v>
      </c>
      <c r="G2255" s="87">
        <v>28332.400000000001</v>
      </c>
      <c r="H2255" s="87">
        <v>0</v>
      </c>
      <c r="I2255" s="87">
        <v>0</v>
      </c>
      <c r="J2255" s="177"/>
      <c r="K2255" s="62"/>
      <c r="L2255" s="62"/>
      <c r="M2255" s="62"/>
      <c r="N2255" s="62"/>
      <c r="O2255" s="62"/>
      <c r="P2255" s="62"/>
      <c r="Q2255" s="62"/>
      <c r="R2255" s="62"/>
    </row>
    <row r="2256" spans="1:20" s="124" customFormat="1">
      <c r="A2256" s="282" t="s">
        <v>74</v>
      </c>
      <c r="B2256" s="273"/>
      <c r="C2256" s="162"/>
      <c r="D2256" s="162"/>
      <c r="E2256" s="162"/>
      <c r="F2256" s="162"/>
      <c r="G2256" s="96">
        <f>G2162+G2250+G2199+G2156</f>
        <v>2384724.5199999996</v>
      </c>
      <c r="H2256" s="96">
        <f>H2162</f>
        <v>0</v>
      </c>
      <c r="I2256" s="96">
        <f>I2162</f>
        <v>0</v>
      </c>
      <c r="J2256" s="192"/>
      <c r="K2256" s="207"/>
      <c r="L2256" s="207"/>
      <c r="M2256" s="207"/>
      <c r="N2256" s="207"/>
      <c r="O2256" s="207"/>
      <c r="P2256" s="207"/>
      <c r="Q2256" s="207"/>
      <c r="R2256" s="207"/>
    </row>
    <row r="2257" spans="1:18" s="90" customFormat="1" ht="25.5">
      <c r="A2257" s="321" t="s">
        <v>991</v>
      </c>
      <c r="B2257" s="318">
        <v>799</v>
      </c>
      <c r="C2257" s="325"/>
      <c r="D2257" s="325"/>
      <c r="E2257" s="325"/>
      <c r="F2257" s="325"/>
      <c r="G2257" s="324"/>
      <c r="H2257" s="324"/>
      <c r="I2257" s="324"/>
      <c r="J2257" s="197"/>
      <c r="K2257" s="209"/>
      <c r="L2257" s="186"/>
      <c r="M2257" s="186"/>
      <c r="N2257" s="186"/>
      <c r="O2257" s="186"/>
      <c r="P2257" s="186"/>
      <c r="Q2257" s="186"/>
      <c r="R2257" s="186"/>
    </row>
    <row r="2258" spans="1:18" s="33" customFormat="1" ht="39" customHeight="1">
      <c r="A2258" s="136" t="s">
        <v>366</v>
      </c>
      <c r="B2258" s="149">
        <v>799</v>
      </c>
      <c r="C2258" s="84" t="s">
        <v>19</v>
      </c>
      <c r="D2258" s="84" t="s">
        <v>161</v>
      </c>
      <c r="E2258" s="84"/>
      <c r="F2258" s="84"/>
      <c r="G2258" s="87">
        <f>G2260+G2267</f>
        <v>2477384.79</v>
      </c>
      <c r="H2258" s="87">
        <f t="shared" ref="H2258:I2258" si="567">H2260</f>
        <v>2448139.29</v>
      </c>
      <c r="I2258" s="87">
        <f t="shared" si="567"/>
        <v>2467096.29</v>
      </c>
      <c r="J2258" s="177"/>
      <c r="K2258" s="211"/>
      <c r="L2258" s="211"/>
      <c r="M2258" s="211"/>
      <c r="N2258" s="211"/>
      <c r="O2258" s="211"/>
      <c r="P2258" s="211"/>
      <c r="Q2258" s="211"/>
      <c r="R2258" s="211"/>
    </row>
    <row r="2259" spans="1:18" s="3" customFormat="1" ht="38.25" hidden="1">
      <c r="A2259" s="82" t="s">
        <v>160</v>
      </c>
      <c r="B2259" s="149"/>
      <c r="C2259" s="84" t="s">
        <v>19</v>
      </c>
      <c r="D2259" s="84" t="s">
        <v>161</v>
      </c>
      <c r="E2259" s="84"/>
      <c r="F2259" s="84"/>
      <c r="G2259" s="87"/>
      <c r="H2259" s="87"/>
      <c r="I2259" s="87"/>
      <c r="J2259" s="177"/>
      <c r="K2259" s="199"/>
      <c r="L2259" s="199"/>
      <c r="M2259" s="199"/>
      <c r="N2259" s="199"/>
      <c r="O2259" s="199"/>
      <c r="P2259" s="199"/>
      <c r="Q2259" s="199"/>
      <c r="R2259" s="199"/>
    </row>
    <row r="2260" spans="1:18" s="46" customFormat="1" ht="25.5">
      <c r="A2260" s="82" t="s">
        <v>845</v>
      </c>
      <c r="B2260" s="149">
        <v>799</v>
      </c>
      <c r="C2260" s="84" t="s">
        <v>19</v>
      </c>
      <c r="D2260" s="84" t="s">
        <v>161</v>
      </c>
      <c r="E2260" s="84" t="s">
        <v>846</v>
      </c>
      <c r="F2260" s="84"/>
      <c r="G2260" s="87">
        <f>G2262</f>
        <v>2429370.29</v>
      </c>
      <c r="H2260" s="87">
        <f t="shared" ref="H2260:I2260" si="568">H2262</f>
        <v>2448139.29</v>
      </c>
      <c r="I2260" s="87">
        <f t="shared" si="568"/>
        <v>2467096.29</v>
      </c>
      <c r="J2260" s="177"/>
      <c r="K2260" s="222"/>
      <c r="L2260" s="222"/>
      <c r="M2260" s="222"/>
      <c r="N2260" s="222"/>
      <c r="O2260" s="222"/>
      <c r="P2260" s="222"/>
      <c r="Q2260" s="222"/>
      <c r="R2260" s="222"/>
    </row>
    <row r="2261" spans="1:18" s="46" customFormat="1" hidden="1">
      <c r="A2261" s="146"/>
      <c r="B2261" s="149"/>
      <c r="C2261" s="84"/>
      <c r="D2261" s="84"/>
      <c r="E2261" s="84"/>
      <c r="F2261" s="84"/>
      <c r="G2261" s="87"/>
      <c r="H2261" s="87"/>
      <c r="I2261" s="87"/>
      <c r="J2261" s="177"/>
      <c r="K2261" s="222"/>
      <c r="L2261" s="222"/>
      <c r="M2261" s="222"/>
      <c r="N2261" s="222"/>
      <c r="O2261" s="222"/>
      <c r="P2261" s="186"/>
      <c r="Q2261" s="222"/>
      <c r="R2261" s="222"/>
    </row>
    <row r="2262" spans="1:18" s="46" customFormat="1" ht="25.5">
      <c r="A2262" s="82" t="s">
        <v>76</v>
      </c>
      <c r="B2262" s="149">
        <v>799</v>
      </c>
      <c r="C2262" s="84" t="s">
        <v>19</v>
      </c>
      <c r="D2262" s="84" t="s">
        <v>161</v>
      </c>
      <c r="E2262" s="84" t="s">
        <v>847</v>
      </c>
      <c r="F2262" s="84"/>
      <c r="G2262" s="87">
        <f>G2263+G2265</f>
        <v>2429370.29</v>
      </c>
      <c r="H2262" s="87">
        <f t="shared" ref="H2262:I2262" si="569">H2263+H2265</f>
        <v>2448139.29</v>
      </c>
      <c r="I2262" s="87">
        <f t="shared" si="569"/>
        <v>2467096.29</v>
      </c>
      <c r="J2262" s="177"/>
      <c r="K2262" s="222"/>
      <c r="L2262" s="222"/>
      <c r="M2262" s="222"/>
      <c r="N2262" s="222"/>
      <c r="O2262" s="222"/>
      <c r="P2262" s="222"/>
      <c r="Q2262" s="222"/>
      <c r="R2262" s="222"/>
    </row>
    <row r="2263" spans="1:18" s="3" customFormat="1" ht="63.75">
      <c r="A2263" s="146" t="s">
        <v>55</v>
      </c>
      <c r="B2263" s="149">
        <v>799</v>
      </c>
      <c r="C2263" s="84" t="s">
        <v>19</v>
      </c>
      <c r="D2263" s="84" t="s">
        <v>161</v>
      </c>
      <c r="E2263" s="84" t="s">
        <v>847</v>
      </c>
      <c r="F2263" s="84" t="s">
        <v>58</v>
      </c>
      <c r="G2263" s="87">
        <f>G2264</f>
        <v>2295770.29</v>
      </c>
      <c r="H2263" s="87">
        <f>H2264</f>
        <v>2314539.29</v>
      </c>
      <c r="I2263" s="87">
        <f>I2264</f>
        <v>2333496.29</v>
      </c>
      <c r="J2263" s="177"/>
      <c r="K2263" s="199"/>
      <c r="L2263" s="199"/>
      <c r="M2263" s="199"/>
      <c r="N2263" s="199"/>
      <c r="O2263" s="199"/>
      <c r="P2263" s="199"/>
      <c r="Q2263" s="222"/>
      <c r="R2263" s="199"/>
    </row>
    <row r="2264" spans="1:18" s="3" customFormat="1" ht="25.5">
      <c r="A2264" s="146" t="s">
        <v>56</v>
      </c>
      <c r="B2264" s="149">
        <v>799</v>
      </c>
      <c r="C2264" s="84" t="s">
        <v>19</v>
      </c>
      <c r="D2264" s="84" t="s">
        <v>161</v>
      </c>
      <c r="E2264" s="84" t="s">
        <v>847</v>
      </c>
      <c r="F2264" s="84" t="s">
        <v>59</v>
      </c>
      <c r="G2264" s="87">
        <f>1944977+350793.29</f>
        <v>2295770.29</v>
      </c>
      <c r="H2264" s="87">
        <f>1456026+439720+68000+350793.29</f>
        <v>2314539.29</v>
      </c>
      <c r="I2264" s="87">
        <f>1470586+444117+68000+350793.29</f>
        <v>2333496.29</v>
      </c>
      <c r="J2264" s="177"/>
      <c r="K2264" s="199"/>
      <c r="L2264" s="199"/>
      <c r="M2264" s="199"/>
      <c r="N2264" s="199"/>
      <c r="O2264" s="199"/>
      <c r="P2264" s="199"/>
      <c r="Q2264" s="222"/>
      <c r="R2264" s="199"/>
    </row>
    <row r="2265" spans="1:18" s="3" customFormat="1" ht="25.5">
      <c r="A2265" s="82" t="s">
        <v>36</v>
      </c>
      <c r="B2265" s="149">
        <v>799</v>
      </c>
      <c r="C2265" s="84" t="s">
        <v>19</v>
      </c>
      <c r="D2265" s="84" t="s">
        <v>161</v>
      </c>
      <c r="E2265" s="84" t="s">
        <v>847</v>
      </c>
      <c r="F2265" s="84" t="s">
        <v>37</v>
      </c>
      <c r="G2265" s="87">
        <f>G2266</f>
        <v>133600</v>
      </c>
      <c r="H2265" s="87">
        <f>H2266</f>
        <v>133600</v>
      </c>
      <c r="I2265" s="87">
        <f>I2266</f>
        <v>133600</v>
      </c>
      <c r="J2265" s="177"/>
      <c r="K2265" s="199"/>
      <c r="L2265" s="199"/>
      <c r="M2265" s="199"/>
      <c r="N2265" s="199"/>
      <c r="O2265" s="199"/>
      <c r="P2265" s="199"/>
      <c r="Q2265" s="222"/>
      <c r="R2265" s="199"/>
    </row>
    <row r="2266" spans="1:18" s="3" customFormat="1" ht="25.5">
      <c r="A2266" s="82" t="s">
        <v>38</v>
      </c>
      <c r="B2266" s="149">
        <v>799</v>
      </c>
      <c r="C2266" s="84" t="s">
        <v>19</v>
      </c>
      <c r="D2266" s="84" t="s">
        <v>161</v>
      </c>
      <c r="E2266" s="84" t="s">
        <v>847</v>
      </c>
      <c r="F2266" s="84" t="s">
        <v>39</v>
      </c>
      <c r="G2266" s="87">
        <v>133600</v>
      </c>
      <c r="H2266" s="87">
        <v>133600</v>
      </c>
      <c r="I2266" s="87">
        <v>133600</v>
      </c>
      <c r="J2266" s="177"/>
      <c r="K2266" s="199"/>
      <c r="L2266" s="199"/>
      <c r="M2266" s="199"/>
      <c r="N2266" s="199"/>
      <c r="O2266" s="199"/>
      <c r="P2266" s="199"/>
      <c r="Q2266" s="222"/>
      <c r="R2266" s="199"/>
    </row>
    <row r="2267" spans="1:18" s="3" customFormat="1" ht="66" customHeight="1">
      <c r="A2267" s="136" t="s">
        <v>140</v>
      </c>
      <c r="B2267" s="149">
        <v>799</v>
      </c>
      <c r="C2267" s="84" t="s">
        <v>19</v>
      </c>
      <c r="D2267" s="84" t="s">
        <v>161</v>
      </c>
      <c r="E2267" s="84" t="s">
        <v>955</v>
      </c>
      <c r="F2267" s="84"/>
      <c r="G2267" s="87">
        <f t="shared" ref="G2267:I2268" si="570">G2268</f>
        <v>48014.5</v>
      </c>
      <c r="H2267" s="87">
        <f t="shared" si="570"/>
        <v>0</v>
      </c>
      <c r="I2267" s="87">
        <f t="shared" si="570"/>
        <v>0</v>
      </c>
      <c r="J2267" s="177"/>
      <c r="K2267" s="199"/>
      <c r="L2267" s="199"/>
      <c r="M2267" s="199"/>
      <c r="N2267" s="199"/>
      <c r="O2267" s="199"/>
      <c r="P2267" s="199"/>
      <c r="Q2267" s="199"/>
      <c r="R2267" s="199"/>
    </row>
    <row r="2268" spans="1:18" s="3" customFormat="1" ht="25.5">
      <c r="A2268" s="82" t="s">
        <v>36</v>
      </c>
      <c r="B2268" s="149">
        <v>799</v>
      </c>
      <c r="C2268" s="84" t="s">
        <v>19</v>
      </c>
      <c r="D2268" s="84" t="s">
        <v>161</v>
      </c>
      <c r="E2268" s="84" t="s">
        <v>955</v>
      </c>
      <c r="F2268" s="84" t="s">
        <v>37</v>
      </c>
      <c r="G2268" s="87">
        <f t="shared" si="570"/>
        <v>48014.5</v>
      </c>
      <c r="H2268" s="87">
        <f t="shared" si="570"/>
        <v>0</v>
      </c>
      <c r="I2268" s="87">
        <f t="shared" si="570"/>
        <v>0</v>
      </c>
      <c r="J2268" s="177"/>
      <c r="K2268" s="199"/>
      <c r="L2268" s="199"/>
      <c r="M2268" s="199"/>
      <c r="N2268" s="199"/>
      <c r="O2268" s="199"/>
      <c r="P2268" s="199"/>
      <c r="Q2268" s="199"/>
      <c r="R2268" s="199"/>
    </row>
    <row r="2269" spans="1:18" s="3" customFormat="1" ht="25.5">
      <c r="A2269" s="82" t="s">
        <v>38</v>
      </c>
      <c r="B2269" s="149">
        <v>799</v>
      </c>
      <c r="C2269" s="84" t="s">
        <v>19</v>
      </c>
      <c r="D2269" s="84" t="s">
        <v>161</v>
      </c>
      <c r="E2269" s="84" t="s">
        <v>955</v>
      </c>
      <c r="F2269" s="84" t="s">
        <v>39</v>
      </c>
      <c r="G2269" s="87">
        <v>48014.5</v>
      </c>
      <c r="H2269" s="87">
        <v>0</v>
      </c>
      <c r="I2269" s="87">
        <v>0</v>
      </c>
      <c r="J2269" s="177"/>
      <c r="K2269" s="199"/>
      <c r="L2269" s="199"/>
      <c r="M2269" s="199"/>
      <c r="N2269" s="199"/>
      <c r="O2269" s="199"/>
      <c r="P2269" s="199"/>
      <c r="Q2269" s="199"/>
      <c r="R2269" s="199"/>
    </row>
    <row r="2270" spans="1:18" s="124" customFormat="1">
      <c r="A2270" s="282" t="s">
        <v>74</v>
      </c>
      <c r="B2270" s="273"/>
      <c r="C2270" s="162"/>
      <c r="D2270" s="162"/>
      <c r="E2270" s="162"/>
      <c r="F2270" s="162"/>
      <c r="G2270" s="96">
        <f>G2258</f>
        <v>2477384.79</v>
      </c>
      <c r="H2270" s="96">
        <f t="shared" ref="H2270:I2270" si="571">H2258</f>
        <v>2448139.29</v>
      </c>
      <c r="I2270" s="96">
        <f t="shared" si="571"/>
        <v>2467096.29</v>
      </c>
      <c r="J2270" s="192"/>
      <c r="K2270" s="207"/>
      <c r="L2270" s="207"/>
      <c r="M2270" s="207"/>
      <c r="N2270" s="207"/>
      <c r="O2270" s="207"/>
      <c r="P2270" s="207"/>
      <c r="Q2270" s="207"/>
      <c r="R2270" s="207"/>
    </row>
    <row r="2271" spans="1:18" s="22" customFormat="1" ht="21" customHeight="1">
      <c r="A2271" s="260" t="s">
        <v>368</v>
      </c>
      <c r="B2271" s="273"/>
      <c r="C2271" s="273"/>
      <c r="D2271" s="273"/>
      <c r="E2271" s="273"/>
      <c r="F2271" s="273"/>
      <c r="G2271" s="96">
        <f>G388+G463+G1064+G1137+G1815+G2270+G2154++G1843+G2256</f>
        <v>1867280251.6600003</v>
      </c>
      <c r="H2271" s="96">
        <f>H388+H463+H1064+H1137+H1815+H2270+H2154++H1843+H2256</f>
        <v>1435918073.3499999</v>
      </c>
      <c r="I2271" s="96">
        <f>I388+I463+I1064+I1137+I1815+I2270+I2154++I1843+I2256</f>
        <v>1646941446.9099998</v>
      </c>
      <c r="J2271" s="192"/>
      <c r="K2271" s="208"/>
      <c r="L2271" s="208"/>
      <c r="M2271" s="208"/>
      <c r="N2271" s="207"/>
      <c r="O2271" s="207"/>
      <c r="P2271" s="207"/>
      <c r="Q2271" s="207"/>
      <c r="R2271" s="207"/>
    </row>
    <row r="2272" spans="1:18">
      <c r="A2272" s="90"/>
      <c r="B2272" s="293"/>
      <c r="C2272" s="293"/>
      <c r="D2272" s="293"/>
      <c r="E2272" s="293"/>
      <c r="F2272" s="293"/>
      <c r="G2272" s="89"/>
      <c r="H2272" s="89"/>
      <c r="I2272" s="89"/>
      <c r="K2272" s="207"/>
      <c r="L2272" s="207"/>
    </row>
    <row r="2273" spans="1:18">
      <c r="A2273" s="90"/>
      <c r="B2273" s="293"/>
      <c r="C2273" s="293"/>
      <c r="D2273" s="293"/>
      <c r="E2273" s="293"/>
      <c r="F2273" s="293"/>
      <c r="G2273" s="89"/>
      <c r="H2273" s="89"/>
      <c r="I2273" s="89"/>
      <c r="K2273" s="207"/>
      <c r="L2273" s="207"/>
    </row>
    <row r="2274" spans="1:18">
      <c r="A2274" s="90"/>
      <c r="B2274" s="293"/>
      <c r="C2274" s="293"/>
      <c r="D2274" s="293"/>
      <c r="E2274" s="293"/>
      <c r="F2274" s="293"/>
      <c r="G2274" s="89"/>
      <c r="H2274" s="89"/>
      <c r="I2274" s="89"/>
      <c r="K2274" s="207"/>
      <c r="L2274" s="207"/>
    </row>
    <row r="2275" spans="1:18">
      <c r="G2275" s="60">
        <v>1865039851.6600001</v>
      </c>
      <c r="H2275" s="60">
        <v>1435817073.3499999</v>
      </c>
      <c r="I2275" s="60">
        <v>1646941446.9100001</v>
      </c>
      <c r="K2275" s="207"/>
      <c r="L2275" s="207"/>
    </row>
    <row r="2276" spans="1:18">
      <c r="G2276" s="60">
        <f>G2271-G2275</f>
        <v>2240400.0000002384</v>
      </c>
      <c r="H2276" s="89">
        <f t="shared" ref="H2276:I2276" si="572">H2271-H2275</f>
        <v>101000</v>
      </c>
      <c r="I2276" s="60">
        <f t="shared" si="572"/>
        <v>0</v>
      </c>
      <c r="K2276" s="207"/>
      <c r="L2276" s="207"/>
    </row>
    <row r="2277" spans="1:18">
      <c r="K2277" s="207"/>
      <c r="L2277" s="207"/>
    </row>
    <row r="2278" spans="1:18">
      <c r="K2278" s="207"/>
      <c r="L2278" s="207"/>
    </row>
    <row r="2279" spans="1:18">
      <c r="B2279" s="1"/>
      <c r="C2279" s="1"/>
      <c r="D2279" s="1"/>
      <c r="K2279" s="207"/>
      <c r="L2279" s="207"/>
    </row>
    <row r="2280" spans="1:18">
      <c r="B2280" s="1"/>
      <c r="C2280" s="1"/>
      <c r="D2280" s="1"/>
      <c r="K2280" s="207"/>
      <c r="L2280" s="207"/>
      <c r="M2280" s="1"/>
      <c r="N2280" s="1"/>
      <c r="O2280" s="1"/>
      <c r="P2280" s="1"/>
      <c r="Q2280" s="1"/>
      <c r="R2280" s="1"/>
    </row>
    <row r="2281" spans="1:18">
      <c r="B2281" s="1"/>
      <c r="C2281" s="1"/>
      <c r="D2281" s="1"/>
      <c r="K2281" s="208"/>
      <c r="L2281" s="207"/>
      <c r="M2281" s="1"/>
      <c r="N2281" s="1"/>
      <c r="O2281" s="1"/>
      <c r="P2281" s="1"/>
      <c r="Q2281" s="1"/>
      <c r="R2281" s="1"/>
    </row>
    <row r="2283" spans="1:18">
      <c r="G2283" s="89"/>
      <c r="H2283" s="89"/>
      <c r="I2283" s="89"/>
      <c r="M2283" s="1"/>
      <c r="N2283" s="1"/>
      <c r="O2283" s="1"/>
      <c r="P2283" s="1"/>
      <c r="Q2283" s="1"/>
      <c r="R2283" s="1"/>
    </row>
    <row r="2286" spans="1:18">
      <c r="B2286" s="1"/>
      <c r="C2286" s="1"/>
      <c r="D2286" s="1"/>
      <c r="E2286" s="1"/>
      <c r="F2286" s="1"/>
      <c r="G2286" s="1"/>
      <c r="H2286" s="1"/>
      <c r="I2286" s="1"/>
      <c r="J2286" s="186"/>
      <c r="M2286" s="1"/>
      <c r="N2286" s="1"/>
      <c r="O2286" s="1"/>
      <c r="P2286" s="1"/>
      <c r="Q2286" s="1"/>
      <c r="R2286" s="1"/>
    </row>
    <row r="2287" spans="1:18">
      <c r="J2287" s="178"/>
      <c r="M2287" s="1"/>
      <c r="N2287" s="1"/>
      <c r="O2287" s="1"/>
      <c r="P2287" s="1"/>
      <c r="Q2287" s="1"/>
      <c r="R2287" s="1"/>
    </row>
    <row r="2289" spans="2:18">
      <c r="K2289" s="179"/>
      <c r="L2289" s="179"/>
      <c r="M2289" s="1"/>
      <c r="N2289" s="1"/>
      <c r="O2289" s="1"/>
      <c r="P2289" s="1"/>
      <c r="Q2289" s="1"/>
      <c r="R2289" s="1"/>
    </row>
    <row r="2302" spans="2:18"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209"/>
      <c r="R2302" s="1"/>
    </row>
    <row r="2303" spans="2:18"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209"/>
      <c r="R2303" s="1"/>
    </row>
  </sheetData>
  <mergeCells count="25">
    <mergeCell ref="F14:H14"/>
    <mergeCell ref="A16:A18"/>
    <mergeCell ref="D16:D18"/>
    <mergeCell ref="C16:C18"/>
    <mergeCell ref="B16:B18"/>
    <mergeCell ref="A15:I15"/>
    <mergeCell ref="H17:H18"/>
    <mergeCell ref="I17:I18"/>
    <mergeCell ref="G16:I16"/>
    <mergeCell ref="F16:F18"/>
    <mergeCell ref="E16:E18"/>
    <mergeCell ref="G17:G18"/>
    <mergeCell ref="F10:H10"/>
    <mergeCell ref="F13:I13"/>
    <mergeCell ref="F12:H12"/>
    <mergeCell ref="F11:H11"/>
    <mergeCell ref="F5:H5"/>
    <mergeCell ref="F6:H6"/>
    <mergeCell ref="F7:K7"/>
    <mergeCell ref="F8:H8"/>
    <mergeCell ref="F1:H1"/>
    <mergeCell ref="F2:H2"/>
    <mergeCell ref="F3:H3"/>
    <mergeCell ref="F4:H4"/>
    <mergeCell ref="F9:H9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1546" max="8" man="1"/>
    <brk id="1629" max="8" man="1"/>
    <brk id="1761" max="8" man="1"/>
    <brk id="2198" max="8" man="1"/>
    <brk id="227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580"/>
  <sheetViews>
    <sheetView tabSelected="1" view="pageBreakPreview" zoomScaleNormal="93" zoomScaleSheetLayoutView="100" workbookViewId="0">
      <selection activeCell="E2" sqref="E2:G2"/>
    </sheetView>
  </sheetViews>
  <sheetFormatPr defaultColWidth="9.140625" defaultRowHeight="12.75"/>
  <cols>
    <col min="1" max="1" width="54.5703125" style="1" customWidth="1"/>
    <col min="2" max="2" width="6.85546875" style="59" hidden="1" customWidth="1"/>
    <col min="3" max="3" width="4.5703125" style="59" hidden="1" customWidth="1"/>
    <col min="4" max="4" width="4.7109375" style="59" hidden="1" customWidth="1"/>
    <col min="5" max="5" width="20.42578125" style="59" customWidth="1"/>
    <col min="6" max="6" width="9.85546875" style="59" customWidth="1"/>
    <col min="7" max="7" width="26.28515625" style="89" customWidth="1"/>
    <col min="8" max="8" width="21.5703125" style="89" customWidth="1"/>
    <col min="9" max="9" width="29" style="89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ht="12.75" customHeight="1">
      <c r="E1" s="329" t="s">
        <v>923</v>
      </c>
      <c r="F1" s="329"/>
      <c r="G1" s="329"/>
      <c r="H1" s="313"/>
      <c r="I1" s="60"/>
      <c r="J1" s="179"/>
      <c r="K1" s="186"/>
      <c r="L1" s="186"/>
      <c r="M1" s="186"/>
      <c r="N1" s="186"/>
      <c r="O1" s="186"/>
      <c r="P1" s="186"/>
      <c r="Q1" s="186"/>
      <c r="R1" s="186"/>
      <c r="S1" s="1"/>
      <c r="T1" s="1"/>
    </row>
    <row r="2" spans="1:20" ht="30" customHeight="1">
      <c r="E2" s="330" t="s">
        <v>1147</v>
      </c>
      <c r="F2" s="330"/>
      <c r="G2" s="330"/>
      <c r="H2" s="312"/>
      <c r="I2" s="60"/>
      <c r="J2" s="179"/>
      <c r="K2" s="186"/>
      <c r="L2" s="186"/>
      <c r="M2" s="186"/>
      <c r="N2" s="186"/>
      <c r="O2" s="186"/>
      <c r="P2" s="186"/>
      <c r="Q2" s="186"/>
      <c r="R2" s="186"/>
      <c r="S2" s="1"/>
      <c r="T2" s="1"/>
    </row>
    <row r="3" spans="1:20" customFormat="1" ht="19.5" customHeight="1">
      <c r="B3" s="62"/>
      <c r="C3" s="65"/>
      <c r="D3" s="65"/>
      <c r="E3" s="295" t="s">
        <v>923</v>
      </c>
      <c r="F3" s="295"/>
      <c r="G3" s="295"/>
      <c r="H3" s="295"/>
      <c r="I3" s="295"/>
      <c r="J3" s="295"/>
      <c r="K3" s="295"/>
    </row>
    <row r="4" spans="1:20" customFormat="1" ht="33" customHeight="1">
      <c r="B4" s="62"/>
      <c r="C4" s="296"/>
      <c r="D4" s="65"/>
      <c r="E4" s="330" t="s">
        <v>1109</v>
      </c>
      <c r="F4" s="330"/>
      <c r="G4" s="330"/>
      <c r="H4" s="295"/>
      <c r="I4" s="97"/>
      <c r="J4" s="99"/>
    </row>
    <row r="5" spans="1:20" customFormat="1" ht="19.5" customHeight="1">
      <c r="B5" s="62"/>
      <c r="C5" s="65"/>
      <c r="D5" s="65"/>
      <c r="E5" s="257" t="s">
        <v>923</v>
      </c>
      <c r="F5" s="257"/>
      <c r="G5" s="257"/>
      <c r="H5" s="257"/>
      <c r="I5" s="257"/>
      <c r="J5" s="257"/>
      <c r="K5" s="257"/>
    </row>
    <row r="6" spans="1:20" customFormat="1" ht="33" customHeight="1">
      <c r="B6" s="62"/>
      <c r="C6" s="258"/>
      <c r="D6" s="65"/>
      <c r="E6" s="330" t="s">
        <v>1076</v>
      </c>
      <c r="F6" s="330"/>
      <c r="G6" s="330"/>
      <c r="H6" s="257"/>
      <c r="I6" s="97"/>
      <c r="J6" s="99"/>
    </row>
    <row r="7" spans="1:20" customFormat="1" ht="19.5" customHeight="1">
      <c r="B7" s="62"/>
      <c r="C7" s="65"/>
      <c r="D7" s="65"/>
      <c r="E7" s="255" t="s">
        <v>923</v>
      </c>
      <c r="F7" s="255"/>
      <c r="G7" s="255"/>
      <c r="H7" s="255"/>
      <c r="I7" s="255"/>
      <c r="J7" s="255"/>
      <c r="K7" s="255"/>
    </row>
    <row r="8" spans="1:20" customFormat="1" ht="33" customHeight="1">
      <c r="B8" s="62"/>
      <c r="C8" s="256"/>
      <c r="D8" s="65"/>
      <c r="E8" s="330" t="s">
        <v>1052</v>
      </c>
      <c r="F8" s="330"/>
      <c r="G8" s="330"/>
      <c r="H8" s="255"/>
      <c r="I8" s="97"/>
      <c r="J8" s="99"/>
    </row>
    <row r="9" spans="1:20" ht="19.5" customHeight="1">
      <c r="B9" s="343" t="s">
        <v>370</v>
      </c>
      <c r="C9" s="344"/>
      <c r="D9" s="344"/>
      <c r="E9" s="345" t="s">
        <v>923</v>
      </c>
      <c r="F9" s="345"/>
      <c r="G9" s="345"/>
      <c r="H9" s="90"/>
      <c r="I9" s="1"/>
    </row>
    <row r="10" spans="1:20" ht="35.25" customHeight="1">
      <c r="B10" s="331" t="s">
        <v>716</v>
      </c>
      <c r="C10" s="331"/>
      <c r="D10" s="331" t="s">
        <v>1037</v>
      </c>
      <c r="E10" s="331"/>
      <c r="F10" s="346"/>
      <c r="G10" s="346"/>
      <c r="H10" s="90"/>
      <c r="I10" s="1"/>
    </row>
    <row r="11" spans="1:20" ht="19.5" customHeight="1">
      <c r="B11" s="343" t="s">
        <v>370</v>
      </c>
      <c r="C11" s="344"/>
      <c r="D11" s="344"/>
      <c r="E11" s="345" t="s">
        <v>923</v>
      </c>
      <c r="F11" s="345"/>
      <c r="G11" s="345"/>
      <c r="H11" s="90"/>
      <c r="I11" s="1"/>
    </row>
    <row r="12" spans="1:20" ht="35.25" customHeight="1">
      <c r="B12" s="331" t="s">
        <v>716</v>
      </c>
      <c r="C12" s="331"/>
      <c r="D12" s="331" t="s">
        <v>1006</v>
      </c>
      <c r="E12" s="331"/>
      <c r="F12" s="346"/>
      <c r="G12" s="346"/>
      <c r="H12" s="90"/>
      <c r="I12" s="1"/>
    </row>
    <row r="13" spans="1:20" ht="19.5" customHeight="1">
      <c r="B13" s="343" t="s">
        <v>370</v>
      </c>
      <c r="C13" s="344"/>
      <c r="D13" s="344"/>
      <c r="E13" s="345" t="s">
        <v>924</v>
      </c>
      <c r="F13" s="345"/>
      <c r="G13" s="345"/>
      <c r="H13" s="90"/>
      <c r="I13" s="1"/>
    </row>
    <row r="14" spans="1:20" ht="35.25" customHeight="1">
      <c r="B14" s="331" t="s">
        <v>716</v>
      </c>
      <c r="C14" s="331"/>
      <c r="D14" s="331" t="s">
        <v>925</v>
      </c>
      <c r="E14" s="331"/>
      <c r="F14" s="346"/>
      <c r="G14" s="346"/>
      <c r="H14" s="90"/>
      <c r="I14" s="1"/>
    </row>
    <row r="15" spans="1:20" ht="61.5" customHeight="1">
      <c r="A15" s="348" t="s">
        <v>974</v>
      </c>
      <c r="B15" s="348"/>
      <c r="C15" s="348"/>
      <c r="D15" s="348"/>
      <c r="E15" s="348"/>
      <c r="F15" s="348"/>
      <c r="G15" s="348"/>
      <c r="H15" s="349"/>
      <c r="I15" s="349"/>
    </row>
    <row r="16" spans="1:20" ht="14.25" customHeight="1">
      <c r="A16" s="340" t="s">
        <v>12</v>
      </c>
      <c r="B16" s="102"/>
      <c r="C16" s="102"/>
      <c r="D16" s="102"/>
      <c r="E16" s="342" t="s">
        <v>16</v>
      </c>
      <c r="F16" s="342" t="s">
        <v>17</v>
      </c>
      <c r="G16" s="352" t="s">
        <v>371</v>
      </c>
      <c r="H16" s="347"/>
      <c r="I16" s="347"/>
    </row>
    <row r="17" spans="1:20" s="3" customFormat="1" ht="23.25" customHeight="1">
      <c r="A17" s="347"/>
      <c r="B17" s="342" t="s">
        <v>13</v>
      </c>
      <c r="C17" s="342" t="s">
        <v>14</v>
      </c>
      <c r="D17" s="342" t="s">
        <v>15</v>
      </c>
      <c r="E17" s="341"/>
      <c r="F17" s="341"/>
      <c r="G17" s="350" t="s">
        <v>433</v>
      </c>
      <c r="H17" s="350" t="s">
        <v>660</v>
      </c>
      <c r="I17" s="350" t="s">
        <v>910</v>
      </c>
      <c r="J17" s="111"/>
      <c r="K17" s="90"/>
      <c r="P17" s="111"/>
      <c r="Q17" s="111"/>
      <c r="R17" s="111"/>
      <c r="S17" s="111"/>
      <c r="T17" s="111"/>
    </row>
    <row r="18" spans="1:20" s="3" customFormat="1" ht="69.75" customHeight="1">
      <c r="A18" s="347"/>
      <c r="B18" s="351"/>
      <c r="C18" s="351"/>
      <c r="D18" s="351"/>
      <c r="E18" s="341"/>
      <c r="F18" s="341"/>
      <c r="G18" s="337"/>
      <c r="H18" s="337"/>
      <c r="I18" s="337"/>
      <c r="J18" s="111"/>
      <c r="P18" s="111"/>
      <c r="Q18" s="111"/>
      <c r="R18" s="111"/>
      <c r="S18" s="111"/>
      <c r="T18" s="111"/>
    </row>
    <row r="19" spans="1:20" s="3" customFormat="1">
      <c r="A19" s="4">
        <v>1</v>
      </c>
      <c r="B19" s="4">
        <v>2</v>
      </c>
      <c r="C19" s="4">
        <v>3</v>
      </c>
      <c r="D19" s="4">
        <v>4</v>
      </c>
      <c r="E19" s="4">
        <v>2</v>
      </c>
      <c r="F19" s="4">
        <v>3</v>
      </c>
      <c r="G19" s="91">
        <v>4</v>
      </c>
      <c r="H19" s="91">
        <v>5</v>
      </c>
      <c r="I19" s="91">
        <v>6</v>
      </c>
      <c r="J19" s="111"/>
      <c r="P19" s="111"/>
      <c r="Q19" s="111"/>
      <c r="R19" s="111"/>
      <c r="S19" s="111"/>
      <c r="T19" s="111"/>
    </row>
    <row r="20" spans="1:20" s="74" customFormat="1" ht="42" customHeight="1">
      <c r="A20" s="78" t="s">
        <v>109</v>
      </c>
      <c r="B20" s="73"/>
      <c r="C20" s="73"/>
      <c r="D20" s="73"/>
      <c r="E20" s="73"/>
      <c r="F20" s="73"/>
      <c r="G20" s="92">
        <f>G22+G32+G58+G105+G138+G161+G311+G354+G698+G718+G782+G1028+G1047+G1052+G1065+G1075+G1081+G1087+G1117+G1150+G1166+G1345+G1370+G1382</f>
        <v>1775574234.9499998</v>
      </c>
      <c r="H20" s="92">
        <f>H22+H32+H58+H105+H138+H161+H311+H354+H698+H718+H782+H1028+H1047+H1052+H1065+H1075+H1081+H1087+H1117+H1150+H1166+H1345+H1370+H1382</f>
        <v>1359882713.5999997</v>
      </c>
      <c r="I20" s="92">
        <f>I22+I32+I58+I105+I138+I161+I311+I354+I698+I718+I782+I1028+I1047+I1052+I1065+I1075+I1081+I1087+I1117+I1150+I1166+I1345+I1370+I1382</f>
        <v>1569449655.8699996</v>
      </c>
      <c r="J20" s="112"/>
      <c r="P20" s="112"/>
      <c r="Q20" s="112"/>
      <c r="R20" s="112"/>
      <c r="S20" s="112"/>
      <c r="T20" s="112"/>
    </row>
    <row r="21" spans="1:20" s="3" customFormat="1">
      <c r="A21" s="4"/>
      <c r="B21" s="4"/>
      <c r="C21" s="4"/>
      <c r="D21" s="4"/>
      <c r="E21" s="4"/>
      <c r="F21" s="4"/>
      <c r="G21" s="91"/>
      <c r="H21" s="91"/>
      <c r="I21" s="91"/>
      <c r="J21" s="111"/>
      <c r="P21" s="111"/>
      <c r="Q21" s="111"/>
      <c r="R21" s="111"/>
      <c r="S21" s="111"/>
      <c r="T21" s="111"/>
    </row>
    <row r="22" spans="1:20" s="74" customFormat="1" ht="42" customHeight="1">
      <c r="A22" s="228" t="s">
        <v>470</v>
      </c>
      <c r="B22" s="229"/>
      <c r="C22" s="229"/>
      <c r="D22" s="229"/>
      <c r="E22" s="19" t="s">
        <v>110</v>
      </c>
      <c r="F22" s="73"/>
      <c r="G22" s="230">
        <f>G23+G29+G26</f>
        <v>3685500</v>
      </c>
      <c r="H22" s="230">
        <f>H23+H29</f>
        <v>2225475</v>
      </c>
      <c r="I22" s="230">
        <f>I23+I29</f>
        <v>2225475</v>
      </c>
      <c r="J22" s="112">
        <v>2271304</v>
      </c>
      <c r="P22" s="112"/>
      <c r="Q22" s="112"/>
      <c r="R22" s="112"/>
      <c r="S22" s="112"/>
      <c r="T22" s="112"/>
    </row>
    <row r="23" spans="1:20" ht="33" customHeight="1">
      <c r="A23" s="16" t="s">
        <v>185</v>
      </c>
      <c r="B23" s="14">
        <v>757</v>
      </c>
      <c r="C23" s="15" t="s">
        <v>69</v>
      </c>
      <c r="D23" s="15" t="s">
        <v>70</v>
      </c>
      <c r="E23" s="15" t="s">
        <v>410</v>
      </c>
      <c r="F23" s="15"/>
      <c r="G23" s="70">
        <f t="shared" ref="G23:I24" si="0">G24</f>
        <v>3685500</v>
      </c>
      <c r="H23" s="70">
        <f t="shared" si="0"/>
        <v>2225475</v>
      </c>
      <c r="I23" s="70">
        <f t="shared" si="0"/>
        <v>2225475</v>
      </c>
    </row>
    <row r="24" spans="1:20" ht="33" customHeight="1">
      <c r="A24" s="16" t="s">
        <v>148</v>
      </c>
      <c r="B24" s="14">
        <v>757</v>
      </c>
      <c r="C24" s="15" t="s">
        <v>69</v>
      </c>
      <c r="D24" s="15" t="s">
        <v>70</v>
      </c>
      <c r="E24" s="15" t="s">
        <v>410</v>
      </c>
      <c r="F24" s="15" t="s">
        <v>149</v>
      </c>
      <c r="G24" s="70">
        <f t="shared" si="0"/>
        <v>3685500</v>
      </c>
      <c r="H24" s="70">
        <f t="shared" si="0"/>
        <v>2225475</v>
      </c>
      <c r="I24" s="70">
        <f t="shared" si="0"/>
        <v>2225475</v>
      </c>
    </row>
    <row r="25" spans="1:20" ht="33" customHeight="1">
      <c r="A25" s="16" t="s">
        <v>150</v>
      </c>
      <c r="B25" s="14">
        <v>757</v>
      </c>
      <c r="C25" s="15" t="s">
        <v>69</v>
      </c>
      <c r="D25" s="15" t="s">
        <v>70</v>
      </c>
      <c r="E25" s="15" t="s">
        <v>410</v>
      </c>
      <c r="F25" s="15" t="s">
        <v>151</v>
      </c>
      <c r="G25" s="70">
        <f>'прил 5,'!G1767</f>
        <v>3685500</v>
      </c>
      <c r="H25" s="70">
        <f>'прил 5,'!H1767</f>
        <v>2225475</v>
      </c>
      <c r="I25" s="70">
        <f>'прил 5,'!I1767</f>
        <v>2225475</v>
      </c>
    </row>
    <row r="26" spans="1:20" ht="33" hidden="1" customHeight="1">
      <c r="A26" s="16" t="s">
        <v>824</v>
      </c>
      <c r="B26" s="14">
        <v>757</v>
      </c>
      <c r="C26" s="15" t="s">
        <v>69</v>
      </c>
      <c r="D26" s="15" t="s">
        <v>54</v>
      </c>
      <c r="E26" s="15" t="s">
        <v>823</v>
      </c>
      <c r="F26" s="15"/>
      <c r="G26" s="70">
        <f t="shared" ref="G26:I27" si="1">G27</f>
        <v>0</v>
      </c>
      <c r="H26" s="70">
        <f t="shared" si="1"/>
        <v>0</v>
      </c>
      <c r="I26" s="70">
        <f t="shared" si="1"/>
        <v>0</v>
      </c>
      <c r="J26" s="1"/>
    </row>
    <row r="27" spans="1:20" ht="33" hidden="1" customHeight="1">
      <c r="A27" s="16" t="s">
        <v>148</v>
      </c>
      <c r="B27" s="14">
        <v>757</v>
      </c>
      <c r="C27" s="15" t="s">
        <v>69</v>
      </c>
      <c r="D27" s="15" t="s">
        <v>54</v>
      </c>
      <c r="E27" s="15" t="s">
        <v>823</v>
      </c>
      <c r="F27" s="15" t="s">
        <v>149</v>
      </c>
      <c r="G27" s="70">
        <f t="shared" si="1"/>
        <v>0</v>
      </c>
      <c r="H27" s="70">
        <f t="shared" si="1"/>
        <v>0</v>
      </c>
      <c r="I27" s="70">
        <f t="shared" si="1"/>
        <v>0</v>
      </c>
      <c r="J27" s="1"/>
    </row>
    <row r="28" spans="1:20" ht="33" hidden="1" customHeight="1">
      <c r="A28" s="16" t="s">
        <v>150</v>
      </c>
      <c r="B28" s="14">
        <v>757</v>
      </c>
      <c r="C28" s="15" t="s">
        <v>69</v>
      </c>
      <c r="D28" s="15" t="s">
        <v>54</v>
      </c>
      <c r="E28" s="15" t="s">
        <v>823</v>
      </c>
      <c r="F28" s="15" t="s">
        <v>151</v>
      </c>
      <c r="G28" s="70">
        <f>'прил 5,'!G363</f>
        <v>0</v>
      </c>
      <c r="H28" s="70">
        <v>0</v>
      </c>
      <c r="I28" s="70">
        <v>0</v>
      </c>
      <c r="J28" s="1"/>
    </row>
    <row r="29" spans="1:20" ht="82.5" hidden="1" customHeight="1">
      <c r="A29" s="50" t="s">
        <v>412</v>
      </c>
      <c r="B29" s="14">
        <v>757</v>
      </c>
      <c r="C29" s="15" t="s">
        <v>69</v>
      </c>
      <c r="D29" s="15" t="s">
        <v>70</v>
      </c>
      <c r="E29" s="15" t="s">
        <v>411</v>
      </c>
      <c r="F29" s="15"/>
      <c r="G29" s="70">
        <f t="shared" ref="G29:I30" si="2">G30</f>
        <v>0</v>
      </c>
      <c r="H29" s="70">
        <f>H30</f>
        <v>0</v>
      </c>
      <c r="I29" s="70">
        <f t="shared" si="2"/>
        <v>0</v>
      </c>
    </row>
    <row r="30" spans="1:20" ht="33" hidden="1" customHeight="1">
      <c r="A30" s="16" t="s">
        <v>148</v>
      </c>
      <c r="B30" s="14">
        <v>757</v>
      </c>
      <c r="C30" s="15" t="s">
        <v>69</v>
      </c>
      <c r="D30" s="15" t="s">
        <v>70</v>
      </c>
      <c r="E30" s="15" t="s">
        <v>411</v>
      </c>
      <c r="F30" s="15" t="s">
        <v>149</v>
      </c>
      <c r="G30" s="70">
        <f t="shared" si="2"/>
        <v>0</v>
      </c>
      <c r="H30" s="70">
        <f t="shared" si="2"/>
        <v>0</v>
      </c>
      <c r="I30" s="70">
        <f t="shared" si="2"/>
        <v>0</v>
      </c>
    </row>
    <row r="31" spans="1:20" ht="33" hidden="1" customHeight="1">
      <c r="A31" s="16" t="s">
        <v>150</v>
      </c>
      <c r="B31" s="14">
        <v>757</v>
      </c>
      <c r="C31" s="15" t="s">
        <v>69</v>
      </c>
      <c r="D31" s="15" t="s">
        <v>70</v>
      </c>
      <c r="E31" s="15" t="s">
        <v>411</v>
      </c>
      <c r="F31" s="15" t="s">
        <v>151</v>
      </c>
      <c r="G31" s="70">
        <f>'прил 5,'!G366</f>
        <v>0</v>
      </c>
      <c r="H31" s="70">
        <f>'прил 5,'!AH366</f>
        <v>0</v>
      </c>
      <c r="I31" s="70">
        <f>'прил 5,'!AI366</f>
        <v>0</v>
      </c>
    </row>
    <row r="32" spans="1:20" s="232" customFormat="1" ht="51">
      <c r="A32" s="34" t="s">
        <v>472</v>
      </c>
      <c r="B32" s="35">
        <v>793</v>
      </c>
      <c r="C32" s="36" t="s">
        <v>19</v>
      </c>
      <c r="D32" s="36" t="s">
        <v>23</v>
      </c>
      <c r="E32" s="35" t="s">
        <v>247</v>
      </c>
      <c r="F32" s="36"/>
      <c r="G32" s="71">
        <f>G33+G36+G48+G55+G43</f>
        <v>3135495.99</v>
      </c>
      <c r="H32" s="71">
        <f t="shared" ref="H32:I32" si="3">H33+H36+H48+H55+H43</f>
        <v>1262498.49</v>
      </c>
      <c r="I32" s="71">
        <f t="shared" si="3"/>
        <v>2222880.63</v>
      </c>
      <c r="J32" s="231">
        <v>465200</v>
      </c>
      <c r="P32" s="231"/>
      <c r="Q32" s="231"/>
      <c r="R32" s="231"/>
      <c r="S32" s="231"/>
      <c r="T32" s="231"/>
    </row>
    <row r="33" spans="1:20" s="33" customFormat="1" ht="27.75" customHeight="1">
      <c r="A33" s="16" t="s">
        <v>188</v>
      </c>
      <c r="B33" s="14">
        <v>793</v>
      </c>
      <c r="C33" s="15" t="s">
        <v>19</v>
      </c>
      <c r="D33" s="15" t="s">
        <v>23</v>
      </c>
      <c r="E33" s="15" t="s">
        <v>382</v>
      </c>
      <c r="F33" s="15"/>
      <c r="G33" s="87">
        <f t="shared" ref="G33:I34" si="4">G34</f>
        <v>1048486</v>
      </c>
      <c r="H33" s="87">
        <f t="shared" si="4"/>
        <v>500000</v>
      </c>
      <c r="I33" s="87">
        <f t="shared" si="4"/>
        <v>500000</v>
      </c>
      <c r="J33" s="113"/>
      <c r="P33" s="113"/>
      <c r="Q33" s="113"/>
      <c r="R33" s="113"/>
      <c r="S33" s="113"/>
      <c r="T33" s="113"/>
    </row>
    <row r="34" spans="1:20" s="33" customFormat="1" ht="28.5" customHeight="1">
      <c r="A34" s="16" t="s">
        <v>30</v>
      </c>
      <c r="B34" s="14">
        <v>793</v>
      </c>
      <c r="C34" s="15" t="s">
        <v>19</v>
      </c>
      <c r="D34" s="15" t="s">
        <v>23</v>
      </c>
      <c r="E34" s="15" t="s">
        <v>382</v>
      </c>
      <c r="F34" s="15" t="s">
        <v>31</v>
      </c>
      <c r="G34" s="87">
        <f t="shared" si="4"/>
        <v>1048486</v>
      </c>
      <c r="H34" s="87">
        <f t="shared" si="4"/>
        <v>500000</v>
      </c>
      <c r="I34" s="87">
        <f t="shared" si="4"/>
        <v>500000</v>
      </c>
      <c r="J34" s="113"/>
      <c r="P34" s="113"/>
      <c r="Q34" s="113"/>
      <c r="R34" s="113"/>
      <c r="S34" s="113"/>
      <c r="T34" s="113"/>
    </row>
    <row r="35" spans="1:20" s="33" customFormat="1" ht="31.5" customHeight="1">
      <c r="A35" s="16" t="s">
        <v>9</v>
      </c>
      <c r="B35" s="14">
        <v>793</v>
      </c>
      <c r="C35" s="15" t="s">
        <v>19</v>
      </c>
      <c r="D35" s="15" t="s">
        <v>23</v>
      </c>
      <c r="E35" s="15" t="s">
        <v>382</v>
      </c>
      <c r="F35" s="15" t="s">
        <v>8</v>
      </c>
      <c r="G35" s="87">
        <f>'прил 5,'!G1207</f>
        <v>1048486</v>
      </c>
      <c r="H35" s="87">
        <f>'прил 5,'!H1207</f>
        <v>500000</v>
      </c>
      <c r="I35" s="87">
        <f>'прил 5,'!I1207</f>
        <v>500000</v>
      </c>
      <c r="J35" s="113"/>
      <c r="P35" s="113"/>
      <c r="Q35" s="113"/>
      <c r="R35" s="113"/>
      <c r="S35" s="113"/>
      <c r="T35" s="113"/>
    </row>
    <row r="36" spans="1:20" ht="25.5">
      <c r="A36" s="16" t="s">
        <v>163</v>
      </c>
      <c r="B36" s="14">
        <v>793</v>
      </c>
      <c r="C36" s="15" t="s">
        <v>19</v>
      </c>
      <c r="D36" s="15" t="s">
        <v>23</v>
      </c>
      <c r="E36" s="15" t="s">
        <v>383</v>
      </c>
      <c r="F36" s="15"/>
      <c r="G36" s="87">
        <f>G41+G39</f>
        <v>1976013.29</v>
      </c>
      <c r="H36" s="87">
        <f t="shared" ref="H36:I36" si="5">H41</f>
        <v>507498.49</v>
      </c>
      <c r="I36" s="87">
        <f t="shared" si="5"/>
        <v>1467880.63</v>
      </c>
      <c r="J36" s="2">
        <v>70000</v>
      </c>
    </row>
    <row r="37" spans="1:20" ht="25.5" customHeight="1">
      <c r="A37" s="16" t="s">
        <v>156</v>
      </c>
      <c r="B37" s="14">
        <v>793</v>
      </c>
      <c r="C37" s="15" t="s">
        <v>19</v>
      </c>
      <c r="D37" s="15" t="s">
        <v>23</v>
      </c>
      <c r="E37" s="15" t="s">
        <v>383</v>
      </c>
      <c r="F37" s="15" t="s">
        <v>157</v>
      </c>
      <c r="G37" s="70">
        <f>G38</f>
        <v>0</v>
      </c>
      <c r="H37" s="70">
        <f t="shared" ref="H37:I39" si="6">H38</f>
        <v>0</v>
      </c>
      <c r="I37" s="70">
        <f t="shared" si="6"/>
        <v>0</v>
      </c>
      <c r="J37" s="2">
        <v>35000</v>
      </c>
    </row>
    <row r="38" spans="1:20" ht="25.5" hidden="1" customHeight="1">
      <c r="A38" s="16" t="s">
        <v>170</v>
      </c>
      <c r="B38" s="14">
        <v>793</v>
      </c>
      <c r="C38" s="15" t="s">
        <v>19</v>
      </c>
      <c r="D38" s="15" t="s">
        <v>23</v>
      </c>
      <c r="E38" s="15" t="s">
        <v>383</v>
      </c>
      <c r="F38" s="15" t="s">
        <v>171</v>
      </c>
      <c r="G38" s="70"/>
      <c r="H38" s="103">
        <v>0</v>
      </c>
      <c r="I38" s="103">
        <v>0</v>
      </c>
      <c r="J38" s="2">
        <v>500000</v>
      </c>
    </row>
    <row r="39" spans="1:20" ht="25.5" customHeight="1">
      <c r="A39" s="16" t="s">
        <v>156</v>
      </c>
      <c r="B39" s="14">
        <v>793</v>
      </c>
      <c r="C39" s="15" t="s">
        <v>19</v>
      </c>
      <c r="D39" s="15" t="s">
        <v>23</v>
      </c>
      <c r="E39" s="15" t="s">
        <v>383</v>
      </c>
      <c r="F39" s="15" t="s">
        <v>157</v>
      </c>
      <c r="G39" s="70">
        <f>G40</f>
        <v>1976013.29</v>
      </c>
      <c r="H39" s="70">
        <f t="shared" si="6"/>
        <v>0</v>
      </c>
      <c r="I39" s="70">
        <f t="shared" si="6"/>
        <v>0</v>
      </c>
      <c r="J39" s="2">
        <v>35000</v>
      </c>
    </row>
    <row r="40" spans="1:20" ht="25.5" customHeight="1">
      <c r="A40" s="16" t="s">
        <v>178</v>
      </c>
      <c r="B40" s="14">
        <v>793</v>
      </c>
      <c r="C40" s="15" t="s">
        <v>19</v>
      </c>
      <c r="D40" s="15" t="s">
        <v>23</v>
      </c>
      <c r="E40" s="15" t="s">
        <v>383</v>
      </c>
      <c r="F40" s="15" t="s">
        <v>179</v>
      </c>
      <c r="G40" s="70">
        <f>'прил 5,'!G1210</f>
        <v>1976013.29</v>
      </c>
      <c r="H40" s="103">
        <f>'прил 5,'!H1210</f>
        <v>0</v>
      </c>
      <c r="I40" s="103">
        <f>'прил 5,'!I1210</f>
        <v>0</v>
      </c>
      <c r="J40" s="2">
        <v>500000</v>
      </c>
    </row>
    <row r="41" spans="1:20" ht="16.5" customHeight="1">
      <c r="A41" s="82" t="s">
        <v>63</v>
      </c>
      <c r="B41" s="14">
        <v>793</v>
      </c>
      <c r="C41" s="15" t="s">
        <v>19</v>
      </c>
      <c r="D41" s="15" t="s">
        <v>23</v>
      </c>
      <c r="E41" s="15" t="s">
        <v>383</v>
      </c>
      <c r="F41" s="15" t="s">
        <v>64</v>
      </c>
      <c r="G41" s="70">
        <f>G42</f>
        <v>-4.638422979041934E-11</v>
      </c>
      <c r="H41" s="70">
        <f t="shared" ref="H41:I41" si="7">H42</f>
        <v>507498.49</v>
      </c>
      <c r="I41" s="70">
        <f t="shared" si="7"/>
        <v>1467880.63</v>
      </c>
      <c r="J41" s="1"/>
    </row>
    <row r="42" spans="1:20" ht="17.25" customHeight="1">
      <c r="A42" s="82" t="s">
        <v>180</v>
      </c>
      <c r="B42" s="14">
        <v>793</v>
      </c>
      <c r="C42" s="15" t="s">
        <v>19</v>
      </c>
      <c r="D42" s="15" t="s">
        <v>23</v>
      </c>
      <c r="E42" s="15" t="s">
        <v>383</v>
      </c>
      <c r="F42" s="15" t="s">
        <v>181</v>
      </c>
      <c r="G42" s="70">
        <f>'прил 5,'!G1212</f>
        <v>-4.638422979041934E-11</v>
      </c>
      <c r="H42" s="70">
        <f>'прил 5,'!H1212</f>
        <v>507498.49</v>
      </c>
      <c r="I42" s="70">
        <f>'прил 5,'!I1212</f>
        <v>1467880.63</v>
      </c>
      <c r="J42" s="1"/>
    </row>
    <row r="43" spans="1:20" ht="27.75" customHeight="1">
      <c r="A43" s="104" t="s">
        <v>913</v>
      </c>
      <c r="B43" s="14">
        <v>793</v>
      </c>
      <c r="C43" s="15" t="s">
        <v>19</v>
      </c>
      <c r="D43" s="15" t="s">
        <v>23</v>
      </c>
      <c r="E43" s="15" t="s">
        <v>873</v>
      </c>
      <c r="F43" s="15"/>
      <c r="G43" s="70">
        <f>G44+G46</f>
        <v>0</v>
      </c>
      <c r="H43" s="70">
        <f t="shared" ref="H43:I43" si="8">H44+H46</f>
        <v>100000</v>
      </c>
      <c r="I43" s="70">
        <f t="shared" si="8"/>
        <v>100000</v>
      </c>
      <c r="J43" s="1"/>
    </row>
    <row r="44" spans="1:20" ht="19.5" hidden="1" customHeight="1">
      <c r="A44" s="16" t="s">
        <v>156</v>
      </c>
      <c r="B44" s="14">
        <v>793</v>
      </c>
      <c r="C44" s="15" t="s">
        <v>19</v>
      </c>
      <c r="D44" s="15" t="s">
        <v>23</v>
      </c>
      <c r="E44" s="15" t="s">
        <v>383</v>
      </c>
      <c r="F44" s="15" t="s">
        <v>157</v>
      </c>
      <c r="G44" s="70">
        <f>G45</f>
        <v>0</v>
      </c>
      <c r="H44" s="70">
        <f t="shared" ref="H44:I46" si="9">H45</f>
        <v>0</v>
      </c>
      <c r="I44" s="70">
        <f t="shared" si="9"/>
        <v>0</v>
      </c>
      <c r="J44" s="1"/>
    </row>
    <row r="45" spans="1:20" ht="12" hidden="1" customHeight="1">
      <c r="A45" s="16" t="s">
        <v>178</v>
      </c>
      <c r="B45" s="14">
        <v>793</v>
      </c>
      <c r="C45" s="15" t="s">
        <v>19</v>
      </c>
      <c r="D45" s="15" t="s">
        <v>23</v>
      </c>
      <c r="E45" s="15" t="s">
        <v>383</v>
      </c>
      <c r="F45" s="15" t="s">
        <v>179</v>
      </c>
      <c r="G45" s="70"/>
      <c r="H45" s="70"/>
      <c r="I45" s="70"/>
      <c r="J45" s="1"/>
    </row>
    <row r="46" spans="1:20" ht="16.5" customHeight="1">
      <c r="A46" s="82" t="s">
        <v>63</v>
      </c>
      <c r="B46" s="14">
        <v>793</v>
      </c>
      <c r="C46" s="15" t="s">
        <v>19</v>
      </c>
      <c r="D46" s="15" t="s">
        <v>23</v>
      </c>
      <c r="E46" s="15" t="s">
        <v>873</v>
      </c>
      <c r="F46" s="15" t="s">
        <v>64</v>
      </c>
      <c r="G46" s="70">
        <f>G47</f>
        <v>0</v>
      </c>
      <c r="H46" s="70">
        <f t="shared" si="9"/>
        <v>100000</v>
      </c>
      <c r="I46" s="70">
        <f t="shared" si="9"/>
        <v>100000</v>
      </c>
      <c r="J46" s="1"/>
    </row>
    <row r="47" spans="1:20" ht="17.25" customHeight="1">
      <c r="A47" s="82" t="s">
        <v>180</v>
      </c>
      <c r="B47" s="14">
        <v>793</v>
      </c>
      <c r="C47" s="15" t="s">
        <v>19</v>
      </c>
      <c r="D47" s="15" t="s">
        <v>23</v>
      </c>
      <c r="E47" s="15" t="s">
        <v>873</v>
      </c>
      <c r="F47" s="15" t="s">
        <v>181</v>
      </c>
      <c r="G47" s="70">
        <f>'прил 5,'!G1217</f>
        <v>0</v>
      </c>
      <c r="H47" s="70">
        <f>'прил 5,'!H1217</f>
        <v>100000</v>
      </c>
      <c r="I47" s="70">
        <f>'прил 5,'!I1217</f>
        <v>100000</v>
      </c>
      <c r="J47" s="1"/>
    </row>
    <row r="48" spans="1:20" ht="25.5" customHeight="1">
      <c r="A48" s="16" t="s">
        <v>120</v>
      </c>
      <c r="B48" s="14">
        <v>793</v>
      </c>
      <c r="C48" s="15" t="s">
        <v>19</v>
      </c>
      <c r="D48" s="15" t="s">
        <v>23</v>
      </c>
      <c r="E48" s="15" t="s">
        <v>248</v>
      </c>
      <c r="F48" s="15"/>
      <c r="G48" s="87">
        <f>G49+G53+G52</f>
        <v>110996.7</v>
      </c>
      <c r="H48" s="87">
        <f t="shared" ref="H48:I48" si="10">H49+H53+H52</f>
        <v>105000</v>
      </c>
      <c r="I48" s="87">
        <f t="shared" si="10"/>
        <v>105000</v>
      </c>
      <c r="J48" s="2">
        <v>50000</v>
      </c>
    </row>
    <row r="49" spans="1:20" ht="25.5" customHeight="1">
      <c r="A49" s="16" t="s">
        <v>323</v>
      </c>
      <c r="B49" s="14">
        <v>793</v>
      </c>
      <c r="C49" s="15" t="s">
        <v>19</v>
      </c>
      <c r="D49" s="15" t="s">
        <v>23</v>
      </c>
      <c r="E49" s="15" t="s">
        <v>248</v>
      </c>
      <c r="F49" s="15" t="s">
        <v>37</v>
      </c>
      <c r="G49" s="87">
        <f>G50</f>
        <v>75996.7</v>
      </c>
      <c r="H49" s="87">
        <f>H50</f>
        <v>70000</v>
      </c>
      <c r="I49" s="87">
        <f>I50</f>
        <v>70000</v>
      </c>
      <c r="J49" s="2">
        <f>SUM(J32:J48)</f>
        <v>1655200</v>
      </c>
    </row>
    <row r="50" spans="1:20" ht="25.5" customHeight="1">
      <c r="A50" s="16" t="s">
        <v>38</v>
      </c>
      <c r="B50" s="14">
        <v>793</v>
      </c>
      <c r="C50" s="15" t="s">
        <v>19</v>
      </c>
      <c r="D50" s="15" t="s">
        <v>23</v>
      </c>
      <c r="E50" s="15" t="s">
        <v>248</v>
      </c>
      <c r="F50" s="15" t="s">
        <v>39</v>
      </c>
      <c r="G50" s="87">
        <f>'прил 5,'!G1220</f>
        <v>75996.7</v>
      </c>
      <c r="H50" s="87">
        <f>'прил 5,'!H1220</f>
        <v>70000</v>
      </c>
      <c r="I50" s="87">
        <f>'прил 5,'!I1220</f>
        <v>70000</v>
      </c>
    </row>
    <row r="51" spans="1:20" ht="25.5" hidden="1" customHeight="1">
      <c r="A51" s="16" t="s">
        <v>30</v>
      </c>
      <c r="B51" s="14">
        <v>793</v>
      </c>
      <c r="C51" s="15" t="s">
        <v>19</v>
      </c>
      <c r="D51" s="15" t="s">
        <v>23</v>
      </c>
      <c r="E51" s="15" t="s">
        <v>248</v>
      </c>
      <c r="F51" s="15" t="s">
        <v>31</v>
      </c>
      <c r="G51" s="70">
        <f>G52</f>
        <v>0</v>
      </c>
      <c r="H51" s="70">
        <f t="shared" ref="H51:I51" si="11">H52</f>
        <v>0</v>
      </c>
      <c r="I51" s="70">
        <f t="shared" si="11"/>
        <v>0</v>
      </c>
      <c r="J51" s="1"/>
    </row>
    <row r="52" spans="1:20" ht="25.5" hidden="1" customHeight="1">
      <c r="A52" s="16" t="s">
        <v>9</v>
      </c>
      <c r="B52" s="14">
        <v>793</v>
      </c>
      <c r="C52" s="15" t="s">
        <v>19</v>
      </c>
      <c r="D52" s="15" t="s">
        <v>23</v>
      </c>
      <c r="E52" s="15" t="s">
        <v>248</v>
      </c>
      <c r="F52" s="15" t="s">
        <v>8</v>
      </c>
      <c r="G52" s="70"/>
      <c r="H52" s="70"/>
      <c r="I52" s="70"/>
      <c r="J52" s="1"/>
    </row>
    <row r="53" spans="1:20" ht="25.5" customHeight="1">
      <c r="A53" s="16" t="s">
        <v>63</v>
      </c>
      <c r="B53" s="14">
        <v>793</v>
      </c>
      <c r="C53" s="15" t="s">
        <v>19</v>
      </c>
      <c r="D53" s="15" t="s">
        <v>23</v>
      </c>
      <c r="E53" s="15" t="s">
        <v>248</v>
      </c>
      <c r="F53" s="15" t="s">
        <v>64</v>
      </c>
      <c r="G53" s="87">
        <f>G54</f>
        <v>35000</v>
      </c>
      <c r="H53" s="87">
        <f>H54</f>
        <v>35000</v>
      </c>
      <c r="I53" s="87">
        <f>I54</f>
        <v>35000</v>
      </c>
    </row>
    <row r="54" spans="1:20" ht="25.5" customHeight="1">
      <c r="A54" s="16" t="s">
        <v>144</v>
      </c>
      <c r="B54" s="14">
        <v>793</v>
      </c>
      <c r="C54" s="15" t="s">
        <v>19</v>
      </c>
      <c r="D54" s="15" t="s">
        <v>23</v>
      </c>
      <c r="E54" s="15" t="s">
        <v>248</v>
      </c>
      <c r="F54" s="15" t="s">
        <v>67</v>
      </c>
      <c r="G54" s="87">
        <f>'прил 5,'!G1224</f>
        <v>35000</v>
      </c>
      <c r="H54" s="87">
        <f>'прил 5,'!H1224</f>
        <v>35000</v>
      </c>
      <c r="I54" s="87">
        <f>'прил 5,'!I1224</f>
        <v>35000</v>
      </c>
    </row>
    <row r="55" spans="1:20" ht="25.5" customHeight="1">
      <c r="A55" s="16" t="s">
        <v>447</v>
      </c>
      <c r="B55" s="14">
        <v>793</v>
      </c>
      <c r="C55" s="15" t="s">
        <v>19</v>
      </c>
      <c r="D55" s="15" t="s">
        <v>23</v>
      </c>
      <c r="E55" s="15" t="s">
        <v>448</v>
      </c>
      <c r="F55" s="15"/>
      <c r="G55" s="70">
        <f t="shared" ref="G55:I56" si="12">G56</f>
        <v>0</v>
      </c>
      <c r="H55" s="8">
        <f t="shared" si="12"/>
        <v>50000</v>
      </c>
      <c r="I55" s="8">
        <f t="shared" si="12"/>
        <v>50000</v>
      </c>
    </row>
    <row r="56" spans="1:20" ht="25.5" customHeight="1">
      <c r="A56" s="16" t="s">
        <v>323</v>
      </c>
      <c r="B56" s="14">
        <v>793</v>
      </c>
      <c r="C56" s="15" t="s">
        <v>19</v>
      </c>
      <c r="D56" s="15" t="s">
        <v>23</v>
      </c>
      <c r="E56" s="15" t="s">
        <v>448</v>
      </c>
      <c r="F56" s="15" t="s">
        <v>37</v>
      </c>
      <c r="G56" s="70">
        <f t="shared" si="12"/>
        <v>0</v>
      </c>
      <c r="H56" s="8">
        <f t="shared" si="12"/>
        <v>50000</v>
      </c>
      <c r="I56" s="8">
        <f t="shared" si="12"/>
        <v>50000</v>
      </c>
    </row>
    <row r="57" spans="1:20" ht="25.5" customHeight="1">
      <c r="A57" s="16" t="s">
        <v>38</v>
      </c>
      <c r="B57" s="14">
        <v>793</v>
      </c>
      <c r="C57" s="15" t="s">
        <v>19</v>
      </c>
      <c r="D57" s="15" t="s">
        <v>23</v>
      </c>
      <c r="E57" s="15" t="s">
        <v>448</v>
      </c>
      <c r="F57" s="15" t="s">
        <v>39</v>
      </c>
      <c r="G57" s="70">
        <f>'прил 5,'!G1227</f>
        <v>0</v>
      </c>
      <c r="H57" s="8">
        <f>'прил 5,'!H1227</f>
        <v>50000</v>
      </c>
      <c r="I57" s="8">
        <f>'прил 5,'!I1227</f>
        <v>50000</v>
      </c>
    </row>
    <row r="58" spans="1:20" s="232" customFormat="1" ht="38.25">
      <c r="A58" s="34" t="s">
        <v>441</v>
      </c>
      <c r="B58" s="35">
        <v>763</v>
      </c>
      <c r="C58" s="36" t="s">
        <v>19</v>
      </c>
      <c r="D58" s="36" t="s">
        <v>54</v>
      </c>
      <c r="E58" s="36" t="s">
        <v>207</v>
      </c>
      <c r="F58" s="75"/>
      <c r="G58" s="71">
        <f>G59+G66+G72+G75+G78+G81+G84++G87+G90+G96+G93+G99</f>
        <v>14098285</v>
      </c>
      <c r="H58" s="71">
        <f>H59+H66+H69+H72+H75+H87+H102</f>
        <v>13087275</v>
      </c>
      <c r="I58" s="71">
        <f>I59+I66+I69+I72+I75+I87</f>
        <v>13202404</v>
      </c>
      <c r="J58" s="231">
        <v>9155959</v>
      </c>
      <c r="L58" s="231">
        <f>G58+H58+I58-G59-H59-I59</f>
        <v>3495000</v>
      </c>
      <c r="P58" s="231"/>
      <c r="Q58" s="231"/>
      <c r="R58" s="231"/>
      <c r="S58" s="231"/>
      <c r="T58" s="231"/>
    </row>
    <row r="59" spans="1:20" s="33" customFormat="1" ht="25.5">
      <c r="A59" s="16" t="s">
        <v>76</v>
      </c>
      <c r="B59" s="14">
        <v>763</v>
      </c>
      <c r="C59" s="15" t="s">
        <v>19</v>
      </c>
      <c r="D59" s="15" t="s">
        <v>54</v>
      </c>
      <c r="E59" s="15" t="s">
        <v>208</v>
      </c>
      <c r="F59" s="39"/>
      <c r="G59" s="87">
        <f>G60+G62+G64</f>
        <v>12183285</v>
      </c>
      <c r="H59" s="87">
        <f t="shared" ref="H59:I59" si="13">H60+H62+H64</f>
        <v>12297275</v>
      </c>
      <c r="I59" s="87">
        <f t="shared" si="13"/>
        <v>12412404</v>
      </c>
      <c r="J59" s="113">
        <v>567396</v>
      </c>
      <c r="P59" s="113"/>
      <c r="Q59" s="113"/>
      <c r="R59" s="113"/>
      <c r="S59" s="113"/>
      <c r="T59" s="113"/>
    </row>
    <row r="60" spans="1:20" ht="51">
      <c r="A60" s="16" t="s">
        <v>55</v>
      </c>
      <c r="B60" s="14">
        <v>763</v>
      </c>
      <c r="C60" s="15" t="s">
        <v>19</v>
      </c>
      <c r="D60" s="15" t="s">
        <v>54</v>
      </c>
      <c r="E60" s="15" t="s">
        <v>208</v>
      </c>
      <c r="F60" s="15" t="s">
        <v>58</v>
      </c>
      <c r="G60" s="87">
        <f>SUM(G61)</f>
        <v>11480921</v>
      </c>
      <c r="H60" s="87">
        <f>SUM(H61)</f>
        <v>11598911</v>
      </c>
      <c r="I60" s="87">
        <f>SUM(I61)</f>
        <v>11714040</v>
      </c>
      <c r="J60" s="2">
        <v>15000</v>
      </c>
    </row>
    <row r="61" spans="1:20" ht="25.5">
      <c r="A61" s="16" t="s">
        <v>56</v>
      </c>
      <c r="B61" s="14">
        <v>763</v>
      </c>
      <c r="C61" s="15" t="s">
        <v>19</v>
      </c>
      <c r="D61" s="15" t="s">
        <v>54</v>
      </c>
      <c r="E61" s="15" t="s">
        <v>208</v>
      </c>
      <c r="F61" s="15" t="s">
        <v>59</v>
      </c>
      <c r="G61" s="87">
        <f>'прил 5,'!G398</f>
        <v>11480921</v>
      </c>
      <c r="H61" s="87">
        <f>'прил 5,'!AH398+'прил 5,'!H398</f>
        <v>11598911</v>
      </c>
      <c r="I61" s="87">
        <f>'прил 5,'!AI398+'прил 5,'!I398</f>
        <v>11714040</v>
      </c>
      <c r="J61" s="2">
        <v>200000</v>
      </c>
    </row>
    <row r="62" spans="1:20" ht="25.5">
      <c r="A62" s="16" t="s">
        <v>36</v>
      </c>
      <c r="B62" s="14">
        <v>763</v>
      </c>
      <c r="C62" s="15" t="s">
        <v>19</v>
      </c>
      <c r="D62" s="15" t="s">
        <v>54</v>
      </c>
      <c r="E62" s="15" t="s">
        <v>208</v>
      </c>
      <c r="F62" s="15" t="s">
        <v>37</v>
      </c>
      <c r="G62" s="87">
        <f>SUM(G63)</f>
        <v>678999</v>
      </c>
      <c r="H62" s="87">
        <f>SUM(H63)</f>
        <v>680364</v>
      </c>
      <c r="I62" s="87">
        <f>SUM(I63)</f>
        <v>680364</v>
      </c>
      <c r="J62" s="2">
        <v>200000</v>
      </c>
    </row>
    <row r="63" spans="1:20" ht="25.5">
      <c r="A63" s="16" t="s">
        <v>38</v>
      </c>
      <c r="B63" s="14">
        <v>763</v>
      </c>
      <c r="C63" s="15" t="s">
        <v>19</v>
      </c>
      <c r="D63" s="15" t="s">
        <v>54</v>
      </c>
      <c r="E63" s="15" t="s">
        <v>208</v>
      </c>
      <c r="F63" s="15" t="s">
        <v>39</v>
      </c>
      <c r="G63" s="87">
        <f>'прил 5,'!G400</f>
        <v>678999</v>
      </c>
      <c r="H63" s="87">
        <f>'прил 5,'!AH400+'прил 5,'!H400</f>
        <v>680364</v>
      </c>
      <c r="I63" s="87">
        <f>'прил 5,'!AI400+'прил 5,'!I400</f>
        <v>680364</v>
      </c>
      <c r="J63" s="2">
        <v>210000</v>
      </c>
    </row>
    <row r="64" spans="1:20">
      <c r="A64" s="16" t="s">
        <v>63</v>
      </c>
      <c r="B64" s="14"/>
      <c r="C64" s="15"/>
      <c r="D64" s="15"/>
      <c r="E64" s="15" t="s">
        <v>208</v>
      </c>
      <c r="F64" s="15" t="s">
        <v>64</v>
      </c>
      <c r="G64" s="87">
        <f>G65</f>
        <v>23365</v>
      </c>
      <c r="H64" s="87">
        <f>H65</f>
        <v>18000</v>
      </c>
      <c r="I64" s="87">
        <f>I65</f>
        <v>18000</v>
      </c>
      <c r="J64" s="2">
        <f>SUM(J58:J63)</f>
        <v>10348355</v>
      </c>
    </row>
    <row r="65" spans="1:10">
      <c r="A65" s="16" t="s">
        <v>144</v>
      </c>
      <c r="B65" s="14"/>
      <c r="C65" s="15"/>
      <c r="D65" s="15"/>
      <c r="E65" s="15" t="s">
        <v>208</v>
      </c>
      <c r="F65" s="15" t="s">
        <v>67</v>
      </c>
      <c r="G65" s="87">
        <f>'прил 5,'!G402</f>
        <v>23365</v>
      </c>
      <c r="H65" s="87">
        <f>'прил 5,'!AH402+'прил 5,'!H402</f>
        <v>18000</v>
      </c>
      <c r="I65" s="87">
        <f>'прил 5,'!AI402+'прил 5,'!I402</f>
        <v>18000</v>
      </c>
    </row>
    <row r="66" spans="1:10" ht="33.75" customHeight="1">
      <c r="A66" s="16" t="s">
        <v>643</v>
      </c>
      <c r="B66" s="14">
        <v>763</v>
      </c>
      <c r="C66" s="15" t="s">
        <v>19</v>
      </c>
      <c r="D66" s="15" t="s">
        <v>23</v>
      </c>
      <c r="E66" s="15" t="s">
        <v>209</v>
      </c>
      <c r="F66" s="15"/>
      <c r="G66" s="87">
        <f>G67+G69</f>
        <v>569000</v>
      </c>
      <c r="H66" s="87">
        <f t="shared" ref="G66:I67" si="14">H67</f>
        <v>230000</v>
      </c>
      <c r="I66" s="87">
        <f t="shared" si="14"/>
        <v>230000</v>
      </c>
    </row>
    <row r="67" spans="1:10" ht="27.75" customHeight="1">
      <c r="A67" s="16" t="s">
        <v>36</v>
      </c>
      <c r="B67" s="14">
        <v>763</v>
      </c>
      <c r="C67" s="15" t="s">
        <v>19</v>
      </c>
      <c r="D67" s="15" t="s">
        <v>23</v>
      </c>
      <c r="E67" s="15" t="s">
        <v>209</v>
      </c>
      <c r="F67" s="15" t="s">
        <v>37</v>
      </c>
      <c r="G67" s="87">
        <f t="shared" si="14"/>
        <v>559600</v>
      </c>
      <c r="H67" s="87">
        <f t="shared" si="14"/>
        <v>230000</v>
      </c>
      <c r="I67" s="87">
        <f t="shared" si="14"/>
        <v>230000</v>
      </c>
    </row>
    <row r="68" spans="1:10" ht="28.5" customHeight="1">
      <c r="A68" s="16" t="s">
        <v>38</v>
      </c>
      <c r="B68" s="14">
        <v>763</v>
      </c>
      <c r="C68" s="15" t="s">
        <v>19</v>
      </c>
      <c r="D68" s="15" t="s">
        <v>23</v>
      </c>
      <c r="E68" s="15" t="s">
        <v>209</v>
      </c>
      <c r="F68" s="15" t="s">
        <v>39</v>
      </c>
      <c r="G68" s="87">
        <f>'прил 5,'!G407</f>
        <v>559600</v>
      </c>
      <c r="H68" s="87">
        <f>'прил 5,'!AH407+'прил 5,'!H407</f>
        <v>230000</v>
      </c>
      <c r="I68" s="87">
        <f>'прил 5,'!AI407+'прил 5,'!I407</f>
        <v>230000</v>
      </c>
    </row>
    <row r="69" spans="1:10">
      <c r="A69" s="16" t="s">
        <v>63</v>
      </c>
      <c r="B69" s="14">
        <v>763</v>
      </c>
      <c r="C69" s="15" t="s">
        <v>19</v>
      </c>
      <c r="D69" s="15" t="s">
        <v>23</v>
      </c>
      <c r="E69" s="15" t="s">
        <v>209</v>
      </c>
      <c r="F69" s="15" t="s">
        <v>64</v>
      </c>
      <c r="G69" s="87">
        <f>G70</f>
        <v>9400</v>
      </c>
      <c r="H69" s="70">
        <v>0</v>
      </c>
      <c r="I69" s="70">
        <v>0</v>
      </c>
    </row>
    <row r="70" spans="1:10" ht="15" customHeight="1">
      <c r="A70" s="16" t="s">
        <v>144</v>
      </c>
      <c r="B70" s="14">
        <v>763</v>
      </c>
      <c r="C70" s="15" t="s">
        <v>19</v>
      </c>
      <c r="D70" s="15" t="s">
        <v>23</v>
      </c>
      <c r="E70" s="15" t="s">
        <v>209</v>
      </c>
      <c r="F70" s="15" t="s">
        <v>67</v>
      </c>
      <c r="G70" s="87">
        <f>'прил 5,'!G409</f>
        <v>9400</v>
      </c>
      <c r="H70" s="70">
        <v>0</v>
      </c>
      <c r="I70" s="70">
        <v>0</v>
      </c>
    </row>
    <row r="71" spans="1:10" ht="28.5" hidden="1" customHeight="1">
      <c r="A71" s="16"/>
      <c r="B71" s="14"/>
      <c r="C71" s="15"/>
      <c r="D71" s="15"/>
      <c r="E71" s="15"/>
      <c r="F71" s="15"/>
      <c r="G71" s="70"/>
      <c r="H71" s="70"/>
      <c r="I71" s="70"/>
      <c r="J71" s="1"/>
    </row>
    <row r="72" spans="1:10" ht="125.25" customHeight="1">
      <c r="A72" s="16" t="s">
        <v>279</v>
      </c>
      <c r="B72" s="14">
        <v>763</v>
      </c>
      <c r="C72" s="15" t="s">
        <v>54</v>
      </c>
      <c r="D72" s="15" t="s">
        <v>88</v>
      </c>
      <c r="E72" s="15" t="s">
        <v>212</v>
      </c>
      <c r="F72" s="15"/>
      <c r="G72" s="87">
        <f>G73</f>
        <v>1076000</v>
      </c>
      <c r="H72" s="87">
        <f t="shared" ref="H72:I72" si="15">H73</f>
        <v>225000</v>
      </c>
      <c r="I72" s="87">
        <f t="shared" si="15"/>
        <v>250000</v>
      </c>
    </row>
    <row r="73" spans="1:10" ht="25.5">
      <c r="A73" s="16" t="s">
        <v>36</v>
      </c>
      <c r="B73" s="14">
        <v>763</v>
      </c>
      <c r="C73" s="15" t="s">
        <v>54</v>
      </c>
      <c r="D73" s="15" t="s">
        <v>88</v>
      </c>
      <c r="E73" s="15" t="s">
        <v>212</v>
      </c>
      <c r="F73" s="15" t="s">
        <v>37</v>
      </c>
      <c r="G73" s="87">
        <f>SUM(G74)</f>
        <v>1076000</v>
      </c>
      <c r="H73" s="87">
        <f>SUM(H74)</f>
        <v>225000</v>
      </c>
      <c r="I73" s="87">
        <f>SUM(I74)</f>
        <v>250000</v>
      </c>
    </row>
    <row r="74" spans="1:10" ht="25.5" customHeight="1">
      <c r="A74" s="16" t="s">
        <v>38</v>
      </c>
      <c r="B74" s="14">
        <v>763</v>
      </c>
      <c r="C74" s="15" t="s">
        <v>54</v>
      </c>
      <c r="D74" s="15" t="s">
        <v>88</v>
      </c>
      <c r="E74" s="15" t="s">
        <v>212</v>
      </c>
      <c r="F74" s="15" t="s">
        <v>39</v>
      </c>
      <c r="G74" s="87">
        <f>'прил 5,'!G424</f>
        <v>1076000</v>
      </c>
      <c r="H74" s="87">
        <f>'прил 5,'!AH424+'прил 5,'!H424</f>
        <v>225000</v>
      </c>
      <c r="I74" s="87">
        <f>'прил 5,'!AI424+'прил 5,'!I424</f>
        <v>250000</v>
      </c>
    </row>
    <row r="75" spans="1:10" ht="94.5" customHeight="1">
      <c r="A75" s="30" t="s">
        <v>644</v>
      </c>
      <c r="B75" s="14">
        <v>763</v>
      </c>
      <c r="C75" s="15" t="s">
        <v>54</v>
      </c>
      <c r="D75" s="15" t="s">
        <v>88</v>
      </c>
      <c r="E75" s="15" t="s">
        <v>213</v>
      </c>
      <c r="F75" s="15"/>
      <c r="G75" s="87">
        <f>G76</f>
        <v>270000</v>
      </c>
      <c r="H75" s="87">
        <f t="shared" ref="H75:I75" si="16">H76</f>
        <v>241000</v>
      </c>
      <c r="I75" s="87">
        <f t="shared" si="16"/>
        <v>270000</v>
      </c>
    </row>
    <row r="76" spans="1:10" ht="25.5">
      <c r="A76" s="16" t="s">
        <v>36</v>
      </c>
      <c r="B76" s="14">
        <v>763</v>
      </c>
      <c r="C76" s="15" t="s">
        <v>54</v>
      </c>
      <c r="D76" s="15" t="s">
        <v>88</v>
      </c>
      <c r="E76" s="15" t="s">
        <v>213</v>
      </c>
      <c r="F76" s="15" t="s">
        <v>37</v>
      </c>
      <c r="G76" s="87">
        <f>SUM(G77)</f>
        <v>270000</v>
      </c>
      <c r="H76" s="87">
        <f>SUM(H77)</f>
        <v>241000</v>
      </c>
      <c r="I76" s="87">
        <f>SUM(I77)</f>
        <v>270000</v>
      </c>
    </row>
    <row r="77" spans="1:10" ht="25.5" customHeight="1">
      <c r="A77" s="16" t="s">
        <v>38</v>
      </c>
      <c r="B77" s="14">
        <v>763</v>
      </c>
      <c r="C77" s="15" t="s">
        <v>54</v>
      </c>
      <c r="D77" s="15" t="s">
        <v>88</v>
      </c>
      <c r="E77" s="15" t="s">
        <v>213</v>
      </c>
      <c r="F77" s="15" t="s">
        <v>39</v>
      </c>
      <c r="G77" s="87">
        <f>'прил 5,'!G427</f>
        <v>270000</v>
      </c>
      <c r="H77" s="87">
        <f>'прил 5,'!AH427+'прил 5,'!H427</f>
        <v>241000</v>
      </c>
      <c r="I77" s="87">
        <f>'прил 5,'!AI427+'прил 5,'!I427</f>
        <v>270000</v>
      </c>
    </row>
    <row r="78" spans="1:10" ht="81.75" hidden="1" customHeight="1">
      <c r="A78" s="30" t="s">
        <v>598</v>
      </c>
      <c r="B78" s="14">
        <v>763</v>
      </c>
      <c r="C78" s="15" t="s">
        <v>54</v>
      </c>
      <c r="D78" s="15" t="s">
        <v>88</v>
      </c>
      <c r="E78" s="15" t="s">
        <v>565</v>
      </c>
      <c r="F78" s="15"/>
      <c r="G78" s="70">
        <f>G79</f>
        <v>0</v>
      </c>
      <c r="H78" s="70">
        <v>0</v>
      </c>
      <c r="I78" s="70">
        <v>0</v>
      </c>
      <c r="J78" s="1"/>
    </row>
    <row r="79" spans="1:10" ht="25.5" hidden="1">
      <c r="A79" s="16" t="s">
        <v>36</v>
      </c>
      <c r="B79" s="14">
        <v>763</v>
      </c>
      <c r="C79" s="15" t="s">
        <v>54</v>
      </c>
      <c r="D79" s="15" t="s">
        <v>88</v>
      </c>
      <c r="E79" s="15" t="s">
        <v>565</v>
      </c>
      <c r="F79" s="15" t="s">
        <v>37</v>
      </c>
      <c r="G79" s="70">
        <f>SUM(G80)</f>
        <v>0</v>
      </c>
      <c r="H79" s="70">
        <f>SUM(H80)</f>
        <v>0</v>
      </c>
      <c r="I79" s="70">
        <f>SUM(I80)</f>
        <v>0</v>
      </c>
      <c r="J79" s="1"/>
    </row>
    <row r="80" spans="1:10" ht="25.5" hidden="1" customHeight="1">
      <c r="A80" s="16" t="s">
        <v>38</v>
      </c>
      <c r="B80" s="14">
        <v>763</v>
      </c>
      <c r="C80" s="15" t="s">
        <v>54</v>
      </c>
      <c r="D80" s="15" t="s">
        <v>88</v>
      </c>
      <c r="E80" s="15" t="s">
        <v>565</v>
      </c>
      <c r="F80" s="15" t="s">
        <v>39</v>
      </c>
      <c r="G80" s="70"/>
      <c r="H80" s="70">
        <v>0</v>
      </c>
      <c r="I80" s="70">
        <v>0</v>
      </c>
      <c r="J80" s="1"/>
    </row>
    <row r="81" spans="1:10" ht="23.25" hidden="1" customHeight="1">
      <c r="A81" s="120" t="s">
        <v>567</v>
      </c>
      <c r="B81" s="14">
        <v>763</v>
      </c>
      <c r="C81" s="15" t="s">
        <v>54</v>
      </c>
      <c r="D81" s="15" t="s">
        <v>88</v>
      </c>
      <c r="E81" s="15" t="s">
        <v>566</v>
      </c>
      <c r="F81" s="15"/>
      <c r="G81" s="70">
        <f>G82</f>
        <v>0</v>
      </c>
      <c r="H81" s="70">
        <v>0</v>
      </c>
      <c r="I81" s="70">
        <v>0</v>
      </c>
      <c r="J81" s="1"/>
    </row>
    <row r="82" spans="1:10" ht="25.5" hidden="1">
      <c r="A82" s="16" t="s">
        <v>36</v>
      </c>
      <c r="B82" s="14">
        <v>763</v>
      </c>
      <c r="C82" s="15" t="s">
        <v>54</v>
      </c>
      <c r="D82" s="15" t="s">
        <v>88</v>
      </c>
      <c r="E82" s="15" t="s">
        <v>566</v>
      </c>
      <c r="F82" s="15" t="s">
        <v>37</v>
      </c>
      <c r="G82" s="70">
        <f>SUM(G83)</f>
        <v>0</v>
      </c>
      <c r="H82" s="70">
        <f>SUM(H83)</f>
        <v>0</v>
      </c>
      <c r="I82" s="70">
        <f>SUM(I83)</f>
        <v>0</v>
      </c>
      <c r="J82" s="1"/>
    </row>
    <row r="83" spans="1:10" ht="25.5" hidden="1" customHeight="1">
      <c r="A83" s="16" t="s">
        <v>38</v>
      </c>
      <c r="B83" s="14">
        <v>763</v>
      </c>
      <c r="C83" s="15" t="s">
        <v>54</v>
      </c>
      <c r="D83" s="15" t="s">
        <v>88</v>
      </c>
      <c r="E83" s="15" t="s">
        <v>566</v>
      </c>
      <c r="F83" s="15" t="s">
        <v>39</v>
      </c>
      <c r="G83" s="70"/>
      <c r="H83" s="70">
        <v>0</v>
      </c>
      <c r="I83" s="70">
        <v>0</v>
      </c>
      <c r="J83" s="1"/>
    </row>
    <row r="84" spans="1:10" ht="23.25" hidden="1" customHeight="1">
      <c r="A84" s="120" t="s">
        <v>569</v>
      </c>
      <c r="B84" s="14">
        <v>763</v>
      </c>
      <c r="C84" s="15" t="s">
        <v>54</v>
      </c>
      <c r="D84" s="15" t="s">
        <v>88</v>
      </c>
      <c r="E84" s="15" t="s">
        <v>568</v>
      </c>
      <c r="F84" s="15"/>
      <c r="G84" s="70">
        <f>G85</f>
        <v>0</v>
      </c>
      <c r="H84" s="70">
        <v>0</v>
      </c>
      <c r="I84" s="70">
        <v>0</v>
      </c>
      <c r="J84" s="1"/>
    </row>
    <row r="85" spans="1:10" ht="25.5" hidden="1">
      <c r="A85" s="16" t="s">
        <v>36</v>
      </c>
      <c r="B85" s="14">
        <v>763</v>
      </c>
      <c r="C85" s="15" t="s">
        <v>54</v>
      </c>
      <c r="D85" s="15" t="s">
        <v>88</v>
      </c>
      <c r="E85" s="15" t="s">
        <v>568</v>
      </c>
      <c r="F85" s="15" t="s">
        <v>37</v>
      </c>
      <c r="G85" s="70">
        <f>SUM(G86)</f>
        <v>0</v>
      </c>
      <c r="H85" s="70">
        <f>SUM(H86)</f>
        <v>0</v>
      </c>
      <c r="I85" s="70">
        <f>SUM(I86)</f>
        <v>0</v>
      </c>
      <c r="J85" s="1"/>
    </row>
    <row r="86" spans="1:10" ht="25.5" hidden="1" customHeight="1">
      <c r="A86" s="16" t="s">
        <v>38</v>
      </c>
      <c r="B86" s="14">
        <v>763</v>
      </c>
      <c r="C86" s="15" t="s">
        <v>54</v>
      </c>
      <c r="D86" s="15" t="s">
        <v>88</v>
      </c>
      <c r="E86" s="15" t="s">
        <v>568</v>
      </c>
      <c r="F86" s="15" t="s">
        <v>39</v>
      </c>
      <c r="G86" s="70"/>
      <c r="H86" s="70">
        <v>0</v>
      </c>
      <c r="I86" s="70">
        <v>0</v>
      </c>
      <c r="J86" s="1"/>
    </row>
    <row r="87" spans="1:10" ht="34.5" customHeight="1">
      <c r="A87" s="16" t="s">
        <v>583</v>
      </c>
      <c r="B87" s="14">
        <v>763</v>
      </c>
      <c r="C87" s="15" t="s">
        <v>54</v>
      </c>
      <c r="D87" s="15" t="s">
        <v>88</v>
      </c>
      <c r="E87" s="15" t="s">
        <v>582</v>
      </c>
      <c r="F87" s="15"/>
      <c r="G87" s="70">
        <f>G88</f>
        <v>0</v>
      </c>
      <c r="H87" s="70">
        <f t="shared" ref="H87:I87" si="17">H88</f>
        <v>40000</v>
      </c>
      <c r="I87" s="70">
        <f t="shared" si="17"/>
        <v>40000</v>
      </c>
      <c r="J87" s="1"/>
    </row>
    <row r="88" spans="1:10" ht="25.5">
      <c r="A88" s="16" t="s">
        <v>36</v>
      </c>
      <c r="B88" s="14">
        <v>763</v>
      </c>
      <c r="C88" s="15" t="s">
        <v>54</v>
      </c>
      <c r="D88" s="15" t="s">
        <v>88</v>
      </c>
      <c r="E88" s="15" t="s">
        <v>582</v>
      </c>
      <c r="F88" s="15" t="s">
        <v>37</v>
      </c>
      <c r="G88" s="70">
        <f>SUM(G89)</f>
        <v>0</v>
      </c>
      <c r="H88" s="70">
        <f>SUM(H89)</f>
        <v>40000</v>
      </c>
      <c r="I88" s="70">
        <f>SUM(I89)</f>
        <v>40000</v>
      </c>
      <c r="J88" s="1"/>
    </row>
    <row r="89" spans="1:10" ht="30.75" customHeight="1">
      <c r="A89" s="16" t="s">
        <v>38</v>
      </c>
      <c r="B89" s="14">
        <v>763</v>
      </c>
      <c r="C89" s="15" t="s">
        <v>54</v>
      </c>
      <c r="D89" s="15" t="s">
        <v>88</v>
      </c>
      <c r="E89" s="15" t="s">
        <v>582</v>
      </c>
      <c r="F89" s="15" t="s">
        <v>39</v>
      </c>
      <c r="G89" s="70">
        <f>'прил 5,'!G439</f>
        <v>0</v>
      </c>
      <c r="H89" s="70">
        <f>'прил 5,'!H439</f>
        <v>40000</v>
      </c>
      <c r="I89" s="70">
        <f>'прил 5,'!I439</f>
        <v>40000</v>
      </c>
      <c r="J89" s="1"/>
    </row>
    <row r="90" spans="1:10" ht="34.5" hidden="1" customHeight="1">
      <c r="A90" s="16" t="s">
        <v>792</v>
      </c>
      <c r="B90" s="14">
        <v>763</v>
      </c>
      <c r="C90" s="15" t="s">
        <v>54</v>
      </c>
      <c r="D90" s="15" t="s">
        <v>88</v>
      </c>
      <c r="E90" s="15" t="s">
        <v>791</v>
      </c>
      <c r="F90" s="15"/>
      <c r="G90" s="70">
        <f>G91</f>
        <v>0</v>
      </c>
      <c r="H90" s="70">
        <f>SUM(H91)</f>
        <v>0</v>
      </c>
      <c r="I90" s="70">
        <f>SUM(I91)</f>
        <v>0</v>
      </c>
      <c r="J90" s="1"/>
    </row>
    <row r="91" spans="1:10" ht="25.5" hidden="1">
      <c r="A91" s="16" t="s">
        <v>36</v>
      </c>
      <c r="B91" s="14">
        <v>763</v>
      </c>
      <c r="C91" s="15" t="s">
        <v>54</v>
      </c>
      <c r="D91" s="15" t="s">
        <v>88</v>
      </c>
      <c r="E91" s="15" t="s">
        <v>791</v>
      </c>
      <c r="F91" s="15" t="s">
        <v>37</v>
      </c>
      <c r="G91" s="70">
        <f>SUM(G92)</f>
        <v>0</v>
      </c>
      <c r="H91" s="70">
        <f>SUM(H92)</f>
        <v>0</v>
      </c>
      <c r="I91" s="70">
        <f>SUM(I92)</f>
        <v>0</v>
      </c>
      <c r="J91" s="1"/>
    </row>
    <row r="92" spans="1:10" ht="30.75" hidden="1" customHeight="1">
      <c r="A92" s="16" t="s">
        <v>38</v>
      </c>
      <c r="B92" s="14">
        <v>763</v>
      </c>
      <c r="C92" s="15" t="s">
        <v>54</v>
      </c>
      <c r="D92" s="15" t="s">
        <v>88</v>
      </c>
      <c r="E92" s="15" t="s">
        <v>791</v>
      </c>
      <c r="F92" s="15" t="s">
        <v>39</v>
      </c>
      <c r="G92" s="70"/>
      <c r="H92" s="70">
        <v>0</v>
      </c>
      <c r="I92" s="70">
        <v>0</v>
      </c>
      <c r="J92" s="1"/>
    </row>
    <row r="93" spans="1:10" ht="34.5" hidden="1" customHeight="1">
      <c r="A93" s="16" t="s">
        <v>802</v>
      </c>
      <c r="B93" s="14">
        <v>763</v>
      </c>
      <c r="C93" s="15" t="s">
        <v>54</v>
      </c>
      <c r="D93" s="15" t="s">
        <v>88</v>
      </c>
      <c r="E93" s="15" t="s">
        <v>801</v>
      </c>
      <c r="F93" s="15"/>
      <c r="G93" s="70">
        <f>G94</f>
        <v>0</v>
      </c>
      <c r="H93" s="70">
        <f>SUM(H94)</f>
        <v>0</v>
      </c>
      <c r="I93" s="70">
        <f>SUM(I94)</f>
        <v>0</v>
      </c>
      <c r="J93" s="1"/>
    </row>
    <row r="94" spans="1:10" ht="25.5" hidden="1">
      <c r="A94" s="16" t="s">
        <v>36</v>
      </c>
      <c r="B94" s="14">
        <v>763</v>
      </c>
      <c r="C94" s="15" t="s">
        <v>54</v>
      </c>
      <c r="D94" s="15" t="s">
        <v>88</v>
      </c>
      <c r="E94" s="15" t="s">
        <v>801</v>
      </c>
      <c r="F94" s="15" t="s">
        <v>37</v>
      </c>
      <c r="G94" s="70">
        <f>SUM(G95)</f>
        <v>0</v>
      </c>
      <c r="H94" s="70">
        <f>SUM(H95)</f>
        <v>0</v>
      </c>
      <c r="I94" s="70">
        <f>SUM(I95)</f>
        <v>0</v>
      </c>
      <c r="J94" s="1"/>
    </row>
    <row r="95" spans="1:10" ht="30.75" hidden="1" customHeight="1">
      <c r="A95" s="16" t="s">
        <v>38</v>
      </c>
      <c r="B95" s="14">
        <v>763</v>
      </c>
      <c r="C95" s="15" t="s">
        <v>54</v>
      </c>
      <c r="D95" s="15" t="s">
        <v>88</v>
      </c>
      <c r="E95" s="15" t="s">
        <v>801</v>
      </c>
      <c r="F95" s="15" t="s">
        <v>39</v>
      </c>
      <c r="G95" s="70"/>
      <c r="H95" s="70"/>
      <c r="I95" s="70"/>
      <c r="J95" s="1"/>
    </row>
    <row r="96" spans="1:10" ht="40.5" hidden="1" customHeight="1">
      <c r="A96" s="16" t="s">
        <v>789</v>
      </c>
      <c r="B96" s="14">
        <v>763</v>
      </c>
      <c r="C96" s="15" t="s">
        <v>54</v>
      </c>
      <c r="D96" s="15" t="s">
        <v>173</v>
      </c>
      <c r="E96" s="14" t="s">
        <v>800</v>
      </c>
      <c r="F96" s="14"/>
      <c r="G96" s="70">
        <f>G97</f>
        <v>0</v>
      </c>
      <c r="H96" s="70">
        <f>H98</f>
        <v>0</v>
      </c>
      <c r="I96" s="70">
        <f>I98</f>
        <v>0</v>
      </c>
      <c r="J96" s="1"/>
    </row>
    <row r="97" spans="1:20" ht="25.5" hidden="1">
      <c r="A97" s="16" t="s">
        <v>36</v>
      </c>
      <c r="B97" s="14">
        <v>763</v>
      </c>
      <c r="C97" s="15" t="s">
        <v>54</v>
      </c>
      <c r="D97" s="15" t="s">
        <v>173</v>
      </c>
      <c r="E97" s="14" t="s">
        <v>800</v>
      </c>
      <c r="F97" s="14">
        <v>200</v>
      </c>
      <c r="G97" s="70">
        <f t="shared" ref="G97:I97" si="18">G98</f>
        <v>0</v>
      </c>
      <c r="H97" s="70">
        <f t="shared" si="18"/>
        <v>0</v>
      </c>
      <c r="I97" s="70">
        <f t="shared" si="18"/>
        <v>0</v>
      </c>
      <c r="J97" s="1"/>
    </row>
    <row r="98" spans="1:20" ht="48" hidden="1" customHeight="1">
      <c r="A98" s="16" t="s">
        <v>38</v>
      </c>
      <c r="B98" s="14">
        <v>763</v>
      </c>
      <c r="C98" s="15" t="s">
        <v>54</v>
      </c>
      <c r="D98" s="15" t="s">
        <v>173</v>
      </c>
      <c r="E98" s="14" t="s">
        <v>800</v>
      </c>
      <c r="F98" s="14">
        <v>240</v>
      </c>
      <c r="G98" s="70">
        <f>'прил 5,'!G419</f>
        <v>0</v>
      </c>
      <c r="H98" s="8">
        <v>0</v>
      </c>
      <c r="I98" s="8">
        <v>0</v>
      </c>
      <c r="J98" s="1"/>
    </row>
    <row r="99" spans="1:20" ht="34.5" hidden="1" customHeight="1">
      <c r="A99" s="16" t="s">
        <v>805</v>
      </c>
      <c r="B99" s="14">
        <v>763</v>
      </c>
      <c r="C99" s="15" t="s">
        <v>54</v>
      </c>
      <c r="D99" s="15" t="s">
        <v>88</v>
      </c>
      <c r="E99" s="15" t="s">
        <v>804</v>
      </c>
      <c r="F99" s="15"/>
      <c r="G99" s="70">
        <f>G100</f>
        <v>0</v>
      </c>
      <c r="H99" s="70">
        <f>SUM(H100)</f>
        <v>0</v>
      </c>
      <c r="I99" s="70">
        <f>SUM(I100)</f>
        <v>0</v>
      </c>
      <c r="J99" s="1"/>
    </row>
    <row r="100" spans="1:20" ht="25.5" hidden="1">
      <c r="A100" s="16" t="s">
        <v>36</v>
      </c>
      <c r="B100" s="14">
        <v>763</v>
      </c>
      <c r="C100" s="15" t="s">
        <v>54</v>
      </c>
      <c r="D100" s="15" t="s">
        <v>88</v>
      </c>
      <c r="E100" s="15" t="s">
        <v>804</v>
      </c>
      <c r="F100" s="15" t="s">
        <v>37</v>
      </c>
      <c r="G100" s="70">
        <f>SUM(G101)</f>
        <v>0</v>
      </c>
      <c r="H100" s="70">
        <f>SUM(H101)</f>
        <v>0</v>
      </c>
      <c r="I100" s="70">
        <f>SUM(I101)</f>
        <v>0</v>
      </c>
      <c r="J100" s="1"/>
    </row>
    <row r="101" spans="1:20" ht="30.75" hidden="1" customHeight="1">
      <c r="A101" s="16" t="s">
        <v>38</v>
      </c>
      <c r="B101" s="14">
        <v>763</v>
      </c>
      <c r="C101" s="15" t="s">
        <v>54</v>
      </c>
      <c r="D101" s="15" t="s">
        <v>88</v>
      </c>
      <c r="E101" s="15" t="s">
        <v>804</v>
      </c>
      <c r="F101" s="15" t="s">
        <v>39</v>
      </c>
      <c r="G101" s="70"/>
      <c r="H101" s="70"/>
      <c r="I101" s="70"/>
      <c r="J101" s="1"/>
    </row>
    <row r="102" spans="1:20" ht="34.5" customHeight="1">
      <c r="A102" s="82" t="s">
        <v>792</v>
      </c>
      <c r="B102" s="149">
        <v>763</v>
      </c>
      <c r="C102" s="84" t="s">
        <v>54</v>
      </c>
      <c r="D102" s="84" t="s">
        <v>88</v>
      </c>
      <c r="E102" s="84" t="s">
        <v>791</v>
      </c>
      <c r="F102" s="84"/>
      <c r="G102" s="87">
        <f>G103</f>
        <v>0</v>
      </c>
      <c r="H102" s="87">
        <f>SUM(H103)</f>
        <v>54000</v>
      </c>
      <c r="I102" s="87">
        <f>SUM(I103)</f>
        <v>0</v>
      </c>
      <c r="J102" s="177"/>
      <c r="K102" s="186"/>
      <c r="L102" s="186"/>
      <c r="M102" s="186"/>
      <c r="N102" s="186"/>
      <c r="O102" s="186"/>
      <c r="P102" s="186"/>
      <c r="Q102" s="186"/>
      <c r="R102" s="186"/>
      <c r="S102" s="1"/>
      <c r="T102" s="1"/>
    </row>
    <row r="103" spans="1:20" ht="25.5">
      <c r="A103" s="82" t="s">
        <v>36</v>
      </c>
      <c r="B103" s="149">
        <v>763</v>
      </c>
      <c r="C103" s="84" t="s">
        <v>54</v>
      </c>
      <c r="D103" s="84" t="s">
        <v>88</v>
      </c>
      <c r="E103" s="84" t="s">
        <v>791</v>
      </c>
      <c r="F103" s="84" t="s">
        <v>37</v>
      </c>
      <c r="G103" s="87">
        <f>SUM(G104)</f>
        <v>0</v>
      </c>
      <c r="H103" s="87">
        <f>SUM(H104)</f>
        <v>54000</v>
      </c>
      <c r="I103" s="87">
        <f>SUM(I104)</f>
        <v>0</v>
      </c>
      <c r="J103" s="177"/>
      <c r="K103" s="186"/>
      <c r="L103" s="186"/>
      <c r="M103" s="186"/>
      <c r="N103" s="186"/>
      <c r="O103" s="186"/>
      <c r="P103" s="186"/>
      <c r="Q103" s="186"/>
      <c r="R103" s="186"/>
      <c r="S103" s="1"/>
      <c r="T103" s="1"/>
    </row>
    <row r="104" spans="1:20" ht="30.75" customHeight="1">
      <c r="A104" s="82" t="s">
        <v>38</v>
      </c>
      <c r="B104" s="149">
        <v>763</v>
      </c>
      <c r="C104" s="84" t="s">
        <v>54</v>
      </c>
      <c r="D104" s="84" t="s">
        <v>88</v>
      </c>
      <c r="E104" s="84" t="s">
        <v>791</v>
      </c>
      <c r="F104" s="84" t="s">
        <v>39</v>
      </c>
      <c r="G104" s="87">
        <v>0</v>
      </c>
      <c r="H104" s="87">
        <v>54000</v>
      </c>
      <c r="I104" s="87">
        <v>0</v>
      </c>
      <c r="J104" s="177"/>
      <c r="K104" s="186"/>
      <c r="L104" s="186"/>
      <c r="M104" s="186"/>
      <c r="N104" s="186"/>
      <c r="O104" s="186"/>
      <c r="P104" s="186"/>
      <c r="Q104" s="186"/>
      <c r="R104" s="186"/>
      <c r="S104" s="1"/>
      <c r="T104" s="1"/>
    </row>
    <row r="105" spans="1:20" s="22" customFormat="1" ht="48" customHeight="1">
      <c r="A105" s="34" t="s">
        <v>830</v>
      </c>
      <c r="B105" s="35">
        <v>793</v>
      </c>
      <c r="C105" s="36" t="s">
        <v>69</v>
      </c>
      <c r="D105" s="36" t="s">
        <v>70</v>
      </c>
      <c r="E105" s="36" t="s">
        <v>262</v>
      </c>
      <c r="F105" s="36"/>
      <c r="G105" s="71">
        <f>G123+G132+G135</f>
        <v>2764874.0999999996</v>
      </c>
      <c r="H105" s="71">
        <f t="shared" ref="H105:I105" si="19">H123+H132+H135</f>
        <v>300000</v>
      </c>
      <c r="I105" s="71">
        <f t="shared" si="19"/>
        <v>300000</v>
      </c>
      <c r="J105" s="21">
        <v>100000</v>
      </c>
      <c r="P105" s="21"/>
      <c r="Q105" s="21"/>
      <c r="R105" s="21"/>
      <c r="S105" s="21"/>
      <c r="T105" s="21"/>
    </row>
    <row r="106" spans="1:20" ht="42.75" hidden="1" customHeight="1">
      <c r="A106" s="16"/>
      <c r="B106" s="14"/>
      <c r="C106" s="15"/>
      <c r="D106" s="15"/>
      <c r="E106" s="15"/>
      <c r="F106" s="15"/>
      <c r="G106" s="87"/>
      <c r="H106" s="87"/>
      <c r="I106" s="87"/>
    </row>
    <row r="107" spans="1:20" s="18" customFormat="1" ht="25.5" hidden="1">
      <c r="A107" s="16" t="s">
        <v>473</v>
      </c>
      <c r="B107" s="15" t="s">
        <v>94</v>
      </c>
      <c r="C107" s="15" t="s">
        <v>26</v>
      </c>
      <c r="D107" s="15" t="s">
        <v>28</v>
      </c>
      <c r="E107" s="15" t="s">
        <v>445</v>
      </c>
      <c r="F107" s="15"/>
      <c r="G107" s="70">
        <f>G108</f>
        <v>0</v>
      </c>
      <c r="H107" s="70">
        <f t="shared" ref="H107:I107" si="20">H108</f>
        <v>0</v>
      </c>
      <c r="I107" s="70">
        <f t="shared" si="20"/>
        <v>0</v>
      </c>
      <c r="J107" s="17"/>
      <c r="P107" s="17"/>
      <c r="Q107" s="17"/>
      <c r="R107" s="17"/>
      <c r="S107" s="17"/>
      <c r="T107" s="17"/>
    </row>
    <row r="108" spans="1:20" s="18" customFormat="1" ht="25.5" hidden="1">
      <c r="A108" s="16" t="s">
        <v>96</v>
      </c>
      <c r="B108" s="15" t="s">
        <v>94</v>
      </c>
      <c r="C108" s="15" t="s">
        <v>26</v>
      </c>
      <c r="D108" s="15" t="s">
        <v>28</v>
      </c>
      <c r="E108" s="15" t="s">
        <v>445</v>
      </c>
      <c r="F108" s="15" t="s">
        <v>348</v>
      </c>
      <c r="G108" s="70">
        <f>G109</f>
        <v>0</v>
      </c>
      <c r="H108" s="70">
        <f>H109</f>
        <v>0</v>
      </c>
      <c r="I108" s="70">
        <f>I109</f>
        <v>0</v>
      </c>
      <c r="J108" s="17"/>
      <c r="P108" s="17"/>
      <c r="Q108" s="17"/>
      <c r="R108" s="17"/>
      <c r="S108" s="17"/>
      <c r="T108" s="17"/>
    </row>
    <row r="109" spans="1:20" s="18" customFormat="1" ht="89.25" hidden="1">
      <c r="A109" s="50" t="s">
        <v>420</v>
      </c>
      <c r="B109" s="15" t="s">
        <v>94</v>
      </c>
      <c r="C109" s="15" t="s">
        <v>26</v>
      </c>
      <c r="D109" s="15" t="s">
        <v>28</v>
      </c>
      <c r="E109" s="15" t="s">
        <v>445</v>
      </c>
      <c r="F109" s="15" t="s">
        <v>419</v>
      </c>
      <c r="G109" s="70">
        <f>'прил 5,'!G756</f>
        <v>0</v>
      </c>
      <c r="H109" s="27">
        <f>'прил 5,'!H756+'прил 5,'!H756</f>
        <v>0</v>
      </c>
      <c r="I109" s="27">
        <f>'прил 5,'!I756+'прил 5,'!I756</f>
        <v>0</v>
      </c>
      <c r="J109" s="17"/>
      <c r="P109" s="17"/>
      <c r="Q109" s="17"/>
      <c r="R109" s="17"/>
      <c r="S109" s="17"/>
      <c r="T109" s="17"/>
    </row>
    <row r="110" spans="1:20" s="18" customFormat="1" ht="25.5" hidden="1" customHeight="1">
      <c r="A110" s="16" t="s">
        <v>517</v>
      </c>
      <c r="B110" s="49">
        <v>795</v>
      </c>
      <c r="C110" s="15" t="s">
        <v>173</v>
      </c>
      <c r="D110" s="15" t="s">
        <v>28</v>
      </c>
      <c r="E110" s="15" t="s">
        <v>516</v>
      </c>
      <c r="F110" s="15"/>
      <c r="G110" s="70">
        <f>G111</f>
        <v>0</v>
      </c>
      <c r="H110" s="70">
        <f t="shared" ref="H110:I110" si="21">H111</f>
        <v>0</v>
      </c>
      <c r="I110" s="70">
        <f t="shared" si="21"/>
        <v>0</v>
      </c>
      <c r="P110" s="17"/>
      <c r="Q110" s="17"/>
      <c r="R110" s="17"/>
      <c r="S110" s="17"/>
      <c r="T110" s="17"/>
    </row>
    <row r="111" spans="1:20" s="18" customFormat="1" ht="48" hidden="1" customHeight="1">
      <c r="A111" s="16" t="s">
        <v>552</v>
      </c>
      <c r="B111" s="49">
        <v>795</v>
      </c>
      <c r="C111" s="15" t="s">
        <v>173</v>
      </c>
      <c r="D111" s="15" t="s">
        <v>28</v>
      </c>
      <c r="E111" s="15" t="s">
        <v>551</v>
      </c>
      <c r="F111" s="15"/>
      <c r="G111" s="70">
        <f>G112</f>
        <v>0</v>
      </c>
      <c r="H111" s="70">
        <f t="shared" ref="H111:I112" si="22">H112</f>
        <v>0</v>
      </c>
      <c r="I111" s="70">
        <f t="shared" si="22"/>
        <v>0</v>
      </c>
      <c r="P111" s="17"/>
      <c r="Q111" s="17"/>
      <c r="R111" s="17"/>
      <c r="S111" s="17"/>
      <c r="T111" s="17"/>
    </row>
    <row r="112" spans="1:20" s="18" customFormat="1" hidden="1">
      <c r="A112" s="16" t="s">
        <v>156</v>
      </c>
      <c r="B112" s="49">
        <v>795</v>
      </c>
      <c r="C112" s="15" t="s">
        <v>173</v>
      </c>
      <c r="D112" s="15" t="s">
        <v>28</v>
      </c>
      <c r="E112" s="15" t="s">
        <v>551</v>
      </c>
      <c r="F112" s="15" t="s">
        <v>157</v>
      </c>
      <c r="G112" s="70">
        <f>G113</f>
        <v>0</v>
      </c>
      <c r="H112" s="70">
        <f t="shared" si="22"/>
        <v>0</v>
      </c>
      <c r="I112" s="70">
        <f t="shared" si="22"/>
        <v>0</v>
      </c>
      <c r="P112" s="17"/>
      <c r="Q112" s="17"/>
      <c r="R112" s="17"/>
      <c r="S112" s="17"/>
      <c r="T112" s="17"/>
    </row>
    <row r="113" spans="1:20" s="18" customFormat="1" hidden="1">
      <c r="A113" s="16" t="s">
        <v>170</v>
      </c>
      <c r="B113" s="49">
        <v>795</v>
      </c>
      <c r="C113" s="15" t="s">
        <v>173</v>
      </c>
      <c r="D113" s="15" t="s">
        <v>28</v>
      </c>
      <c r="E113" s="15" t="s">
        <v>551</v>
      </c>
      <c r="F113" s="15" t="s">
        <v>171</v>
      </c>
      <c r="G113" s="70">
        <f>'прил 5,'!G2031</f>
        <v>0</v>
      </c>
      <c r="H113" s="70">
        <f>'прил 5,'!H2031</f>
        <v>0</v>
      </c>
      <c r="I113" s="70">
        <v>0</v>
      </c>
      <c r="P113" s="17"/>
      <c r="Q113" s="17"/>
      <c r="R113" s="17"/>
      <c r="S113" s="17"/>
      <c r="T113" s="17"/>
    </row>
    <row r="114" spans="1:20" s="18" customFormat="1" ht="56.25" hidden="1" customHeight="1">
      <c r="A114" s="16" t="s">
        <v>596</v>
      </c>
      <c r="B114" s="14">
        <v>757</v>
      </c>
      <c r="C114" s="15" t="s">
        <v>44</v>
      </c>
      <c r="D114" s="15" t="s">
        <v>19</v>
      </c>
      <c r="E114" s="15" t="s">
        <v>595</v>
      </c>
      <c r="F114" s="15"/>
      <c r="G114" s="70">
        <f>G115</f>
        <v>0</v>
      </c>
      <c r="H114" s="70">
        <f t="shared" ref="H114:I115" si="23">H115</f>
        <v>0</v>
      </c>
      <c r="I114" s="70">
        <f t="shared" si="23"/>
        <v>0</v>
      </c>
      <c r="P114" s="17"/>
      <c r="Q114" s="17"/>
      <c r="R114" s="17"/>
      <c r="S114" s="17"/>
      <c r="T114" s="17"/>
    </row>
    <row r="115" spans="1:20" s="18" customFormat="1" ht="25.5" hidden="1">
      <c r="A115" s="16" t="s">
        <v>30</v>
      </c>
      <c r="B115" s="14">
        <v>757</v>
      </c>
      <c r="C115" s="15" t="s">
        <v>44</v>
      </c>
      <c r="D115" s="15" t="s">
        <v>19</v>
      </c>
      <c r="E115" s="15" t="s">
        <v>595</v>
      </c>
      <c r="F115" s="15" t="s">
        <v>31</v>
      </c>
      <c r="G115" s="70">
        <f>G116</f>
        <v>0</v>
      </c>
      <c r="H115" s="70">
        <f t="shared" si="23"/>
        <v>0</v>
      </c>
      <c r="I115" s="70">
        <f t="shared" si="23"/>
        <v>0</v>
      </c>
      <c r="P115" s="17"/>
      <c r="Q115" s="17"/>
      <c r="R115" s="17"/>
      <c r="S115" s="17"/>
      <c r="T115" s="17"/>
    </row>
    <row r="116" spans="1:20" s="18" customFormat="1" hidden="1">
      <c r="A116" s="16" t="s">
        <v>32</v>
      </c>
      <c r="B116" s="14">
        <v>757</v>
      </c>
      <c r="C116" s="15" t="s">
        <v>44</v>
      </c>
      <c r="D116" s="15" t="s">
        <v>19</v>
      </c>
      <c r="E116" s="15" t="s">
        <v>595</v>
      </c>
      <c r="F116" s="15" t="s">
        <v>33</v>
      </c>
      <c r="G116" s="70">
        <f>'прил 5,'!G246</f>
        <v>0</v>
      </c>
      <c r="H116" s="70">
        <v>0</v>
      </c>
      <c r="I116" s="70">
        <v>0</v>
      </c>
      <c r="P116" s="17"/>
      <c r="Q116" s="17"/>
      <c r="R116" s="17"/>
      <c r="S116" s="17"/>
      <c r="T116" s="17"/>
    </row>
    <row r="117" spans="1:20" s="18" customFormat="1" ht="52.5" hidden="1" customHeight="1">
      <c r="A117" s="16" t="s">
        <v>548</v>
      </c>
      <c r="B117" s="15" t="s">
        <v>94</v>
      </c>
      <c r="C117" s="15" t="s">
        <v>26</v>
      </c>
      <c r="D117" s="15" t="s">
        <v>19</v>
      </c>
      <c r="E117" s="15" t="s">
        <v>547</v>
      </c>
      <c r="F117" s="15"/>
      <c r="G117" s="70">
        <f>G118</f>
        <v>0</v>
      </c>
      <c r="H117" s="70">
        <f t="shared" ref="H117:I118" si="24">H118</f>
        <v>0</v>
      </c>
      <c r="I117" s="70">
        <f t="shared" si="24"/>
        <v>0</v>
      </c>
      <c r="P117" s="17"/>
      <c r="Q117" s="17"/>
      <c r="R117" s="17"/>
      <c r="S117" s="17"/>
      <c r="T117" s="17"/>
    </row>
    <row r="118" spans="1:20" s="18" customFormat="1" ht="25.5" hidden="1">
      <c r="A118" s="16" t="s">
        <v>30</v>
      </c>
      <c r="B118" s="15" t="s">
        <v>94</v>
      </c>
      <c r="C118" s="15" t="s">
        <v>26</v>
      </c>
      <c r="D118" s="15" t="s">
        <v>19</v>
      </c>
      <c r="E118" s="15" t="s">
        <v>547</v>
      </c>
      <c r="F118" s="15" t="s">
        <v>31</v>
      </c>
      <c r="G118" s="70">
        <f>G119</f>
        <v>0</v>
      </c>
      <c r="H118" s="70">
        <f t="shared" si="24"/>
        <v>0</v>
      </c>
      <c r="I118" s="70">
        <f t="shared" si="24"/>
        <v>0</v>
      </c>
      <c r="P118" s="17"/>
      <c r="Q118" s="17"/>
      <c r="R118" s="17"/>
      <c r="S118" s="17"/>
      <c r="T118" s="17"/>
    </row>
    <row r="119" spans="1:20" s="18" customFormat="1" hidden="1">
      <c r="A119" s="16" t="s">
        <v>32</v>
      </c>
      <c r="B119" s="15" t="s">
        <v>94</v>
      </c>
      <c r="C119" s="15" t="s">
        <v>26</v>
      </c>
      <c r="D119" s="15" t="s">
        <v>19</v>
      </c>
      <c r="E119" s="15" t="s">
        <v>547</v>
      </c>
      <c r="F119" s="15" t="s">
        <v>33</v>
      </c>
      <c r="G119" s="70"/>
      <c r="H119" s="70">
        <v>0</v>
      </c>
      <c r="I119" s="70">
        <v>0</v>
      </c>
      <c r="P119" s="17"/>
      <c r="Q119" s="17"/>
      <c r="R119" s="17"/>
      <c r="S119" s="17"/>
      <c r="T119" s="17"/>
    </row>
    <row r="120" spans="1:20" ht="42.75" hidden="1" customHeight="1">
      <c r="A120" s="142" t="s">
        <v>835</v>
      </c>
      <c r="B120" s="14">
        <v>757</v>
      </c>
      <c r="C120" s="15" t="s">
        <v>44</v>
      </c>
      <c r="D120" s="15" t="s">
        <v>19</v>
      </c>
      <c r="E120" s="15" t="s">
        <v>834</v>
      </c>
      <c r="F120" s="14"/>
      <c r="G120" s="87">
        <f t="shared" ref="G120:I121" si="25">G121</f>
        <v>0</v>
      </c>
      <c r="H120" s="70">
        <f t="shared" si="25"/>
        <v>0</v>
      </c>
      <c r="I120" s="70">
        <f t="shared" si="25"/>
        <v>0</v>
      </c>
      <c r="J120" s="1"/>
    </row>
    <row r="121" spans="1:20" ht="25.5" hidden="1">
      <c r="A121" s="82" t="s">
        <v>30</v>
      </c>
      <c r="B121" s="14">
        <v>757</v>
      </c>
      <c r="C121" s="15" t="s">
        <v>44</v>
      </c>
      <c r="D121" s="15" t="s">
        <v>19</v>
      </c>
      <c r="E121" s="15" t="s">
        <v>834</v>
      </c>
      <c r="F121" s="15" t="s">
        <v>31</v>
      </c>
      <c r="G121" s="95">
        <f t="shared" si="25"/>
        <v>0</v>
      </c>
      <c r="H121" s="25">
        <f t="shared" si="25"/>
        <v>0</v>
      </c>
      <c r="I121" s="25">
        <f t="shared" si="25"/>
        <v>0</v>
      </c>
      <c r="J121" s="1"/>
    </row>
    <row r="122" spans="1:20" hidden="1">
      <c r="A122" s="82" t="s">
        <v>32</v>
      </c>
      <c r="B122" s="14">
        <v>757</v>
      </c>
      <c r="C122" s="15" t="s">
        <v>44</v>
      </c>
      <c r="D122" s="15" t="s">
        <v>19</v>
      </c>
      <c r="E122" s="15" t="s">
        <v>834</v>
      </c>
      <c r="F122" s="15" t="s">
        <v>33</v>
      </c>
      <c r="G122" s="25"/>
      <c r="H122" s="25">
        <v>0</v>
      </c>
      <c r="I122" s="25">
        <v>0</v>
      </c>
      <c r="J122" s="1"/>
    </row>
    <row r="123" spans="1:20" ht="24" customHeight="1">
      <c r="A123" s="50" t="s">
        <v>952</v>
      </c>
      <c r="B123" s="14">
        <v>793</v>
      </c>
      <c r="C123" s="15" t="s">
        <v>69</v>
      </c>
      <c r="D123" s="15" t="s">
        <v>70</v>
      </c>
      <c r="E123" s="15" t="s">
        <v>951</v>
      </c>
      <c r="F123" s="15"/>
      <c r="G123" s="70">
        <f>G124</f>
        <v>2724874.0999999996</v>
      </c>
      <c r="H123" s="70">
        <f t="shared" ref="H123:I123" si="26">H124</f>
        <v>300000</v>
      </c>
      <c r="I123" s="70">
        <f t="shared" si="26"/>
        <v>300000</v>
      </c>
      <c r="J123" s="1"/>
    </row>
    <row r="124" spans="1:20" ht="21" customHeight="1">
      <c r="A124" s="16" t="s">
        <v>148</v>
      </c>
      <c r="B124" s="14">
        <v>793</v>
      </c>
      <c r="C124" s="15" t="s">
        <v>69</v>
      </c>
      <c r="D124" s="15" t="s">
        <v>70</v>
      </c>
      <c r="E124" s="15" t="s">
        <v>951</v>
      </c>
      <c r="F124" s="15" t="s">
        <v>149</v>
      </c>
      <c r="G124" s="70">
        <f>G125</f>
        <v>2724874.0999999996</v>
      </c>
      <c r="H124" s="70">
        <f t="shared" ref="H124:I124" si="27">H125</f>
        <v>300000</v>
      </c>
      <c r="I124" s="70">
        <f t="shared" si="27"/>
        <v>300000</v>
      </c>
      <c r="J124" s="1"/>
    </row>
    <row r="125" spans="1:20" ht="30.75" customHeight="1">
      <c r="A125" s="16" t="s">
        <v>150</v>
      </c>
      <c r="B125" s="14">
        <v>793</v>
      </c>
      <c r="C125" s="15" t="s">
        <v>69</v>
      </c>
      <c r="D125" s="15" t="s">
        <v>70</v>
      </c>
      <c r="E125" s="15" t="s">
        <v>951</v>
      </c>
      <c r="F125" s="15" t="s">
        <v>151</v>
      </c>
      <c r="G125" s="70">
        <f>'прил 5,'!G1719</f>
        <v>2724874.0999999996</v>
      </c>
      <c r="H125" s="70">
        <f>'прил 5,'!H1719</f>
        <v>300000</v>
      </c>
      <c r="I125" s="70">
        <f>'прил 5,'!I1719</f>
        <v>300000</v>
      </c>
      <c r="J125" s="1"/>
    </row>
    <row r="126" spans="1:20" ht="60" hidden="1" customHeight="1">
      <c r="A126" s="50" t="s">
        <v>274</v>
      </c>
      <c r="B126" s="14">
        <v>793</v>
      </c>
      <c r="C126" s="15" t="s">
        <v>69</v>
      </c>
      <c r="D126" s="15" t="s">
        <v>70</v>
      </c>
      <c r="E126" s="15" t="s">
        <v>273</v>
      </c>
      <c r="F126" s="15"/>
      <c r="G126" s="70">
        <f>G127</f>
        <v>0</v>
      </c>
      <c r="H126" s="70">
        <f t="shared" ref="H126:I126" si="28">H127</f>
        <v>0</v>
      </c>
      <c r="I126" s="70">
        <f t="shared" si="28"/>
        <v>0</v>
      </c>
      <c r="J126" s="1"/>
    </row>
    <row r="127" spans="1:20" ht="21" hidden="1" customHeight="1">
      <c r="A127" s="16" t="s">
        <v>148</v>
      </c>
      <c r="B127" s="14">
        <v>793</v>
      </c>
      <c r="C127" s="15" t="s">
        <v>69</v>
      </c>
      <c r="D127" s="15" t="s">
        <v>70</v>
      </c>
      <c r="E127" s="15" t="s">
        <v>273</v>
      </c>
      <c r="F127" s="15" t="s">
        <v>149</v>
      </c>
      <c r="G127" s="70">
        <f>G128</f>
        <v>0</v>
      </c>
      <c r="H127" s="70">
        <f t="shared" ref="H127:I127" si="29">H128</f>
        <v>0</v>
      </c>
      <c r="I127" s="70">
        <f t="shared" si="29"/>
        <v>0</v>
      </c>
      <c r="J127" s="1"/>
    </row>
    <row r="128" spans="1:20" ht="30.75" hidden="1" customHeight="1">
      <c r="A128" s="16" t="s">
        <v>150</v>
      </c>
      <c r="B128" s="14">
        <v>793</v>
      </c>
      <c r="C128" s="15" t="s">
        <v>69</v>
      </c>
      <c r="D128" s="15" t="s">
        <v>70</v>
      </c>
      <c r="E128" s="15" t="s">
        <v>273</v>
      </c>
      <c r="F128" s="15" t="s">
        <v>151</v>
      </c>
      <c r="G128" s="70">
        <f>'прил 5,'!G1723</f>
        <v>0</v>
      </c>
      <c r="H128" s="70">
        <f>'прил 5,'!H1723</f>
        <v>0</v>
      </c>
      <c r="I128" s="70">
        <f>'прил 5,'!I1723</f>
        <v>0</v>
      </c>
      <c r="J128" s="1"/>
    </row>
    <row r="129" spans="1:20" ht="30.75" hidden="1" customHeight="1">
      <c r="A129" s="16" t="s">
        <v>452</v>
      </c>
      <c r="B129" s="14">
        <v>793</v>
      </c>
      <c r="C129" s="15" t="s">
        <v>69</v>
      </c>
      <c r="D129" s="15" t="s">
        <v>70</v>
      </c>
      <c r="E129" s="15" t="s">
        <v>451</v>
      </c>
      <c r="F129" s="15"/>
      <c r="G129" s="70">
        <f t="shared" ref="G129:I130" si="30">G130</f>
        <v>0</v>
      </c>
      <c r="H129" s="8">
        <f t="shared" si="30"/>
        <v>0</v>
      </c>
      <c r="I129" s="8">
        <f t="shared" si="30"/>
        <v>0</v>
      </c>
    </row>
    <row r="130" spans="1:20" ht="30.75" hidden="1" customHeight="1">
      <c r="A130" s="16" t="s">
        <v>63</v>
      </c>
      <c r="B130" s="14">
        <v>793</v>
      </c>
      <c r="C130" s="15" t="s">
        <v>69</v>
      </c>
      <c r="D130" s="15" t="s">
        <v>70</v>
      </c>
      <c r="E130" s="15" t="s">
        <v>451</v>
      </c>
      <c r="F130" s="15" t="s">
        <v>64</v>
      </c>
      <c r="G130" s="70">
        <f t="shared" si="30"/>
        <v>0</v>
      </c>
      <c r="H130" s="8">
        <f t="shared" si="30"/>
        <v>0</v>
      </c>
      <c r="I130" s="8">
        <f t="shared" si="30"/>
        <v>0</v>
      </c>
    </row>
    <row r="131" spans="1:20" ht="30.75" hidden="1" customHeight="1">
      <c r="A131" s="16" t="s">
        <v>180</v>
      </c>
      <c r="B131" s="14">
        <v>793</v>
      </c>
      <c r="C131" s="15" t="s">
        <v>69</v>
      </c>
      <c r="D131" s="15" t="s">
        <v>70</v>
      </c>
      <c r="E131" s="15" t="s">
        <v>451</v>
      </c>
      <c r="F131" s="15" t="s">
        <v>181</v>
      </c>
      <c r="G131" s="70">
        <f>'прил 5,'!G1726</f>
        <v>0</v>
      </c>
      <c r="H131" s="8">
        <f>'прил 5,'!H1726</f>
        <v>0</v>
      </c>
      <c r="I131" s="8">
        <f>'прил 5,'!I1726</f>
        <v>0</v>
      </c>
    </row>
    <row r="132" spans="1:20" ht="28.5" customHeight="1">
      <c r="A132" s="80" t="s">
        <v>896</v>
      </c>
      <c r="B132" s="14">
        <v>757</v>
      </c>
      <c r="C132" s="15" t="s">
        <v>44</v>
      </c>
      <c r="D132" s="15" t="s">
        <v>19</v>
      </c>
      <c r="E132" s="15" t="s">
        <v>897</v>
      </c>
      <c r="F132" s="14"/>
      <c r="G132" s="70">
        <f t="shared" ref="G132:I133" si="31">G133</f>
        <v>0</v>
      </c>
      <c r="H132" s="70">
        <f t="shared" si="31"/>
        <v>0</v>
      </c>
      <c r="I132" s="70">
        <f t="shared" si="31"/>
        <v>0</v>
      </c>
      <c r="J132" s="176"/>
      <c r="P132" s="1"/>
      <c r="Q132" s="1"/>
      <c r="R132" s="1"/>
      <c r="S132" s="1"/>
      <c r="T132" s="1"/>
    </row>
    <row r="133" spans="1:20" ht="25.5">
      <c r="A133" s="16" t="s">
        <v>30</v>
      </c>
      <c r="B133" s="14">
        <v>757</v>
      </c>
      <c r="C133" s="15" t="s">
        <v>44</v>
      </c>
      <c r="D133" s="15" t="s">
        <v>19</v>
      </c>
      <c r="E133" s="15" t="s">
        <v>897</v>
      </c>
      <c r="F133" s="15" t="s">
        <v>31</v>
      </c>
      <c r="G133" s="25">
        <f t="shared" si="31"/>
        <v>0</v>
      </c>
      <c r="H133" s="25">
        <f t="shared" si="31"/>
        <v>0</v>
      </c>
      <c r="I133" s="25">
        <f t="shared" si="31"/>
        <v>0</v>
      </c>
      <c r="J133" s="64"/>
      <c r="P133" s="1"/>
      <c r="Q133" s="1"/>
      <c r="R133" s="1"/>
      <c r="S133" s="1"/>
      <c r="T133" s="1"/>
    </row>
    <row r="134" spans="1:20">
      <c r="A134" s="16" t="s">
        <v>32</v>
      </c>
      <c r="B134" s="14">
        <v>757</v>
      </c>
      <c r="C134" s="15" t="s">
        <v>44</v>
      </c>
      <c r="D134" s="15" t="s">
        <v>19</v>
      </c>
      <c r="E134" s="15" t="s">
        <v>897</v>
      </c>
      <c r="F134" s="15" t="s">
        <v>33</v>
      </c>
      <c r="G134" s="25">
        <f>'прил 5,'!G145</f>
        <v>0</v>
      </c>
      <c r="H134" s="25">
        <v>0</v>
      </c>
      <c r="I134" s="25">
        <v>0</v>
      </c>
      <c r="J134" s="64"/>
      <c r="P134" s="1"/>
      <c r="Q134" s="1"/>
      <c r="R134" s="1"/>
      <c r="S134" s="1"/>
      <c r="T134" s="1"/>
    </row>
    <row r="135" spans="1:20" s="46" customFormat="1" ht="29.25" customHeight="1">
      <c r="A135" s="82" t="s">
        <v>1139</v>
      </c>
      <c r="B135" s="83">
        <v>793</v>
      </c>
      <c r="C135" s="84" t="s">
        <v>173</v>
      </c>
      <c r="D135" s="84" t="s">
        <v>70</v>
      </c>
      <c r="E135" s="84" t="s">
        <v>1138</v>
      </c>
      <c r="F135" s="84"/>
      <c r="G135" s="87">
        <f>G136</f>
        <v>40000</v>
      </c>
      <c r="H135" s="87">
        <f t="shared" ref="H135:I136" si="32">H136</f>
        <v>0</v>
      </c>
      <c r="I135" s="87">
        <f t="shared" si="32"/>
        <v>0</v>
      </c>
      <c r="J135" s="177"/>
      <c r="K135" s="222"/>
      <c r="L135" s="222"/>
      <c r="M135" s="222"/>
      <c r="N135" s="222"/>
      <c r="O135" s="222"/>
      <c r="P135" s="222"/>
      <c r="Q135" s="222"/>
      <c r="R135" s="222"/>
    </row>
    <row r="136" spans="1:20" s="46" customFormat="1" ht="17.25" customHeight="1">
      <c r="A136" s="82" t="s">
        <v>323</v>
      </c>
      <c r="B136" s="83">
        <v>793</v>
      </c>
      <c r="C136" s="84" t="s">
        <v>173</v>
      </c>
      <c r="D136" s="84" t="s">
        <v>70</v>
      </c>
      <c r="E136" s="84" t="s">
        <v>1138</v>
      </c>
      <c r="F136" s="84" t="s">
        <v>37</v>
      </c>
      <c r="G136" s="87">
        <f>G137</f>
        <v>40000</v>
      </c>
      <c r="H136" s="87">
        <f t="shared" si="32"/>
        <v>0</v>
      </c>
      <c r="I136" s="87">
        <f t="shared" si="32"/>
        <v>0</v>
      </c>
      <c r="J136" s="177"/>
      <c r="K136" s="222"/>
      <c r="L136" s="222"/>
      <c r="M136" s="222"/>
      <c r="N136" s="222"/>
      <c r="O136" s="222"/>
      <c r="P136" s="222"/>
      <c r="Q136" s="222"/>
      <c r="R136" s="222"/>
    </row>
    <row r="137" spans="1:20" s="46" customFormat="1" ht="36.75" customHeight="1">
      <c r="A137" s="82" t="s">
        <v>38</v>
      </c>
      <c r="B137" s="83">
        <v>793</v>
      </c>
      <c r="C137" s="84" t="s">
        <v>173</v>
      </c>
      <c r="D137" s="84" t="s">
        <v>70</v>
      </c>
      <c r="E137" s="84" t="s">
        <v>1138</v>
      </c>
      <c r="F137" s="84" t="s">
        <v>39</v>
      </c>
      <c r="G137" s="87">
        <v>40000</v>
      </c>
      <c r="H137" s="87">
        <v>0</v>
      </c>
      <c r="I137" s="87">
        <v>0</v>
      </c>
      <c r="J137" s="177"/>
      <c r="K137" s="222"/>
      <c r="L137" s="222"/>
      <c r="M137" s="222"/>
      <c r="N137" s="222"/>
      <c r="O137" s="222"/>
      <c r="P137" s="222"/>
      <c r="Q137" s="222"/>
      <c r="R137" s="222"/>
    </row>
    <row r="138" spans="1:20" s="22" customFormat="1" ht="43.5" customHeight="1">
      <c r="A138" s="233" t="s">
        <v>714</v>
      </c>
      <c r="B138" s="35">
        <v>793</v>
      </c>
      <c r="C138" s="36" t="s">
        <v>19</v>
      </c>
      <c r="D138" s="36" t="s">
        <v>54</v>
      </c>
      <c r="E138" s="35" t="s">
        <v>242</v>
      </c>
      <c r="F138" s="35"/>
      <c r="G138" s="71">
        <f>G139+G145+G144+G158+G151+G148</f>
        <v>1183715</v>
      </c>
      <c r="H138" s="71">
        <f>H139+H145+H144+H158+H151</f>
        <v>969922</v>
      </c>
      <c r="I138" s="71">
        <f>I139+I145+I144+I158+I151</f>
        <v>967368</v>
      </c>
      <c r="J138" s="21">
        <v>25000</v>
      </c>
      <c r="P138" s="21"/>
      <c r="Q138" s="21"/>
      <c r="R138" s="21"/>
      <c r="S138" s="21"/>
      <c r="T138" s="21"/>
    </row>
    <row r="139" spans="1:20" ht="25.5">
      <c r="A139" s="16" t="s">
        <v>322</v>
      </c>
      <c r="B139" s="14">
        <v>793</v>
      </c>
      <c r="C139" s="15" t="s">
        <v>19</v>
      </c>
      <c r="D139" s="15" t="s">
        <v>54</v>
      </c>
      <c r="E139" s="15" t="s">
        <v>243</v>
      </c>
      <c r="F139" s="15"/>
      <c r="G139" s="70">
        <f t="shared" ref="G139:I140" si="33">G140</f>
        <v>35000</v>
      </c>
      <c r="H139" s="87">
        <f t="shared" si="33"/>
        <v>35000</v>
      </c>
      <c r="I139" s="87">
        <f t="shared" si="33"/>
        <v>35000</v>
      </c>
      <c r="J139" s="2">
        <v>190700</v>
      </c>
    </row>
    <row r="140" spans="1:20">
      <c r="A140" s="16" t="s">
        <v>323</v>
      </c>
      <c r="B140" s="14">
        <v>793</v>
      </c>
      <c r="C140" s="15" t="s">
        <v>19</v>
      </c>
      <c r="D140" s="15" t="s">
        <v>54</v>
      </c>
      <c r="E140" s="15" t="s">
        <v>243</v>
      </c>
      <c r="F140" s="15" t="s">
        <v>37</v>
      </c>
      <c r="G140" s="70">
        <f t="shared" si="33"/>
        <v>35000</v>
      </c>
      <c r="H140" s="87">
        <f t="shared" si="33"/>
        <v>35000</v>
      </c>
      <c r="I140" s="87">
        <f t="shared" si="33"/>
        <v>35000</v>
      </c>
      <c r="J140" s="2">
        <v>400000</v>
      </c>
    </row>
    <row r="141" spans="1:20" ht="25.5">
      <c r="A141" s="16" t="s">
        <v>38</v>
      </c>
      <c r="B141" s="14">
        <v>793</v>
      </c>
      <c r="C141" s="15" t="s">
        <v>19</v>
      </c>
      <c r="D141" s="15" t="s">
        <v>54</v>
      </c>
      <c r="E141" s="15" t="s">
        <v>243</v>
      </c>
      <c r="F141" s="15" t="s">
        <v>39</v>
      </c>
      <c r="G141" s="70">
        <f>'прил 5,'!G1153</f>
        <v>35000</v>
      </c>
      <c r="H141" s="87">
        <f>'прил 5,'!H1153</f>
        <v>35000</v>
      </c>
      <c r="I141" s="87">
        <f>'прил 5,'!I1153</f>
        <v>35000</v>
      </c>
      <c r="J141" s="2">
        <f>SUM(J138:J140)</f>
        <v>615700</v>
      </c>
    </row>
    <row r="142" spans="1:20" ht="30.75" customHeight="1">
      <c r="A142" s="16" t="s">
        <v>344</v>
      </c>
      <c r="B142" s="14">
        <v>793</v>
      </c>
      <c r="C142" s="15" t="s">
        <v>54</v>
      </c>
      <c r="D142" s="15" t="s">
        <v>88</v>
      </c>
      <c r="E142" s="14" t="s">
        <v>396</v>
      </c>
      <c r="F142" s="14"/>
      <c r="G142" s="70">
        <f>G144</f>
        <v>414715</v>
      </c>
      <c r="H142" s="87">
        <f>H144</f>
        <v>234922</v>
      </c>
      <c r="I142" s="87">
        <f>I144</f>
        <v>232368</v>
      </c>
    </row>
    <row r="143" spans="1:20">
      <c r="A143" s="16" t="s">
        <v>63</v>
      </c>
      <c r="B143" s="14">
        <v>793</v>
      </c>
      <c r="C143" s="15" t="s">
        <v>54</v>
      </c>
      <c r="D143" s="15" t="s">
        <v>88</v>
      </c>
      <c r="E143" s="14" t="s">
        <v>258</v>
      </c>
      <c r="F143" s="14">
        <v>800</v>
      </c>
      <c r="G143" s="70">
        <f t="shared" ref="G143:I146" si="34">G144</f>
        <v>414715</v>
      </c>
      <c r="H143" s="87">
        <f t="shared" si="34"/>
        <v>234922</v>
      </c>
      <c r="I143" s="87">
        <f t="shared" si="34"/>
        <v>232368</v>
      </c>
    </row>
    <row r="144" spans="1:20" ht="45.75" customHeight="1">
      <c r="A144" s="16" t="s">
        <v>340</v>
      </c>
      <c r="B144" s="14">
        <v>793</v>
      </c>
      <c r="C144" s="15" t="s">
        <v>54</v>
      </c>
      <c r="D144" s="15" t="s">
        <v>88</v>
      </c>
      <c r="E144" s="14" t="s">
        <v>396</v>
      </c>
      <c r="F144" s="14">
        <v>810</v>
      </c>
      <c r="G144" s="70">
        <f>'прил 5,'!G1447</f>
        <v>414715</v>
      </c>
      <c r="H144" s="87">
        <f>'прил 5,'!H1447</f>
        <v>234922</v>
      </c>
      <c r="I144" s="87">
        <f>'прил 5,'!I1447</f>
        <v>232368</v>
      </c>
    </row>
    <row r="145" spans="1:10" ht="47.25" customHeight="1">
      <c r="A145" s="16" t="s">
        <v>111</v>
      </c>
      <c r="B145" s="14">
        <v>793</v>
      </c>
      <c r="C145" s="15" t="s">
        <v>54</v>
      </c>
      <c r="D145" s="15" t="s">
        <v>88</v>
      </c>
      <c r="E145" s="14" t="s">
        <v>258</v>
      </c>
      <c r="F145" s="14"/>
      <c r="G145" s="70">
        <f t="shared" si="34"/>
        <v>700000</v>
      </c>
      <c r="H145" s="87">
        <f t="shared" si="34"/>
        <v>700000</v>
      </c>
      <c r="I145" s="87">
        <f t="shared" si="34"/>
        <v>700000</v>
      </c>
    </row>
    <row r="146" spans="1:10">
      <c r="A146" s="16" t="s">
        <v>63</v>
      </c>
      <c r="B146" s="14">
        <v>793</v>
      </c>
      <c r="C146" s="15" t="s">
        <v>54</v>
      </c>
      <c r="D146" s="15" t="s">
        <v>88</v>
      </c>
      <c r="E146" s="14" t="s">
        <v>258</v>
      </c>
      <c r="F146" s="14">
        <v>800</v>
      </c>
      <c r="G146" s="70">
        <f t="shared" si="34"/>
        <v>700000</v>
      </c>
      <c r="H146" s="87">
        <f t="shared" si="34"/>
        <v>700000</v>
      </c>
      <c r="I146" s="87">
        <f t="shared" si="34"/>
        <v>700000</v>
      </c>
    </row>
    <row r="147" spans="1:10" ht="51" customHeight="1">
      <c r="A147" s="16" t="s">
        <v>340</v>
      </c>
      <c r="B147" s="14">
        <v>793</v>
      </c>
      <c r="C147" s="15" t="s">
        <v>54</v>
      </c>
      <c r="D147" s="15" t="s">
        <v>88</v>
      </c>
      <c r="E147" s="14" t="s">
        <v>258</v>
      </c>
      <c r="F147" s="14">
        <v>810</v>
      </c>
      <c r="G147" s="70">
        <f>'прил 5,'!G1450</f>
        <v>700000</v>
      </c>
      <c r="H147" s="87">
        <f>'прил 5,'!H1450</f>
        <v>700000</v>
      </c>
      <c r="I147" s="87">
        <f>'прил 5,'!I1450</f>
        <v>700000</v>
      </c>
    </row>
    <row r="148" spans="1:10" ht="40.5" hidden="1" customHeight="1">
      <c r="A148" s="16" t="s">
        <v>789</v>
      </c>
      <c r="B148" s="14">
        <v>793</v>
      </c>
      <c r="C148" s="15" t="s">
        <v>54</v>
      </c>
      <c r="D148" s="15" t="s">
        <v>173</v>
      </c>
      <c r="E148" s="14" t="s">
        <v>642</v>
      </c>
      <c r="F148" s="14"/>
      <c r="G148" s="70">
        <f>G149</f>
        <v>0</v>
      </c>
      <c r="H148" s="70">
        <f>H150</f>
        <v>0</v>
      </c>
      <c r="I148" s="70">
        <f>I150</f>
        <v>0</v>
      </c>
      <c r="J148" s="1"/>
    </row>
    <row r="149" spans="1:10" hidden="1">
      <c r="A149" s="16" t="s">
        <v>63</v>
      </c>
      <c r="B149" s="14">
        <v>793</v>
      </c>
      <c r="C149" s="15" t="s">
        <v>54</v>
      </c>
      <c r="D149" s="15" t="s">
        <v>173</v>
      </c>
      <c r="E149" s="14" t="s">
        <v>642</v>
      </c>
      <c r="F149" s="14">
        <v>800</v>
      </c>
      <c r="G149" s="70">
        <f t="shared" ref="G149:I149" si="35">G150</f>
        <v>0</v>
      </c>
      <c r="H149" s="70">
        <f t="shared" si="35"/>
        <v>0</v>
      </c>
      <c r="I149" s="70">
        <f t="shared" si="35"/>
        <v>0</v>
      </c>
      <c r="J149" s="1"/>
    </row>
    <row r="150" spans="1:10" ht="31.5" hidden="1" customHeight="1">
      <c r="A150" s="16" t="s">
        <v>432</v>
      </c>
      <c r="B150" s="14">
        <v>793</v>
      </c>
      <c r="C150" s="15" t="s">
        <v>54</v>
      </c>
      <c r="D150" s="15" t="s">
        <v>173</v>
      </c>
      <c r="E150" s="14" t="s">
        <v>642</v>
      </c>
      <c r="F150" s="14">
        <v>810</v>
      </c>
      <c r="G150" s="70"/>
      <c r="H150" s="8">
        <v>0</v>
      </c>
      <c r="I150" s="8">
        <v>0</v>
      </c>
      <c r="J150" s="1"/>
    </row>
    <row r="151" spans="1:10" ht="47.25" customHeight="1">
      <c r="A151" s="16" t="s">
        <v>959</v>
      </c>
      <c r="B151" s="14">
        <v>793</v>
      </c>
      <c r="C151" s="15" t="s">
        <v>54</v>
      </c>
      <c r="D151" s="15" t="s">
        <v>88</v>
      </c>
      <c r="E151" s="14" t="s">
        <v>958</v>
      </c>
      <c r="F151" s="14"/>
      <c r="G151" s="70">
        <f>G152+G154+G156</f>
        <v>34000</v>
      </c>
      <c r="H151" s="70">
        <f>H152</f>
        <v>0</v>
      </c>
      <c r="I151" s="70">
        <f>I152</f>
        <v>0</v>
      </c>
      <c r="J151" s="1"/>
    </row>
    <row r="152" spans="1:10" ht="30.75" customHeight="1">
      <c r="A152" s="16" t="s">
        <v>323</v>
      </c>
      <c r="B152" s="14">
        <v>793</v>
      </c>
      <c r="C152" s="15" t="s">
        <v>54</v>
      </c>
      <c r="D152" s="15" t="s">
        <v>88</v>
      </c>
      <c r="E152" s="14" t="s">
        <v>958</v>
      </c>
      <c r="F152" s="14">
        <v>200</v>
      </c>
      <c r="G152" s="70">
        <f t="shared" ref="G152:I152" si="36">G153</f>
        <v>34000</v>
      </c>
      <c r="H152" s="70">
        <f t="shared" si="36"/>
        <v>0</v>
      </c>
      <c r="I152" s="70">
        <f t="shared" si="36"/>
        <v>0</v>
      </c>
      <c r="J152" s="1"/>
    </row>
    <row r="153" spans="1:10" ht="33.75" customHeight="1">
      <c r="A153" s="16" t="s">
        <v>38</v>
      </c>
      <c r="B153" s="14">
        <v>793</v>
      </c>
      <c r="C153" s="15" t="s">
        <v>54</v>
      </c>
      <c r="D153" s="15" t="s">
        <v>88</v>
      </c>
      <c r="E153" s="14" t="s">
        <v>958</v>
      </c>
      <c r="F153" s="14">
        <v>240</v>
      </c>
      <c r="G153" s="70">
        <f>'прил 5,'!G1453</f>
        <v>34000</v>
      </c>
      <c r="H153" s="70">
        <v>0</v>
      </c>
      <c r="I153" s="70">
        <v>0</v>
      </c>
      <c r="J153" s="1"/>
    </row>
    <row r="154" spans="1:10" ht="20.25" hidden="1" customHeight="1">
      <c r="A154" s="16" t="s">
        <v>156</v>
      </c>
      <c r="B154" s="14"/>
      <c r="C154" s="15"/>
      <c r="D154" s="15"/>
      <c r="E154" s="14" t="s">
        <v>642</v>
      </c>
      <c r="F154" s="14">
        <v>500</v>
      </c>
      <c r="G154" s="70">
        <f>G155</f>
        <v>0</v>
      </c>
      <c r="H154" s="70"/>
      <c r="I154" s="70"/>
      <c r="J154" s="1"/>
    </row>
    <row r="155" spans="1:10" ht="20.25" hidden="1" customHeight="1">
      <c r="A155" s="16" t="s">
        <v>170</v>
      </c>
      <c r="B155" s="14"/>
      <c r="C155" s="15"/>
      <c r="D155" s="15"/>
      <c r="E155" s="14" t="s">
        <v>642</v>
      </c>
      <c r="F155" s="14">
        <v>520</v>
      </c>
      <c r="G155" s="70">
        <f>'прил 5,'!G1455</f>
        <v>0</v>
      </c>
      <c r="H155" s="70"/>
      <c r="I155" s="70"/>
      <c r="J155" s="1"/>
    </row>
    <row r="156" spans="1:10" ht="21" hidden="1" customHeight="1">
      <c r="A156" s="16" t="s">
        <v>63</v>
      </c>
      <c r="B156" s="14">
        <v>793</v>
      </c>
      <c r="C156" s="15" t="s">
        <v>54</v>
      </c>
      <c r="D156" s="15" t="s">
        <v>88</v>
      </c>
      <c r="E156" s="14" t="s">
        <v>642</v>
      </c>
      <c r="F156" s="14">
        <v>800</v>
      </c>
      <c r="G156" s="128">
        <f>G157</f>
        <v>0</v>
      </c>
      <c r="H156" s="8"/>
      <c r="I156" s="8"/>
      <c r="J156" s="1"/>
    </row>
    <row r="157" spans="1:10" ht="20.25" hidden="1" customHeight="1">
      <c r="A157" s="16" t="s">
        <v>180</v>
      </c>
      <c r="B157" s="14">
        <v>793</v>
      </c>
      <c r="C157" s="15" t="s">
        <v>54</v>
      </c>
      <c r="D157" s="15" t="s">
        <v>88</v>
      </c>
      <c r="E157" s="14" t="s">
        <v>642</v>
      </c>
      <c r="F157" s="14">
        <v>870</v>
      </c>
      <c r="G157" s="128">
        <f>'прил 5,'!G1457</f>
        <v>0</v>
      </c>
      <c r="H157" s="8"/>
      <c r="I157" s="8"/>
      <c r="J157" s="1"/>
    </row>
    <row r="158" spans="1:10" ht="57" hidden="1" customHeight="1">
      <c r="A158" s="16" t="s">
        <v>454</v>
      </c>
      <c r="B158" s="14">
        <v>793</v>
      </c>
      <c r="C158" s="15" t="s">
        <v>54</v>
      </c>
      <c r="D158" s="15" t="s">
        <v>88</v>
      </c>
      <c r="E158" s="14" t="s">
        <v>453</v>
      </c>
      <c r="F158" s="14"/>
      <c r="G158" s="70">
        <f t="shared" ref="G158:I159" si="37">G159</f>
        <v>0</v>
      </c>
      <c r="H158" s="8">
        <f t="shared" si="37"/>
        <v>0</v>
      </c>
      <c r="I158" s="8">
        <f t="shared" si="37"/>
        <v>0</v>
      </c>
    </row>
    <row r="159" spans="1:10" ht="34.5" hidden="1" customHeight="1">
      <c r="A159" s="16" t="s">
        <v>63</v>
      </c>
      <c r="B159" s="14">
        <v>793</v>
      </c>
      <c r="C159" s="15" t="s">
        <v>54</v>
      </c>
      <c r="D159" s="15" t="s">
        <v>88</v>
      </c>
      <c r="E159" s="14" t="s">
        <v>453</v>
      </c>
      <c r="F159" s="14">
        <v>800</v>
      </c>
      <c r="G159" s="70">
        <f t="shared" si="37"/>
        <v>0</v>
      </c>
      <c r="H159" s="8">
        <f t="shared" si="37"/>
        <v>0</v>
      </c>
      <c r="I159" s="8">
        <f t="shared" si="37"/>
        <v>0</v>
      </c>
    </row>
    <row r="160" spans="1:10" ht="42" hidden="1" customHeight="1">
      <c r="A160" s="16" t="s">
        <v>340</v>
      </c>
      <c r="B160" s="14">
        <v>793</v>
      </c>
      <c r="C160" s="15" t="s">
        <v>54</v>
      </c>
      <c r="D160" s="15" t="s">
        <v>88</v>
      </c>
      <c r="E160" s="14" t="s">
        <v>453</v>
      </c>
      <c r="F160" s="14">
        <v>810</v>
      </c>
      <c r="G160" s="70"/>
      <c r="H160" s="8">
        <f>'прил 5,'!H1460</f>
        <v>0</v>
      </c>
      <c r="I160" s="8">
        <f>'прил 5,'!I1460</f>
        <v>0</v>
      </c>
    </row>
    <row r="161" spans="1:20" s="235" customFormat="1" ht="28.5" customHeight="1">
      <c r="A161" s="34" t="s">
        <v>489</v>
      </c>
      <c r="B161" s="35">
        <v>792</v>
      </c>
      <c r="C161" s="36" t="s">
        <v>54</v>
      </c>
      <c r="D161" s="36" t="s">
        <v>123</v>
      </c>
      <c r="E161" s="36" t="s">
        <v>234</v>
      </c>
      <c r="F161" s="36"/>
      <c r="G161" s="71">
        <f>G162+G178+G185+G191+G293+G287+G299+G307+G303</f>
        <v>51961100.399999999</v>
      </c>
      <c r="H161" s="71">
        <f>H162+H178+H185+H191+H293</f>
        <v>36715986</v>
      </c>
      <c r="I161" s="71">
        <f>I162+I178+I185+I191+I293</f>
        <v>38133433</v>
      </c>
      <c r="J161" s="234">
        <v>1500000</v>
      </c>
      <c r="P161" s="234"/>
      <c r="Q161" s="234"/>
      <c r="R161" s="234"/>
      <c r="S161" s="234"/>
      <c r="T161" s="234"/>
    </row>
    <row r="162" spans="1:20" s="18" customFormat="1" ht="86.25" customHeight="1">
      <c r="A162" s="16" t="s">
        <v>904</v>
      </c>
      <c r="B162" s="14">
        <v>793</v>
      </c>
      <c r="C162" s="15" t="s">
        <v>54</v>
      </c>
      <c r="D162" s="15" t="s">
        <v>123</v>
      </c>
      <c r="E162" s="15" t="s">
        <v>101</v>
      </c>
      <c r="F162" s="15"/>
      <c r="G162" s="70">
        <f>G165+G172+G169+G175</f>
        <v>28645069.710000001</v>
      </c>
      <c r="H162" s="70">
        <f t="shared" ref="H162:I162" si="38">H163</f>
        <v>28468393</v>
      </c>
      <c r="I162" s="70">
        <f t="shared" si="38"/>
        <v>29744261</v>
      </c>
      <c r="J162" s="176"/>
    </row>
    <row r="163" spans="1:20" s="18" customFormat="1" ht="76.5" customHeight="1">
      <c r="A163" s="50" t="s">
        <v>909</v>
      </c>
      <c r="B163" s="14">
        <v>793</v>
      </c>
      <c r="C163" s="15" t="s">
        <v>54</v>
      </c>
      <c r="D163" s="15" t="s">
        <v>123</v>
      </c>
      <c r="E163" s="15" t="s">
        <v>908</v>
      </c>
      <c r="F163" s="15"/>
      <c r="G163" s="70">
        <f t="shared" ref="G163:I164" si="39">G164</f>
        <v>26096069.710000001</v>
      </c>
      <c r="H163" s="70">
        <f t="shared" si="39"/>
        <v>28468393</v>
      </c>
      <c r="I163" s="70">
        <f t="shared" si="39"/>
        <v>29744261</v>
      </c>
      <c r="J163" s="176" t="s">
        <v>839</v>
      </c>
    </row>
    <row r="164" spans="1:20" s="18" customFormat="1" ht="15" customHeight="1">
      <c r="A164" s="16" t="s">
        <v>323</v>
      </c>
      <c r="B164" s="14">
        <v>793</v>
      </c>
      <c r="C164" s="15" t="s">
        <v>54</v>
      </c>
      <c r="D164" s="15" t="s">
        <v>123</v>
      </c>
      <c r="E164" s="15" t="s">
        <v>908</v>
      </c>
      <c r="F164" s="15" t="s">
        <v>37</v>
      </c>
      <c r="G164" s="70">
        <f t="shared" si="39"/>
        <v>26096069.710000001</v>
      </c>
      <c r="H164" s="70">
        <f t="shared" si="39"/>
        <v>28468393</v>
      </c>
      <c r="I164" s="70">
        <f t="shared" si="39"/>
        <v>29744261</v>
      </c>
      <c r="J164" s="176"/>
    </row>
    <row r="165" spans="1:20" s="18" customFormat="1" ht="32.25" customHeight="1">
      <c r="A165" s="16" t="s">
        <v>38</v>
      </c>
      <c r="B165" s="14">
        <v>793</v>
      </c>
      <c r="C165" s="15" t="s">
        <v>54</v>
      </c>
      <c r="D165" s="15" t="s">
        <v>123</v>
      </c>
      <c r="E165" s="15" t="s">
        <v>908</v>
      </c>
      <c r="F165" s="15" t="s">
        <v>39</v>
      </c>
      <c r="G165" s="70">
        <f>'прил 5,'!G1403</f>
        <v>26096069.710000001</v>
      </c>
      <c r="H165" s="70">
        <f>'прил 5,'!H1403</f>
        <v>28468393</v>
      </c>
      <c r="I165" s="70">
        <f>'прил 5,'!I1403</f>
        <v>29744261</v>
      </c>
      <c r="J165" s="176"/>
      <c r="K165" s="18" t="s">
        <v>465</v>
      </c>
      <c r="M165" s="18">
        <v>26808448</v>
      </c>
    </row>
    <row r="166" spans="1:20" s="18" customFormat="1" ht="81.75" hidden="1" customHeight="1">
      <c r="A166" s="16" t="s">
        <v>967</v>
      </c>
      <c r="B166" s="14">
        <v>793</v>
      </c>
      <c r="C166" s="15" t="s">
        <v>54</v>
      </c>
      <c r="D166" s="15" t="s">
        <v>123</v>
      </c>
      <c r="E166" s="15" t="s">
        <v>528</v>
      </c>
      <c r="F166" s="15"/>
      <c r="G166" s="70">
        <f>G167</f>
        <v>0</v>
      </c>
      <c r="H166" s="70"/>
      <c r="I166" s="70"/>
      <c r="J166" s="177"/>
      <c r="K166" s="200"/>
      <c r="L166" s="200"/>
      <c r="M166" s="200"/>
      <c r="N166" s="200"/>
      <c r="O166" s="200"/>
      <c r="P166" s="200"/>
      <c r="Q166" s="200"/>
      <c r="R166" s="200"/>
    </row>
    <row r="167" spans="1:20" s="18" customFormat="1" ht="27.75" hidden="1" customHeight="1">
      <c r="A167" s="16" t="s">
        <v>96</v>
      </c>
      <c r="B167" s="14">
        <v>793</v>
      </c>
      <c r="C167" s="15" t="s">
        <v>54</v>
      </c>
      <c r="D167" s="15" t="s">
        <v>123</v>
      </c>
      <c r="E167" s="15" t="s">
        <v>528</v>
      </c>
      <c r="F167" s="15" t="s">
        <v>348</v>
      </c>
      <c r="G167" s="70">
        <f>G168</f>
        <v>0</v>
      </c>
      <c r="H167" s="70"/>
      <c r="I167" s="70"/>
      <c r="J167" s="177"/>
      <c r="K167" s="200"/>
      <c r="L167" s="200"/>
      <c r="M167" s="200"/>
      <c r="N167" s="200"/>
      <c r="O167" s="200"/>
      <c r="P167" s="200"/>
      <c r="Q167" s="200"/>
      <c r="R167" s="200"/>
    </row>
    <row r="168" spans="1:20" s="18" customFormat="1" ht="15" hidden="1" customHeight="1">
      <c r="A168" s="16" t="s">
        <v>349</v>
      </c>
      <c r="B168" s="14">
        <v>793</v>
      </c>
      <c r="C168" s="15" t="s">
        <v>54</v>
      </c>
      <c r="D168" s="15" t="s">
        <v>123</v>
      </c>
      <c r="E168" s="15" t="s">
        <v>528</v>
      </c>
      <c r="F168" s="15" t="s">
        <v>350</v>
      </c>
      <c r="G168" s="70"/>
      <c r="H168" s="70"/>
      <c r="I168" s="70"/>
      <c r="J168" s="177"/>
      <c r="K168" s="200"/>
      <c r="L168" s="200"/>
      <c r="M168" s="200"/>
      <c r="N168" s="200"/>
      <c r="O168" s="200"/>
      <c r="P168" s="200"/>
      <c r="Q168" s="200"/>
      <c r="R168" s="200"/>
    </row>
    <row r="169" spans="1:20" s="18" customFormat="1" ht="33" customHeight="1">
      <c r="A169" s="133" t="s">
        <v>1033</v>
      </c>
      <c r="B169" s="14"/>
      <c r="C169" s="15"/>
      <c r="D169" s="15"/>
      <c r="E169" s="15" t="s">
        <v>1031</v>
      </c>
      <c r="F169" s="15"/>
      <c r="G169" s="70">
        <f>G170</f>
        <v>49000</v>
      </c>
      <c r="H169" s="70"/>
      <c r="I169" s="70"/>
      <c r="J169" s="177"/>
      <c r="K169" s="200"/>
      <c r="L169" s="200"/>
      <c r="M169" s="200"/>
      <c r="N169" s="200"/>
      <c r="O169" s="200"/>
      <c r="P169" s="200"/>
      <c r="Q169" s="200"/>
      <c r="R169" s="200"/>
    </row>
    <row r="170" spans="1:20" s="18" customFormat="1" ht="25.15" customHeight="1">
      <c r="A170" s="16" t="s">
        <v>323</v>
      </c>
      <c r="B170" s="14"/>
      <c r="C170" s="15"/>
      <c r="D170" s="15"/>
      <c r="E170" s="15" t="s">
        <v>1031</v>
      </c>
      <c r="F170" s="15" t="s">
        <v>37</v>
      </c>
      <c r="G170" s="70">
        <f>G171</f>
        <v>49000</v>
      </c>
      <c r="H170" s="70"/>
      <c r="I170" s="70"/>
      <c r="J170" s="177"/>
      <c r="K170" s="200"/>
      <c r="L170" s="200"/>
      <c r="M170" s="200"/>
      <c r="N170" s="200"/>
      <c r="O170" s="200"/>
      <c r="P170" s="200"/>
      <c r="Q170" s="200"/>
      <c r="R170" s="200"/>
    </row>
    <row r="171" spans="1:20" s="18" customFormat="1" ht="27.6" customHeight="1">
      <c r="A171" s="16" t="s">
        <v>38</v>
      </c>
      <c r="B171" s="14"/>
      <c r="C171" s="15"/>
      <c r="D171" s="15"/>
      <c r="E171" s="15" t="s">
        <v>1031</v>
      </c>
      <c r="F171" s="15" t="s">
        <v>39</v>
      </c>
      <c r="G171" s="70">
        <v>49000</v>
      </c>
      <c r="H171" s="70"/>
      <c r="I171" s="70"/>
      <c r="J171" s="177"/>
      <c r="K171" s="200"/>
      <c r="L171" s="200"/>
      <c r="M171" s="200"/>
      <c r="N171" s="200"/>
      <c r="O171" s="200"/>
      <c r="P171" s="200"/>
      <c r="Q171" s="200"/>
      <c r="R171" s="200"/>
    </row>
    <row r="172" spans="1:20" s="18" customFormat="1" ht="76.5" hidden="1" customHeight="1">
      <c r="A172" s="50" t="s">
        <v>1016</v>
      </c>
      <c r="B172" s="14">
        <v>793</v>
      </c>
      <c r="C172" s="15" t="s">
        <v>54</v>
      </c>
      <c r="D172" s="15" t="s">
        <v>123</v>
      </c>
      <c r="E172" s="15" t="s">
        <v>1015</v>
      </c>
      <c r="F172" s="15"/>
      <c r="G172" s="70">
        <f t="shared" ref="G172:I173" si="40">G173</f>
        <v>0</v>
      </c>
      <c r="H172" s="70">
        <f t="shared" si="40"/>
        <v>0</v>
      </c>
      <c r="I172" s="70">
        <f t="shared" si="40"/>
        <v>0</v>
      </c>
      <c r="J172" s="177"/>
      <c r="K172" s="200"/>
      <c r="L172" s="200"/>
      <c r="M172" s="200"/>
      <c r="N172" s="200"/>
      <c r="O172" s="200"/>
      <c r="P172" s="200"/>
      <c r="Q172" s="200"/>
      <c r="R172" s="200"/>
    </row>
    <row r="173" spans="1:20" s="18" customFormat="1" ht="15" hidden="1" customHeight="1">
      <c r="A173" s="16" t="s">
        <v>323</v>
      </c>
      <c r="B173" s="14">
        <v>793</v>
      </c>
      <c r="C173" s="15" t="s">
        <v>54</v>
      </c>
      <c r="D173" s="15" t="s">
        <v>123</v>
      </c>
      <c r="E173" s="15" t="s">
        <v>1015</v>
      </c>
      <c r="F173" s="15" t="s">
        <v>37</v>
      </c>
      <c r="G173" s="70">
        <f t="shared" si="40"/>
        <v>0</v>
      </c>
      <c r="H173" s="70">
        <f t="shared" si="40"/>
        <v>0</v>
      </c>
      <c r="I173" s="70">
        <f t="shared" si="40"/>
        <v>0</v>
      </c>
      <c r="J173" s="177"/>
      <c r="K173" s="200"/>
      <c r="L173" s="200"/>
      <c r="M173" s="200"/>
      <c r="N173" s="200"/>
      <c r="O173" s="200"/>
      <c r="P173" s="200"/>
      <c r="Q173" s="200"/>
      <c r="R173" s="200"/>
    </row>
    <row r="174" spans="1:20" s="18" customFormat="1" ht="32.25" hidden="1" customHeight="1">
      <c r="A174" s="16" t="s">
        <v>38</v>
      </c>
      <c r="B174" s="14">
        <v>793</v>
      </c>
      <c r="C174" s="15" t="s">
        <v>54</v>
      </c>
      <c r="D174" s="15" t="s">
        <v>123</v>
      </c>
      <c r="E174" s="15" t="s">
        <v>1015</v>
      </c>
      <c r="F174" s="15" t="s">
        <v>39</v>
      </c>
      <c r="G174" s="70"/>
      <c r="H174" s="70"/>
      <c r="I174" s="70"/>
      <c r="J174" s="177"/>
      <c r="K174" s="200"/>
      <c r="L174" s="200"/>
      <c r="M174" s="200"/>
      <c r="N174" s="200"/>
      <c r="O174" s="200"/>
      <c r="P174" s="200"/>
      <c r="Q174" s="200"/>
      <c r="R174" s="200"/>
    </row>
    <row r="175" spans="1:20" s="311" customFormat="1" ht="54.75" customHeight="1">
      <c r="A175" s="82" t="s">
        <v>1103</v>
      </c>
      <c r="B175" s="149">
        <v>793</v>
      </c>
      <c r="C175" s="84" t="s">
        <v>54</v>
      </c>
      <c r="D175" s="84" t="s">
        <v>123</v>
      </c>
      <c r="E175" s="84" t="s">
        <v>1105</v>
      </c>
      <c r="F175" s="84"/>
      <c r="G175" s="87">
        <f>G176</f>
        <v>2500000</v>
      </c>
      <c r="H175" s="87"/>
      <c r="I175" s="87"/>
      <c r="J175" s="177"/>
      <c r="K175" s="200"/>
      <c r="L175" s="200"/>
      <c r="M175" s="200"/>
      <c r="N175" s="200"/>
      <c r="O175" s="200"/>
      <c r="P175" s="200"/>
      <c r="Q175" s="200"/>
      <c r="R175" s="200"/>
    </row>
    <row r="176" spans="1:20" s="311" customFormat="1" ht="27.75" customHeight="1">
      <c r="A176" s="82" t="s">
        <v>323</v>
      </c>
      <c r="B176" s="149">
        <v>793</v>
      </c>
      <c r="C176" s="84" t="s">
        <v>54</v>
      </c>
      <c r="D176" s="84" t="s">
        <v>123</v>
      </c>
      <c r="E176" s="84" t="s">
        <v>1105</v>
      </c>
      <c r="F176" s="84" t="s">
        <v>37</v>
      </c>
      <c r="G176" s="87">
        <f>G177</f>
        <v>2500000</v>
      </c>
      <c r="H176" s="87">
        <f>H177</f>
        <v>0</v>
      </c>
      <c r="I176" s="87">
        <f>I177</f>
        <v>0</v>
      </c>
      <c r="J176" s="177"/>
      <c r="K176" s="200"/>
      <c r="L176" s="200"/>
      <c r="M176" s="200"/>
      <c r="N176" s="200"/>
      <c r="O176" s="200"/>
      <c r="P176" s="200"/>
      <c r="Q176" s="200"/>
      <c r="R176" s="200"/>
    </row>
    <row r="177" spans="1:20" s="311" customFormat="1" ht="31.5" customHeight="1">
      <c r="A177" s="82" t="s">
        <v>38</v>
      </c>
      <c r="B177" s="149">
        <v>793</v>
      </c>
      <c r="C177" s="84" t="s">
        <v>54</v>
      </c>
      <c r="D177" s="84" t="s">
        <v>123</v>
      </c>
      <c r="E177" s="84" t="s">
        <v>1105</v>
      </c>
      <c r="F177" s="84" t="s">
        <v>39</v>
      </c>
      <c r="G177" s="87">
        <f>'прил 5,'!G1412</f>
        <v>2500000</v>
      </c>
      <c r="H177" s="87">
        <v>0</v>
      </c>
      <c r="I177" s="87">
        <v>0</v>
      </c>
      <c r="J177" s="177"/>
      <c r="K177" s="200"/>
      <c r="L177" s="200"/>
      <c r="M177" s="200"/>
      <c r="N177" s="200"/>
      <c r="O177" s="200"/>
      <c r="P177" s="200"/>
      <c r="Q177" s="200"/>
      <c r="R177" s="200"/>
    </row>
    <row r="178" spans="1:20" s="18" customFormat="1" ht="86.25" customHeight="1">
      <c r="A178" s="16" t="s">
        <v>907</v>
      </c>
      <c r="B178" s="14">
        <v>793</v>
      </c>
      <c r="C178" s="15" t="s">
        <v>54</v>
      </c>
      <c r="D178" s="15" t="s">
        <v>123</v>
      </c>
      <c r="E178" s="15" t="s">
        <v>105</v>
      </c>
      <c r="F178" s="15"/>
      <c r="G178" s="70">
        <f>G179</f>
        <v>6178948</v>
      </c>
      <c r="H178" s="70">
        <f t="shared" ref="H178:I178" si="41">H179</f>
        <v>6318158</v>
      </c>
      <c r="I178" s="70">
        <f t="shared" si="41"/>
        <v>6459737</v>
      </c>
      <c r="J178" s="176"/>
    </row>
    <row r="179" spans="1:20" s="18" customFormat="1" ht="122.25" customHeight="1">
      <c r="A179" s="80" t="s">
        <v>905</v>
      </c>
      <c r="B179" s="14">
        <v>793</v>
      </c>
      <c r="C179" s="15" t="s">
        <v>54</v>
      </c>
      <c r="D179" s="15" t="s">
        <v>123</v>
      </c>
      <c r="E179" s="15" t="s">
        <v>906</v>
      </c>
      <c r="F179" s="15"/>
      <c r="G179" s="70">
        <f>G180+G182</f>
        <v>6178948</v>
      </c>
      <c r="H179" s="70">
        <f t="shared" ref="H179:I179" si="42">H180+H182</f>
        <v>6318158</v>
      </c>
      <c r="I179" s="70">
        <f t="shared" si="42"/>
        <v>6459737</v>
      </c>
      <c r="J179" s="176"/>
    </row>
    <row r="180" spans="1:20" s="18" customFormat="1" ht="24.75" customHeight="1">
      <c r="A180" s="16" t="s">
        <v>323</v>
      </c>
      <c r="B180" s="49">
        <v>795</v>
      </c>
      <c r="C180" s="15" t="s">
        <v>54</v>
      </c>
      <c r="D180" s="15" t="s">
        <v>123</v>
      </c>
      <c r="E180" s="15" t="s">
        <v>906</v>
      </c>
      <c r="F180" s="15" t="s">
        <v>37</v>
      </c>
      <c r="G180" s="70">
        <f t="shared" ref="G180:I180" si="43">G181</f>
        <v>6178948</v>
      </c>
      <c r="H180" s="70">
        <f t="shared" si="43"/>
        <v>6318158</v>
      </c>
      <c r="I180" s="70">
        <f t="shared" si="43"/>
        <v>6459737</v>
      </c>
      <c r="J180" s="176"/>
    </row>
    <row r="181" spans="1:20" s="18" customFormat="1" ht="30.75" customHeight="1">
      <c r="A181" s="16" t="s">
        <v>38</v>
      </c>
      <c r="B181" s="49">
        <v>795</v>
      </c>
      <c r="C181" s="15" t="s">
        <v>54</v>
      </c>
      <c r="D181" s="15" t="s">
        <v>123</v>
      </c>
      <c r="E181" s="15" t="s">
        <v>906</v>
      </c>
      <c r="F181" s="15" t="s">
        <v>39</v>
      </c>
      <c r="G181" s="70">
        <f>'прил 5,'!G1420</f>
        <v>6178948</v>
      </c>
      <c r="H181" s="70">
        <f>'прил 5,'!H1420</f>
        <v>6318158</v>
      </c>
      <c r="I181" s="70">
        <f>'прил 5,'!I1420</f>
        <v>6459737</v>
      </c>
      <c r="J181" s="176"/>
    </row>
    <row r="182" spans="1:20" s="18" customFormat="1" ht="76.5" hidden="1" customHeight="1">
      <c r="A182" s="50"/>
      <c r="B182" s="14"/>
      <c r="C182" s="15"/>
      <c r="D182" s="15"/>
      <c r="E182" s="15"/>
      <c r="F182" s="15"/>
      <c r="G182" s="70"/>
      <c r="H182" s="70"/>
      <c r="I182" s="70"/>
      <c r="J182" s="176"/>
    </row>
    <row r="183" spans="1:20" s="18" customFormat="1" ht="15" hidden="1" customHeight="1">
      <c r="A183" s="16"/>
      <c r="B183" s="14"/>
      <c r="C183" s="15"/>
      <c r="D183" s="15"/>
      <c r="E183" s="15"/>
      <c r="F183" s="15"/>
      <c r="G183" s="70"/>
      <c r="H183" s="70"/>
      <c r="I183" s="70"/>
      <c r="J183" s="176"/>
    </row>
    <row r="184" spans="1:20" s="18" customFormat="1" ht="32.25" hidden="1" customHeight="1">
      <c r="A184" s="16"/>
      <c r="B184" s="14"/>
      <c r="C184" s="15"/>
      <c r="D184" s="15"/>
      <c r="E184" s="15"/>
      <c r="F184" s="15"/>
      <c r="G184" s="70"/>
      <c r="H184" s="70"/>
      <c r="I184" s="70"/>
      <c r="J184" s="176"/>
    </row>
    <row r="185" spans="1:20" s="18" customFormat="1" ht="106.5" customHeight="1">
      <c r="A185" s="16" t="s">
        <v>994</v>
      </c>
      <c r="B185" s="14">
        <v>793</v>
      </c>
      <c r="C185" s="15" t="s">
        <v>54</v>
      </c>
      <c r="D185" s="15" t="s">
        <v>123</v>
      </c>
      <c r="E185" s="15" t="s">
        <v>995</v>
      </c>
      <c r="F185" s="15"/>
      <c r="G185" s="70">
        <f>G186</f>
        <v>0</v>
      </c>
      <c r="H185" s="70">
        <f>H186</f>
        <v>0</v>
      </c>
      <c r="I185" s="70">
        <f>I186</f>
        <v>0</v>
      </c>
      <c r="J185" s="177"/>
      <c r="K185" s="200"/>
      <c r="L185" s="200"/>
      <c r="M185" s="200"/>
      <c r="N185" s="200"/>
      <c r="O185" s="200"/>
      <c r="P185" s="200"/>
      <c r="Q185" s="200"/>
      <c r="R185" s="200"/>
    </row>
    <row r="186" spans="1:20" s="18" customFormat="1" ht="106.5" customHeight="1">
      <c r="A186" s="16" t="s">
        <v>967</v>
      </c>
      <c r="B186" s="14">
        <v>793</v>
      </c>
      <c r="C186" s="15" t="s">
        <v>54</v>
      </c>
      <c r="D186" s="15" t="s">
        <v>123</v>
      </c>
      <c r="E186" s="15" t="s">
        <v>993</v>
      </c>
      <c r="F186" s="15"/>
      <c r="G186" s="70">
        <f>G189+G187</f>
        <v>0</v>
      </c>
      <c r="H186" s="70">
        <f t="shared" ref="H186:I186" si="44">H189</f>
        <v>0</v>
      </c>
      <c r="I186" s="70">
        <f t="shared" si="44"/>
        <v>0</v>
      </c>
      <c r="J186" s="177"/>
      <c r="K186" s="200"/>
      <c r="L186" s="200"/>
      <c r="M186" s="200"/>
      <c r="N186" s="200"/>
      <c r="O186" s="200"/>
      <c r="P186" s="200"/>
      <c r="Q186" s="200"/>
      <c r="R186" s="200"/>
    </row>
    <row r="187" spans="1:20" s="18" customFormat="1" ht="27.75" hidden="1" customHeight="1">
      <c r="A187" s="82" t="s">
        <v>323</v>
      </c>
      <c r="B187" s="149">
        <v>793</v>
      </c>
      <c r="C187" s="84" t="s">
        <v>54</v>
      </c>
      <c r="D187" s="84" t="s">
        <v>123</v>
      </c>
      <c r="E187" s="84" t="s">
        <v>993</v>
      </c>
      <c r="F187" s="84" t="s">
        <v>37</v>
      </c>
      <c r="G187" s="87">
        <f>G188</f>
        <v>0</v>
      </c>
      <c r="H187" s="87">
        <f t="shared" ref="H187:I187" si="45">H188</f>
        <v>0</v>
      </c>
      <c r="I187" s="87">
        <f t="shared" si="45"/>
        <v>0</v>
      </c>
      <c r="J187" s="177"/>
      <c r="K187" s="200"/>
      <c r="L187" s="200"/>
      <c r="M187" s="200"/>
      <c r="N187" s="200"/>
      <c r="O187" s="200"/>
      <c r="P187" s="200"/>
      <c r="Q187" s="200"/>
      <c r="R187" s="200"/>
    </row>
    <row r="188" spans="1:20" s="18" customFormat="1" ht="31.5" hidden="1" customHeight="1">
      <c r="A188" s="82" t="s">
        <v>38</v>
      </c>
      <c r="B188" s="149">
        <v>793</v>
      </c>
      <c r="C188" s="84" t="s">
        <v>54</v>
      </c>
      <c r="D188" s="84" t="s">
        <v>123</v>
      </c>
      <c r="E188" s="84" t="s">
        <v>993</v>
      </c>
      <c r="F188" s="84" t="s">
        <v>39</v>
      </c>
      <c r="G188" s="87"/>
      <c r="H188" s="87">
        <v>0</v>
      </c>
      <c r="I188" s="87">
        <v>0</v>
      </c>
      <c r="J188" s="177"/>
      <c r="K188" s="200"/>
      <c r="L188" s="200"/>
      <c r="M188" s="200"/>
      <c r="N188" s="200"/>
      <c r="O188" s="200"/>
      <c r="P188" s="200"/>
      <c r="Q188" s="200"/>
      <c r="R188" s="200"/>
    </row>
    <row r="189" spans="1:20" s="18" customFormat="1" ht="27.75" customHeight="1">
      <c r="A189" s="16" t="s">
        <v>96</v>
      </c>
      <c r="B189" s="14">
        <v>793</v>
      </c>
      <c r="C189" s="15" t="s">
        <v>54</v>
      </c>
      <c r="D189" s="15" t="s">
        <v>123</v>
      </c>
      <c r="E189" s="15" t="s">
        <v>993</v>
      </c>
      <c r="F189" s="15" t="s">
        <v>348</v>
      </c>
      <c r="G189" s="70">
        <f>G190</f>
        <v>0</v>
      </c>
      <c r="H189" s="70">
        <f t="shared" ref="H189:I189" si="46">H190</f>
        <v>0</v>
      </c>
      <c r="I189" s="70">
        <f t="shared" si="46"/>
        <v>0</v>
      </c>
      <c r="J189" s="177"/>
      <c r="K189" s="200"/>
      <c r="L189" s="200"/>
      <c r="M189" s="200"/>
      <c r="N189" s="200"/>
      <c r="O189" s="200"/>
      <c r="P189" s="200"/>
      <c r="Q189" s="200"/>
      <c r="R189" s="200"/>
    </row>
    <row r="190" spans="1:20" s="18" customFormat="1" ht="15" customHeight="1">
      <c r="A190" s="16" t="s">
        <v>349</v>
      </c>
      <c r="B190" s="14">
        <v>793</v>
      </c>
      <c r="C190" s="15" t="s">
        <v>54</v>
      </c>
      <c r="D190" s="15" t="s">
        <v>123</v>
      </c>
      <c r="E190" s="15" t="s">
        <v>993</v>
      </c>
      <c r="F190" s="15" t="s">
        <v>350</v>
      </c>
      <c r="G190" s="70">
        <f>'прил 5,'!G1416</f>
        <v>0</v>
      </c>
      <c r="H190" s="70">
        <v>0</v>
      </c>
      <c r="I190" s="70">
        <v>0</v>
      </c>
      <c r="J190" s="177"/>
      <c r="K190" s="200"/>
      <c r="L190" s="200"/>
      <c r="M190" s="200"/>
      <c r="N190" s="200"/>
      <c r="O190" s="200"/>
      <c r="P190" s="200"/>
      <c r="Q190" s="200"/>
      <c r="R190" s="200"/>
    </row>
    <row r="191" spans="1:20" s="46" customFormat="1" ht="18" customHeight="1">
      <c r="A191" s="16" t="s">
        <v>343</v>
      </c>
      <c r="B191" s="14">
        <v>793</v>
      </c>
      <c r="C191" s="15" t="s">
        <v>54</v>
      </c>
      <c r="D191" s="15" t="s">
        <v>44</v>
      </c>
      <c r="E191" s="15" t="s">
        <v>97</v>
      </c>
      <c r="F191" s="15"/>
      <c r="G191" s="87">
        <f>G192+G195+G198+G284</f>
        <v>7056128.1399999997</v>
      </c>
      <c r="H191" s="87">
        <f t="shared" ref="H191:I191" si="47">H192</f>
        <v>1929435</v>
      </c>
      <c r="I191" s="87">
        <f t="shared" si="47"/>
        <v>1929435</v>
      </c>
      <c r="J191" s="110">
        <v>2835500</v>
      </c>
      <c r="P191" s="110"/>
      <c r="Q191" s="110"/>
      <c r="R191" s="110"/>
      <c r="S191" s="110"/>
      <c r="T191" s="110"/>
    </row>
    <row r="192" spans="1:20" s="46" customFormat="1" ht="44.25" customHeight="1">
      <c r="A192" s="16" t="s">
        <v>338</v>
      </c>
      <c r="B192" s="14">
        <v>793</v>
      </c>
      <c r="C192" s="15" t="s">
        <v>54</v>
      </c>
      <c r="D192" s="15" t="s">
        <v>44</v>
      </c>
      <c r="E192" s="15" t="s">
        <v>337</v>
      </c>
      <c r="F192" s="15"/>
      <c r="G192" s="87">
        <f t="shared" ref="G192:I193" si="48">G193</f>
        <v>1719320.76</v>
      </c>
      <c r="H192" s="87">
        <f t="shared" si="48"/>
        <v>1929435</v>
      </c>
      <c r="I192" s="87">
        <f t="shared" si="48"/>
        <v>1929435</v>
      </c>
      <c r="J192" s="110">
        <v>10491350</v>
      </c>
      <c r="P192" s="110"/>
      <c r="Q192" s="110"/>
      <c r="R192" s="110"/>
      <c r="S192" s="110"/>
      <c r="T192" s="110"/>
    </row>
    <row r="193" spans="1:20" s="46" customFormat="1" ht="15.75" customHeight="1">
      <c r="A193" s="16" t="s">
        <v>323</v>
      </c>
      <c r="B193" s="14">
        <v>793</v>
      </c>
      <c r="C193" s="15" t="s">
        <v>54</v>
      </c>
      <c r="D193" s="15" t="s">
        <v>44</v>
      </c>
      <c r="E193" s="15" t="s">
        <v>337</v>
      </c>
      <c r="F193" s="15" t="s">
        <v>37</v>
      </c>
      <c r="G193" s="87">
        <f t="shared" si="48"/>
        <v>1719320.76</v>
      </c>
      <c r="H193" s="87">
        <f t="shared" si="48"/>
        <v>1929435</v>
      </c>
      <c r="I193" s="87">
        <f t="shared" si="48"/>
        <v>1929435</v>
      </c>
      <c r="J193" s="110">
        <v>15028150</v>
      </c>
      <c r="P193" s="110"/>
      <c r="Q193" s="110"/>
      <c r="R193" s="110"/>
      <c r="S193" s="110"/>
      <c r="T193" s="110"/>
    </row>
    <row r="194" spans="1:20" s="46" customFormat="1" ht="44.25" customHeight="1">
      <c r="A194" s="16" t="s">
        <v>38</v>
      </c>
      <c r="B194" s="14">
        <v>793</v>
      </c>
      <c r="C194" s="15" t="s">
        <v>54</v>
      </c>
      <c r="D194" s="15" t="s">
        <v>44</v>
      </c>
      <c r="E194" s="15" t="s">
        <v>337</v>
      </c>
      <c r="F194" s="15" t="s">
        <v>39</v>
      </c>
      <c r="G194" s="70">
        <f>'прил 5,'!G1388</f>
        <v>1719320.76</v>
      </c>
      <c r="H194" s="70">
        <f>'прил 5,'!H1388</f>
        <v>1929435</v>
      </c>
      <c r="I194" s="70">
        <f>'прил 5,'!I1388</f>
        <v>1929435</v>
      </c>
      <c r="J194" s="110">
        <v>5548000</v>
      </c>
      <c r="P194" s="110"/>
      <c r="Q194" s="110"/>
      <c r="R194" s="110"/>
      <c r="S194" s="110"/>
      <c r="T194" s="110"/>
    </row>
    <row r="195" spans="1:20" s="46" customFormat="1" ht="75" hidden="1" customHeight="1">
      <c r="A195" s="82" t="s">
        <v>708</v>
      </c>
      <c r="B195" s="14">
        <v>793</v>
      </c>
      <c r="C195" s="15" t="s">
        <v>54</v>
      </c>
      <c r="D195" s="15" t="s">
        <v>44</v>
      </c>
      <c r="E195" s="15" t="s">
        <v>707</v>
      </c>
      <c r="F195" s="15"/>
      <c r="G195" s="70">
        <f t="shared" ref="G195:I196" si="49">G196</f>
        <v>0</v>
      </c>
      <c r="H195" s="70">
        <f t="shared" si="49"/>
        <v>0</v>
      </c>
      <c r="I195" s="70">
        <f t="shared" si="49"/>
        <v>0</v>
      </c>
      <c r="P195" s="110"/>
      <c r="Q195" s="110"/>
      <c r="R195" s="110"/>
      <c r="S195" s="110"/>
      <c r="T195" s="110"/>
    </row>
    <row r="196" spans="1:20" s="46" customFormat="1" ht="27.75" hidden="1" customHeight="1">
      <c r="A196" s="82" t="s">
        <v>456</v>
      </c>
      <c r="B196" s="14">
        <v>793</v>
      </c>
      <c r="C196" s="15" t="s">
        <v>54</v>
      </c>
      <c r="D196" s="15" t="s">
        <v>44</v>
      </c>
      <c r="E196" s="15" t="s">
        <v>707</v>
      </c>
      <c r="F196" s="15" t="s">
        <v>64</v>
      </c>
      <c r="G196" s="70">
        <f t="shared" si="49"/>
        <v>0</v>
      </c>
      <c r="H196" s="70">
        <f t="shared" si="49"/>
        <v>0</v>
      </c>
      <c r="I196" s="70">
        <f t="shared" si="49"/>
        <v>0</v>
      </c>
      <c r="P196" s="110"/>
      <c r="Q196" s="110"/>
      <c r="R196" s="110"/>
      <c r="S196" s="110"/>
      <c r="T196" s="110"/>
    </row>
    <row r="197" spans="1:20" s="46" customFormat="1" ht="31.5" hidden="1" customHeight="1">
      <c r="A197" s="82" t="s">
        <v>38</v>
      </c>
      <c r="B197" s="14">
        <v>793</v>
      </c>
      <c r="C197" s="15" t="s">
        <v>54</v>
      </c>
      <c r="D197" s="15" t="s">
        <v>44</v>
      </c>
      <c r="E197" s="15" t="s">
        <v>707</v>
      </c>
      <c r="F197" s="15" t="s">
        <v>341</v>
      </c>
      <c r="G197" s="70"/>
      <c r="H197" s="70">
        <v>0</v>
      </c>
      <c r="I197" s="70">
        <v>0</v>
      </c>
      <c r="P197" s="110"/>
      <c r="Q197" s="110"/>
      <c r="R197" s="110"/>
      <c r="S197" s="110"/>
      <c r="T197" s="110"/>
    </row>
    <row r="198" spans="1:20" s="46" customFormat="1" ht="75" hidden="1" customHeight="1">
      <c r="A198" s="82" t="s">
        <v>783</v>
      </c>
      <c r="B198" s="14">
        <v>793</v>
      </c>
      <c r="C198" s="15" t="s">
        <v>54</v>
      </c>
      <c r="D198" s="15" t="s">
        <v>44</v>
      </c>
      <c r="E198" s="15" t="s">
        <v>782</v>
      </c>
      <c r="F198" s="15"/>
      <c r="G198" s="70">
        <f t="shared" ref="G198:I199" si="50">G199</f>
        <v>0</v>
      </c>
      <c r="H198" s="70">
        <f t="shared" si="50"/>
        <v>0</v>
      </c>
      <c r="I198" s="70">
        <f t="shared" si="50"/>
        <v>0</v>
      </c>
      <c r="P198" s="110"/>
      <c r="Q198" s="110"/>
      <c r="R198" s="110"/>
      <c r="S198" s="110"/>
      <c r="T198" s="110"/>
    </row>
    <row r="199" spans="1:20" s="46" customFormat="1" ht="27.75" hidden="1" customHeight="1">
      <c r="A199" s="82" t="s">
        <v>456</v>
      </c>
      <c r="B199" s="14">
        <v>793</v>
      </c>
      <c r="C199" s="15" t="s">
        <v>54</v>
      </c>
      <c r="D199" s="15" t="s">
        <v>44</v>
      </c>
      <c r="E199" s="15" t="s">
        <v>782</v>
      </c>
      <c r="F199" s="15" t="s">
        <v>37</v>
      </c>
      <c r="G199" s="70">
        <f t="shared" si="50"/>
        <v>0</v>
      </c>
      <c r="H199" s="70">
        <f t="shared" si="50"/>
        <v>0</v>
      </c>
      <c r="I199" s="70">
        <f t="shared" si="50"/>
        <v>0</v>
      </c>
      <c r="P199" s="110"/>
      <c r="Q199" s="110"/>
      <c r="R199" s="110"/>
      <c r="S199" s="110"/>
      <c r="T199" s="110"/>
    </row>
    <row r="200" spans="1:20" s="46" customFormat="1" ht="31.5" hidden="1" customHeight="1">
      <c r="A200" s="82" t="s">
        <v>38</v>
      </c>
      <c r="B200" s="14">
        <v>793</v>
      </c>
      <c r="C200" s="15" t="s">
        <v>54</v>
      </c>
      <c r="D200" s="15" t="s">
        <v>44</v>
      </c>
      <c r="E200" s="15" t="s">
        <v>782</v>
      </c>
      <c r="F200" s="15" t="s">
        <v>39</v>
      </c>
      <c r="G200" s="70"/>
      <c r="H200" s="70">
        <v>0</v>
      </c>
      <c r="I200" s="70">
        <v>0</v>
      </c>
      <c r="P200" s="110"/>
      <c r="Q200" s="110"/>
      <c r="R200" s="110"/>
      <c r="S200" s="110"/>
      <c r="T200" s="110"/>
    </row>
    <row r="201" spans="1:20" s="3" customFormat="1" ht="20.25" hidden="1" customHeight="1">
      <c r="A201" s="77" t="s">
        <v>172</v>
      </c>
      <c r="B201" s="49">
        <v>795</v>
      </c>
      <c r="C201" s="15" t="s">
        <v>54</v>
      </c>
      <c r="D201" s="15" t="s">
        <v>123</v>
      </c>
      <c r="E201" s="15"/>
      <c r="F201" s="15"/>
      <c r="G201" s="129">
        <f>G161-G191</f>
        <v>44904972.259999998</v>
      </c>
      <c r="H201" s="129">
        <f>H161-H191</f>
        <v>34786551</v>
      </c>
      <c r="I201" s="129">
        <f>I161-I191</f>
        <v>36203998</v>
      </c>
      <c r="J201" s="111">
        <f>SUM(J161:J194)</f>
        <v>35403000</v>
      </c>
      <c r="P201" s="111"/>
      <c r="Q201" s="111"/>
      <c r="R201" s="111"/>
      <c r="S201" s="111"/>
      <c r="T201" s="111"/>
    </row>
    <row r="202" spans="1:20" s="18" customFormat="1" ht="27" hidden="1" customHeight="1">
      <c r="A202" s="16" t="s">
        <v>489</v>
      </c>
      <c r="B202" s="49">
        <v>795</v>
      </c>
      <c r="C202" s="15" t="s">
        <v>54</v>
      </c>
      <c r="D202" s="15" t="s">
        <v>123</v>
      </c>
      <c r="E202" s="15" t="s">
        <v>234</v>
      </c>
      <c r="F202" s="15"/>
      <c r="G202" s="87" t="e">
        <f>G209+G239+#REF!+#REF!+#REF!+#REF!+#REF!+G203+#REF!+#REF!+#REF!</f>
        <v>#REF!</v>
      </c>
      <c r="H202" s="87" t="e">
        <f>H209+H239+#REF!+#REF!+#REF!+#REF!+#REF!+H203+#REF!+#REF!</f>
        <v>#REF!</v>
      </c>
      <c r="I202" s="87" t="e">
        <f>I209+I239+#REF!+#REF!+#REF!+#REF!+#REF!+I203+#REF!+#REF!</f>
        <v>#REF!</v>
      </c>
      <c r="J202" s="17"/>
      <c r="P202" s="17"/>
      <c r="Q202" s="17"/>
      <c r="R202" s="17"/>
      <c r="S202" s="17"/>
      <c r="T202" s="17"/>
    </row>
    <row r="203" spans="1:20" s="18" customFormat="1" ht="39.75" hidden="1" customHeight="1">
      <c r="A203" s="16" t="s">
        <v>399</v>
      </c>
      <c r="B203" s="49">
        <v>795</v>
      </c>
      <c r="C203" s="15" t="s">
        <v>54</v>
      </c>
      <c r="D203" s="15" t="s">
        <v>123</v>
      </c>
      <c r="E203" s="15" t="s">
        <v>398</v>
      </c>
      <c r="F203" s="15"/>
      <c r="G203" s="87">
        <f t="shared" ref="G203:I204" si="51">G204</f>
        <v>0</v>
      </c>
      <c r="H203" s="87">
        <f t="shared" si="51"/>
        <v>0</v>
      </c>
      <c r="I203" s="87">
        <f t="shared" si="51"/>
        <v>0</v>
      </c>
      <c r="J203" s="17"/>
      <c r="P203" s="17"/>
      <c r="Q203" s="17"/>
      <c r="R203" s="17"/>
      <c r="S203" s="17"/>
      <c r="T203" s="17"/>
    </row>
    <row r="204" spans="1:20" s="18" customFormat="1" ht="27" hidden="1" customHeight="1">
      <c r="A204" s="16" t="s">
        <v>156</v>
      </c>
      <c r="B204" s="49">
        <v>795</v>
      </c>
      <c r="C204" s="15" t="s">
        <v>54</v>
      </c>
      <c r="D204" s="15" t="s">
        <v>123</v>
      </c>
      <c r="E204" s="15" t="s">
        <v>398</v>
      </c>
      <c r="F204" s="15" t="s">
        <v>157</v>
      </c>
      <c r="G204" s="87">
        <f t="shared" si="51"/>
        <v>0</v>
      </c>
      <c r="H204" s="87">
        <f t="shared" si="51"/>
        <v>0</v>
      </c>
      <c r="I204" s="87">
        <f t="shared" si="51"/>
        <v>0</v>
      </c>
      <c r="J204" s="17"/>
      <c r="P204" s="17"/>
      <c r="Q204" s="17"/>
      <c r="R204" s="17"/>
      <c r="S204" s="17"/>
      <c r="T204" s="17"/>
    </row>
    <row r="205" spans="1:20" s="18" customFormat="1" ht="27" hidden="1" customHeight="1">
      <c r="A205" s="16" t="s">
        <v>170</v>
      </c>
      <c r="B205" s="49">
        <v>795</v>
      </c>
      <c r="C205" s="15" t="s">
        <v>54</v>
      </c>
      <c r="D205" s="15" t="s">
        <v>123</v>
      </c>
      <c r="E205" s="15" t="s">
        <v>398</v>
      </c>
      <c r="F205" s="15" t="s">
        <v>171</v>
      </c>
      <c r="G205" s="87"/>
      <c r="H205" s="87"/>
      <c r="I205" s="87"/>
      <c r="J205" s="17"/>
      <c r="P205" s="17"/>
      <c r="Q205" s="17"/>
      <c r="R205" s="17"/>
      <c r="S205" s="17"/>
      <c r="T205" s="17"/>
    </row>
    <row r="206" spans="1:20" s="18" customFormat="1" ht="27" hidden="1" customHeight="1">
      <c r="A206" s="16"/>
      <c r="B206" s="49"/>
      <c r="C206" s="15"/>
      <c r="D206" s="15"/>
      <c r="E206" s="15"/>
      <c r="F206" s="15"/>
      <c r="G206" s="87"/>
      <c r="H206" s="87"/>
      <c r="I206" s="87"/>
      <c r="J206" s="17"/>
      <c r="P206" s="17"/>
      <c r="Q206" s="17"/>
      <c r="R206" s="17"/>
      <c r="S206" s="17"/>
      <c r="T206" s="17"/>
    </row>
    <row r="207" spans="1:20" s="18" customFormat="1" ht="27" hidden="1" customHeight="1">
      <c r="A207" s="16"/>
      <c r="B207" s="49"/>
      <c r="C207" s="15"/>
      <c r="D207" s="15"/>
      <c r="E207" s="15"/>
      <c r="F207" s="15"/>
      <c r="G207" s="87"/>
      <c r="H207" s="87"/>
      <c r="I207" s="87"/>
      <c r="J207" s="17"/>
      <c r="P207" s="17"/>
      <c r="Q207" s="17"/>
      <c r="R207" s="17"/>
      <c r="S207" s="17"/>
      <c r="T207" s="17"/>
    </row>
    <row r="208" spans="1:20" s="18" customFormat="1" ht="27" hidden="1" customHeight="1">
      <c r="A208" s="16"/>
      <c r="B208" s="49"/>
      <c r="C208" s="15"/>
      <c r="D208" s="15"/>
      <c r="E208" s="15"/>
      <c r="F208" s="15"/>
      <c r="G208" s="87"/>
      <c r="H208" s="87"/>
      <c r="I208" s="87"/>
      <c r="J208" s="17"/>
      <c r="P208" s="17"/>
      <c r="Q208" s="17"/>
      <c r="R208" s="17"/>
      <c r="S208" s="17"/>
      <c r="T208" s="17"/>
    </row>
    <row r="209" spans="1:20" s="18" customFormat="1" ht="66" hidden="1" customHeight="1">
      <c r="A209" s="50" t="s">
        <v>103</v>
      </c>
      <c r="B209" s="14">
        <v>793</v>
      </c>
      <c r="C209" s="15" t="s">
        <v>54</v>
      </c>
      <c r="D209" s="15" t="s">
        <v>123</v>
      </c>
      <c r="E209" s="15" t="s">
        <v>101</v>
      </c>
      <c r="F209" s="15"/>
      <c r="G209" s="70">
        <f t="shared" ref="G209:I209" si="52">G213+G216+G229+G224+G221+G236+G210</f>
        <v>0</v>
      </c>
      <c r="H209" s="70">
        <f t="shared" si="52"/>
        <v>0</v>
      </c>
      <c r="I209" s="70">
        <f t="shared" si="52"/>
        <v>0</v>
      </c>
      <c r="J209" s="17"/>
      <c r="L209" s="17">
        <f>G220+G235+G244+G253+G259</f>
        <v>0</v>
      </c>
      <c r="P209" s="17"/>
      <c r="Q209" s="17"/>
      <c r="R209" s="17"/>
      <c r="S209" s="17"/>
      <c r="T209" s="17"/>
    </row>
    <row r="210" spans="1:20" s="18" customFormat="1" ht="76.5" hidden="1" customHeight="1">
      <c r="A210" s="50" t="s">
        <v>668</v>
      </c>
      <c r="B210" s="49">
        <v>795</v>
      </c>
      <c r="C210" s="15" t="s">
        <v>54</v>
      </c>
      <c r="D210" s="15" t="s">
        <v>123</v>
      </c>
      <c r="E210" s="15" t="s">
        <v>667</v>
      </c>
      <c r="F210" s="15"/>
      <c r="G210" s="70">
        <f t="shared" ref="G210:I211" si="53">G211</f>
        <v>0</v>
      </c>
      <c r="H210" s="70">
        <f t="shared" si="53"/>
        <v>0</v>
      </c>
      <c r="I210" s="70">
        <f t="shared" si="53"/>
        <v>0</v>
      </c>
      <c r="P210" s="17"/>
      <c r="Q210" s="17"/>
      <c r="R210" s="17"/>
      <c r="S210" s="17"/>
      <c r="T210" s="17"/>
    </row>
    <row r="211" spans="1:20" s="18" customFormat="1" ht="15" hidden="1" customHeight="1">
      <c r="A211" s="16" t="s">
        <v>323</v>
      </c>
      <c r="B211" s="49">
        <v>795</v>
      </c>
      <c r="C211" s="15" t="s">
        <v>54</v>
      </c>
      <c r="D211" s="15" t="s">
        <v>123</v>
      </c>
      <c r="E211" s="15" t="s">
        <v>667</v>
      </c>
      <c r="F211" s="15" t="s">
        <v>37</v>
      </c>
      <c r="G211" s="70">
        <f t="shared" si="53"/>
        <v>0</v>
      </c>
      <c r="H211" s="70">
        <f t="shared" si="53"/>
        <v>0</v>
      </c>
      <c r="I211" s="70">
        <f t="shared" si="53"/>
        <v>0</v>
      </c>
      <c r="P211" s="17"/>
      <c r="Q211" s="17"/>
      <c r="R211" s="17"/>
      <c r="S211" s="17"/>
      <c r="T211" s="17"/>
    </row>
    <row r="212" spans="1:20" s="18" customFormat="1" ht="32.25" hidden="1" customHeight="1">
      <c r="A212" s="16" t="s">
        <v>38</v>
      </c>
      <c r="B212" s="49">
        <v>795</v>
      </c>
      <c r="C212" s="15" t="s">
        <v>54</v>
      </c>
      <c r="D212" s="15" t="s">
        <v>123</v>
      </c>
      <c r="E212" s="15" t="s">
        <v>667</v>
      </c>
      <c r="F212" s="15" t="s">
        <v>39</v>
      </c>
      <c r="G212" s="70">
        <f>'прил 5,'!G1857</f>
        <v>0</v>
      </c>
      <c r="H212" s="70">
        <f>'прил 5,'!H1857</f>
        <v>0</v>
      </c>
      <c r="I212" s="70">
        <f>'прил 5,'!I1857</f>
        <v>0</v>
      </c>
      <c r="J212" s="18" t="s">
        <v>465</v>
      </c>
      <c r="L212" s="18">
        <v>26808448</v>
      </c>
      <c r="P212" s="17"/>
      <c r="Q212" s="17"/>
      <c r="R212" s="17"/>
      <c r="S212" s="17"/>
      <c r="T212" s="17"/>
    </row>
    <row r="213" spans="1:20" s="18" customFormat="1" ht="53.25" hidden="1" customHeight="1">
      <c r="A213" s="50" t="s">
        <v>104</v>
      </c>
      <c r="B213" s="49">
        <v>795</v>
      </c>
      <c r="C213" s="15" t="s">
        <v>54</v>
      </c>
      <c r="D213" s="15" t="s">
        <v>123</v>
      </c>
      <c r="E213" s="15" t="s">
        <v>102</v>
      </c>
      <c r="F213" s="15"/>
      <c r="G213" s="87">
        <f t="shared" ref="G213:I214" si="54">G214</f>
        <v>0</v>
      </c>
      <c r="H213" s="87">
        <f t="shared" si="54"/>
        <v>0</v>
      </c>
      <c r="I213" s="87">
        <f t="shared" si="54"/>
        <v>0</v>
      </c>
      <c r="J213" s="17"/>
      <c r="P213" s="17"/>
      <c r="Q213" s="17"/>
      <c r="R213" s="17"/>
      <c r="S213" s="17"/>
      <c r="T213" s="17"/>
    </row>
    <row r="214" spans="1:20" s="18" customFormat="1" ht="18" hidden="1" customHeight="1">
      <c r="A214" s="16" t="s">
        <v>323</v>
      </c>
      <c r="B214" s="49">
        <v>795</v>
      </c>
      <c r="C214" s="15" t="s">
        <v>54</v>
      </c>
      <c r="D214" s="15" t="s">
        <v>123</v>
      </c>
      <c r="E214" s="15" t="s">
        <v>102</v>
      </c>
      <c r="F214" s="15" t="s">
        <v>37</v>
      </c>
      <c r="G214" s="87">
        <f t="shared" si="54"/>
        <v>0</v>
      </c>
      <c r="H214" s="87">
        <f t="shared" si="54"/>
        <v>0</v>
      </c>
      <c r="I214" s="87">
        <f t="shared" si="54"/>
        <v>0</v>
      </c>
      <c r="J214" s="17"/>
      <c r="P214" s="17"/>
      <c r="Q214" s="17"/>
      <c r="R214" s="17"/>
      <c r="S214" s="17"/>
      <c r="T214" s="17"/>
    </row>
    <row r="215" spans="1:20" s="18" customFormat="1" ht="57.75" hidden="1" customHeight="1">
      <c r="A215" s="16" t="s">
        <v>38</v>
      </c>
      <c r="B215" s="49">
        <v>795</v>
      </c>
      <c r="C215" s="15" t="s">
        <v>54</v>
      </c>
      <c r="D215" s="15" t="s">
        <v>123</v>
      </c>
      <c r="E215" s="15" t="s">
        <v>102</v>
      </c>
      <c r="F215" s="15" t="s">
        <v>39</v>
      </c>
      <c r="G215" s="70">
        <f>'прил 5,'!G1860</f>
        <v>0</v>
      </c>
      <c r="H215" s="70">
        <f>'прил 5,'!H1860</f>
        <v>0</v>
      </c>
      <c r="I215" s="70">
        <f>'прил 5,'!I1860</f>
        <v>0</v>
      </c>
      <c r="J215" s="17"/>
      <c r="P215" s="17"/>
      <c r="Q215" s="17"/>
      <c r="R215" s="17"/>
      <c r="S215" s="17"/>
      <c r="T215" s="17"/>
    </row>
    <row r="216" spans="1:20" ht="80.25" hidden="1" customHeight="1">
      <c r="A216" s="50" t="s">
        <v>103</v>
      </c>
      <c r="B216" s="49">
        <v>795</v>
      </c>
      <c r="C216" s="15" t="s">
        <v>54</v>
      </c>
      <c r="D216" s="15" t="s">
        <v>123</v>
      </c>
      <c r="E216" s="15" t="s">
        <v>132</v>
      </c>
      <c r="F216" s="15"/>
      <c r="G216" s="70">
        <f>G219</f>
        <v>0</v>
      </c>
      <c r="H216" s="70">
        <f t="shared" ref="H216:I216" si="55">H219</f>
        <v>0</v>
      </c>
      <c r="I216" s="70">
        <f t="shared" si="55"/>
        <v>0</v>
      </c>
    </row>
    <row r="217" spans="1:20" s="18" customFormat="1" ht="15.75" hidden="1" customHeight="1">
      <c r="A217" s="16" t="s">
        <v>63</v>
      </c>
      <c r="B217" s="49">
        <v>795</v>
      </c>
      <c r="C217" s="15" t="s">
        <v>54</v>
      </c>
      <c r="D217" s="15" t="s">
        <v>123</v>
      </c>
      <c r="E217" s="15" t="s">
        <v>130</v>
      </c>
      <c r="F217" s="15" t="s">
        <v>64</v>
      </c>
      <c r="G217" s="70" t="e">
        <f>G218</f>
        <v>#REF!</v>
      </c>
      <c r="H217" s="70" t="e">
        <f>H218</f>
        <v>#REF!</v>
      </c>
      <c r="I217" s="70" t="e">
        <f>I218</f>
        <v>#REF!</v>
      </c>
      <c r="J217" s="17"/>
      <c r="P217" s="17"/>
      <c r="Q217" s="17"/>
      <c r="R217" s="17"/>
      <c r="S217" s="17"/>
      <c r="T217" s="17"/>
    </row>
    <row r="218" spans="1:20" s="18" customFormat="1" ht="15.75" hidden="1" customHeight="1">
      <c r="A218" s="16" t="s">
        <v>180</v>
      </c>
      <c r="B218" s="49">
        <v>795</v>
      </c>
      <c r="C218" s="15" t="s">
        <v>54</v>
      </c>
      <c r="D218" s="15" t="s">
        <v>123</v>
      </c>
      <c r="E218" s="15" t="s">
        <v>130</v>
      </c>
      <c r="F218" s="15" t="s">
        <v>181</v>
      </c>
      <c r="G218" s="70" t="e">
        <f>'прил 5,'!#REF!</f>
        <v>#REF!</v>
      </c>
      <c r="H218" s="70" t="e">
        <f>'прил 5,'!#REF!</f>
        <v>#REF!</v>
      </c>
      <c r="I218" s="70" t="e">
        <f>'прил 5,'!#REF!</f>
        <v>#REF!</v>
      </c>
      <c r="J218" s="17"/>
      <c r="P218" s="17"/>
      <c r="Q218" s="17"/>
      <c r="R218" s="17"/>
      <c r="S218" s="17"/>
      <c r="T218" s="17"/>
    </row>
    <row r="219" spans="1:20" ht="15" hidden="1" customHeight="1">
      <c r="A219" s="16" t="s">
        <v>156</v>
      </c>
      <c r="B219" s="49">
        <v>795</v>
      </c>
      <c r="C219" s="15" t="s">
        <v>54</v>
      </c>
      <c r="D219" s="15" t="s">
        <v>123</v>
      </c>
      <c r="E219" s="15" t="s">
        <v>130</v>
      </c>
      <c r="F219" s="15" t="s">
        <v>157</v>
      </c>
      <c r="G219" s="70">
        <f>G220</f>
        <v>0</v>
      </c>
      <c r="H219" s="70">
        <f>H220</f>
        <v>0</v>
      </c>
      <c r="I219" s="70">
        <f>I220</f>
        <v>0</v>
      </c>
    </row>
    <row r="220" spans="1:20" ht="15" hidden="1" customHeight="1">
      <c r="A220" s="16" t="s">
        <v>178</v>
      </c>
      <c r="B220" s="49">
        <v>795</v>
      </c>
      <c r="C220" s="15" t="s">
        <v>54</v>
      </c>
      <c r="D220" s="15" t="s">
        <v>123</v>
      </c>
      <c r="E220" s="15" t="s">
        <v>130</v>
      </c>
      <c r="F220" s="15" t="s">
        <v>179</v>
      </c>
      <c r="G220" s="70">
        <f>'прил 5,'!G1863</f>
        <v>0</v>
      </c>
      <c r="H220" s="70">
        <f>'прил 5,'!H1863</f>
        <v>0</v>
      </c>
      <c r="I220" s="70">
        <f>'прил 5,'!I1863</f>
        <v>0</v>
      </c>
    </row>
    <row r="221" spans="1:20" s="18" customFormat="1" ht="83.25" hidden="1" customHeight="1">
      <c r="A221" s="50" t="s">
        <v>421</v>
      </c>
      <c r="B221" s="49"/>
      <c r="C221" s="15"/>
      <c r="D221" s="15"/>
      <c r="E221" s="15" t="s">
        <v>133</v>
      </c>
      <c r="F221" s="15"/>
      <c r="G221" s="70">
        <f>G222</f>
        <v>0</v>
      </c>
      <c r="H221" s="70">
        <v>0</v>
      </c>
      <c r="I221" s="70">
        <v>0</v>
      </c>
      <c r="J221" s="17"/>
      <c r="P221" s="17"/>
      <c r="Q221" s="17"/>
      <c r="R221" s="17"/>
      <c r="S221" s="17"/>
      <c r="T221" s="17"/>
    </row>
    <row r="222" spans="1:20" s="18" customFormat="1" ht="26.25" hidden="1" customHeight="1">
      <c r="A222" s="16" t="s">
        <v>323</v>
      </c>
      <c r="B222" s="49"/>
      <c r="C222" s="15"/>
      <c r="D222" s="15"/>
      <c r="E222" s="15" t="s">
        <v>131</v>
      </c>
      <c r="F222" s="15" t="s">
        <v>37</v>
      </c>
      <c r="G222" s="70">
        <f>G223</f>
        <v>0</v>
      </c>
      <c r="H222" s="70">
        <v>0</v>
      </c>
      <c r="I222" s="70">
        <v>0</v>
      </c>
      <c r="J222" s="17"/>
      <c r="P222" s="17"/>
      <c r="Q222" s="17"/>
      <c r="R222" s="17"/>
      <c r="S222" s="17"/>
      <c r="T222" s="17"/>
    </row>
    <row r="223" spans="1:20" s="18" customFormat="1" ht="47.25" hidden="1" customHeight="1">
      <c r="A223" s="16" t="s">
        <v>38</v>
      </c>
      <c r="B223" s="49"/>
      <c r="C223" s="15"/>
      <c r="D223" s="15"/>
      <c r="E223" s="15" t="s">
        <v>131</v>
      </c>
      <c r="F223" s="15" t="s">
        <v>39</v>
      </c>
      <c r="G223" s="70">
        <f>'прил 5,'!G1866</f>
        <v>0</v>
      </c>
      <c r="H223" s="70">
        <v>0</v>
      </c>
      <c r="I223" s="70">
        <v>0</v>
      </c>
      <c r="J223" s="17"/>
      <c r="P223" s="17"/>
      <c r="Q223" s="17"/>
      <c r="R223" s="17"/>
      <c r="S223" s="17"/>
      <c r="T223" s="17"/>
    </row>
    <row r="224" spans="1:20" ht="78" hidden="1" customHeight="1">
      <c r="A224" s="50" t="s">
        <v>530</v>
      </c>
      <c r="B224" s="49">
        <v>795</v>
      </c>
      <c r="C224" s="15" t="s">
        <v>54</v>
      </c>
      <c r="D224" s="15" t="s">
        <v>123</v>
      </c>
      <c r="E224" s="15" t="s">
        <v>529</v>
      </c>
      <c r="F224" s="15"/>
      <c r="G224" s="70">
        <f>G225+G227</f>
        <v>0</v>
      </c>
      <c r="H224" s="70">
        <v>0</v>
      </c>
      <c r="I224" s="70">
        <v>0</v>
      </c>
      <c r="J224" s="1"/>
    </row>
    <row r="225" spans="1:20" ht="18" hidden="1" customHeight="1">
      <c r="A225" s="16" t="s">
        <v>323</v>
      </c>
      <c r="B225" s="49">
        <v>795</v>
      </c>
      <c r="C225" s="15" t="s">
        <v>54</v>
      </c>
      <c r="D225" s="15" t="s">
        <v>123</v>
      </c>
      <c r="E225" s="15" t="s">
        <v>528</v>
      </c>
      <c r="F225" s="15" t="s">
        <v>37</v>
      </c>
      <c r="G225" s="70">
        <f>G226</f>
        <v>0</v>
      </c>
      <c r="H225" s="70">
        <v>0</v>
      </c>
      <c r="I225" s="70">
        <v>0</v>
      </c>
      <c r="J225" s="1"/>
    </row>
    <row r="226" spans="1:20" ht="15" hidden="1" customHeight="1">
      <c r="A226" s="16" t="s">
        <v>38</v>
      </c>
      <c r="B226" s="49">
        <v>795</v>
      </c>
      <c r="C226" s="15" t="s">
        <v>54</v>
      </c>
      <c r="D226" s="15" t="s">
        <v>123</v>
      </c>
      <c r="E226" s="15" t="s">
        <v>528</v>
      </c>
      <c r="F226" s="15" t="s">
        <v>39</v>
      </c>
      <c r="G226" s="70"/>
      <c r="H226" s="70">
        <v>0</v>
      </c>
      <c r="I226" s="70">
        <v>0</v>
      </c>
      <c r="J226" s="1"/>
    </row>
    <row r="227" spans="1:20" ht="36.75" hidden="1" customHeight="1">
      <c r="A227" s="16" t="s">
        <v>96</v>
      </c>
      <c r="B227" s="49">
        <v>795</v>
      </c>
      <c r="C227" s="15" t="s">
        <v>54</v>
      </c>
      <c r="D227" s="15" t="s">
        <v>123</v>
      </c>
      <c r="E227" s="15" t="s">
        <v>528</v>
      </c>
      <c r="F227" s="15" t="s">
        <v>348</v>
      </c>
      <c r="G227" s="70">
        <f>G228</f>
        <v>0</v>
      </c>
      <c r="H227" s="70">
        <f t="shared" ref="H227:I227" si="56">H228</f>
        <v>0</v>
      </c>
      <c r="I227" s="70">
        <f t="shared" si="56"/>
        <v>0</v>
      </c>
      <c r="J227" s="1"/>
    </row>
    <row r="228" spans="1:20" ht="27.75" hidden="1" customHeight="1">
      <c r="A228" s="16" t="s">
        <v>349</v>
      </c>
      <c r="B228" s="49">
        <v>795</v>
      </c>
      <c r="C228" s="15" t="s">
        <v>54</v>
      </c>
      <c r="D228" s="15" t="s">
        <v>123</v>
      </c>
      <c r="E228" s="15" t="s">
        <v>528</v>
      </c>
      <c r="F228" s="15" t="s">
        <v>350</v>
      </c>
      <c r="G228" s="70"/>
      <c r="H228" s="70">
        <v>0</v>
      </c>
      <c r="I228" s="70">
        <v>0</v>
      </c>
      <c r="J228" s="1"/>
    </row>
    <row r="229" spans="1:20" s="18" customFormat="1" ht="62.25" hidden="1" customHeight="1">
      <c r="A229" s="16" t="s">
        <v>527</v>
      </c>
      <c r="B229" s="49">
        <v>795</v>
      </c>
      <c r="C229" s="15" t="s">
        <v>54</v>
      </c>
      <c r="D229" s="15" t="s">
        <v>123</v>
      </c>
      <c r="E229" s="15" t="s">
        <v>187</v>
      </c>
      <c r="F229" s="15"/>
      <c r="G229" s="70">
        <f>G230+G234+G232</f>
        <v>0</v>
      </c>
      <c r="H229" s="70">
        <v>0</v>
      </c>
      <c r="I229" s="70">
        <v>0</v>
      </c>
      <c r="P229" s="17"/>
      <c r="Q229" s="17"/>
      <c r="R229" s="17"/>
      <c r="S229" s="17"/>
      <c r="T229" s="17"/>
    </row>
    <row r="230" spans="1:20" s="18" customFormat="1" ht="32.25" hidden="1" customHeight="1">
      <c r="A230" s="16" t="s">
        <v>323</v>
      </c>
      <c r="B230" s="49">
        <v>795</v>
      </c>
      <c r="C230" s="15" t="s">
        <v>54</v>
      </c>
      <c r="D230" s="15" t="s">
        <v>123</v>
      </c>
      <c r="E230" s="15" t="s">
        <v>187</v>
      </c>
      <c r="F230" s="15" t="s">
        <v>37</v>
      </c>
      <c r="G230" s="70">
        <f>G231</f>
        <v>0</v>
      </c>
      <c r="H230" s="70">
        <v>0</v>
      </c>
      <c r="I230" s="70">
        <v>0</v>
      </c>
      <c r="P230" s="17"/>
      <c r="Q230" s="17"/>
      <c r="R230" s="17"/>
      <c r="S230" s="17"/>
      <c r="T230" s="17"/>
    </row>
    <row r="231" spans="1:20" s="18" customFormat="1" ht="32.25" hidden="1" customHeight="1">
      <c r="A231" s="16" t="s">
        <v>38</v>
      </c>
      <c r="B231" s="49">
        <v>795</v>
      </c>
      <c r="C231" s="15" t="s">
        <v>54</v>
      </c>
      <c r="D231" s="15" t="s">
        <v>123</v>
      </c>
      <c r="E231" s="15" t="s">
        <v>187</v>
      </c>
      <c r="F231" s="15" t="s">
        <v>39</v>
      </c>
      <c r="G231" s="70"/>
      <c r="H231" s="70">
        <v>0</v>
      </c>
      <c r="I231" s="70">
        <v>0</v>
      </c>
      <c r="P231" s="17"/>
      <c r="Q231" s="17"/>
      <c r="R231" s="17"/>
      <c r="S231" s="17"/>
      <c r="T231" s="17"/>
    </row>
    <row r="232" spans="1:20" ht="18" hidden="1" customHeight="1">
      <c r="A232" s="16" t="s">
        <v>323</v>
      </c>
      <c r="B232" s="49">
        <v>795</v>
      </c>
      <c r="C232" s="15" t="s">
        <v>54</v>
      </c>
      <c r="D232" s="15" t="s">
        <v>123</v>
      </c>
      <c r="E232" s="15" t="s">
        <v>187</v>
      </c>
      <c r="F232" s="15" t="s">
        <v>37</v>
      </c>
      <c r="G232" s="70">
        <f>G233</f>
        <v>0</v>
      </c>
      <c r="H232" s="70">
        <v>0</v>
      </c>
      <c r="I232" s="70">
        <v>0</v>
      </c>
      <c r="J232" s="1"/>
    </row>
    <row r="233" spans="1:20" ht="29.25" hidden="1" customHeight="1">
      <c r="A233" s="16" t="s">
        <v>38</v>
      </c>
      <c r="B233" s="49">
        <v>795</v>
      </c>
      <c r="C233" s="15" t="s">
        <v>54</v>
      </c>
      <c r="D233" s="15" t="s">
        <v>123</v>
      </c>
      <c r="E233" s="15" t="s">
        <v>187</v>
      </c>
      <c r="F233" s="15" t="s">
        <v>39</v>
      </c>
      <c r="G233" s="70"/>
      <c r="H233" s="70"/>
      <c r="I233" s="70"/>
      <c r="J233" s="1"/>
    </row>
    <row r="234" spans="1:20" ht="18" hidden="1" customHeight="1">
      <c r="A234" s="16" t="s">
        <v>156</v>
      </c>
      <c r="B234" s="49">
        <v>795</v>
      </c>
      <c r="C234" s="15" t="s">
        <v>54</v>
      </c>
      <c r="D234" s="15" t="s">
        <v>123</v>
      </c>
      <c r="E234" s="15" t="s">
        <v>187</v>
      </c>
      <c r="F234" s="15" t="s">
        <v>157</v>
      </c>
      <c r="G234" s="70">
        <f>G235</f>
        <v>0</v>
      </c>
      <c r="H234" s="70">
        <v>0</v>
      </c>
      <c r="I234" s="70">
        <v>0</v>
      </c>
      <c r="J234" s="1"/>
    </row>
    <row r="235" spans="1:20" ht="15" hidden="1" customHeight="1">
      <c r="A235" s="16" t="s">
        <v>178</v>
      </c>
      <c r="B235" s="49">
        <v>795</v>
      </c>
      <c r="C235" s="15" t="s">
        <v>54</v>
      </c>
      <c r="D235" s="15" t="s">
        <v>123</v>
      </c>
      <c r="E235" s="15" t="s">
        <v>187</v>
      </c>
      <c r="F235" s="15" t="s">
        <v>179</v>
      </c>
      <c r="G235" s="70">
        <f>'прил 5,'!G1878</f>
        <v>0</v>
      </c>
      <c r="H235" s="70">
        <v>0</v>
      </c>
      <c r="I235" s="70">
        <v>0</v>
      </c>
      <c r="J235" s="1"/>
    </row>
    <row r="236" spans="1:20" ht="78" hidden="1" customHeight="1">
      <c r="A236" s="50" t="s">
        <v>657</v>
      </c>
      <c r="B236" s="49">
        <v>795</v>
      </c>
      <c r="C236" s="15" t="s">
        <v>54</v>
      </c>
      <c r="D236" s="15" t="s">
        <v>123</v>
      </c>
      <c r="E236" s="15" t="s">
        <v>659</v>
      </c>
      <c r="F236" s="15"/>
      <c r="G236" s="70">
        <f>G237</f>
        <v>0</v>
      </c>
      <c r="H236" s="70">
        <v>0</v>
      </c>
      <c r="I236" s="70">
        <v>0</v>
      </c>
      <c r="J236" s="1"/>
    </row>
    <row r="237" spans="1:20" ht="18" hidden="1" customHeight="1">
      <c r="A237" s="16" t="s">
        <v>156</v>
      </c>
      <c r="B237" s="49">
        <v>795</v>
      </c>
      <c r="C237" s="15" t="s">
        <v>54</v>
      </c>
      <c r="D237" s="15" t="s">
        <v>123</v>
      </c>
      <c r="E237" s="15" t="s">
        <v>659</v>
      </c>
      <c r="F237" s="15" t="s">
        <v>157</v>
      </c>
      <c r="G237" s="70">
        <f>G238</f>
        <v>0</v>
      </c>
      <c r="H237" s="70">
        <v>0</v>
      </c>
      <c r="I237" s="70">
        <v>0</v>
      </c>
      <c r="J237" s="1"/>
    </row>
    <row r="238" spans="1:20" ht="27.75" hidden="1" customHeight="1">
      <c r="A238" s="16" t="s">
        <v>178</v>
      </c>
      <c r="B238" s="49">
        <v>795</v>
      </c>
      <c r="C238" s="15" t="s">
        <v>54</v>
      </c>
      <c r="D238" s="15" t="s">
        <v>123</v>
      </c>
      <c r="E238" s="15" t="s">
        <v>659</v>
      </c>
      <c r="F238" s="15" t="s">
        <v>179</v>
      </c>
      <c r="G238" s="70">
        <f>'прил 5,'!G1881</f>
        <v>0</v>
      </c>
      <c r="H238" s="70">
        <v>0</v>
      </c>
      <c r="I238" s="70">
        <v>0</v>
      </c>
      <c r="J238" s="1"/>
    </row>
    <row r="239" spans="1:20" ht="78.75" hidden="1" customHeight="1">
      <c r="A239" s="16" t="s">
        <v>107</v>
      </c>
      <c r="B239" s="49">
        <v>795</v>
      </c>
      <c r="C239" s="15" t="s">
        <v>54</v>
      </c>
      <c r="D239" s="15" t="s">
        <v>123</v>
      </c>
      <c r="E239" s="15" t="s">
        <v>105</v>
      </c>
      <c r="F239" s="15"/>
      <c r="G239" s="70">
        <f>G240+G247+G257+G241+G260+G263+G269+G254</f>
        <v>0</v>
      </c>
      <c r="H239" s="70">
        <f>H240+H247+H257+H241+H260+H263</f>
        <v>0</v>
      </c>
      <c r="I239" s="70">
        <f>I240+I247+I257+I241+I260+I263</f>
        <v>0</v>
      </c>
    </row>
    <row r="240" spans="1:20" ht="47.25" hidden="1" customHeight="1">
      <c r="A240" s="16" t="s">
        <v>108</v>
      </c>
      <c r="B240" s="49">
        <v>795</v>
      </c>
      <c r="C240" s="15" t="s">
        <v>54</v>
      </c>
      <c r="D240" s="15" t="s">
        <v>123</v>
      </c>
      <c r="E240" s="15" t="s">
        <v>106</v>
      </c>
      <c r="F240" s="15"/>
      <c r="G240" s="70">
        <f>G243+G245</f>
        <v>0</v>
      </c>
      <c r="H240" s="70">
        <f t="shared" ref="H240:I240" si="57">H243+H245</f>
        <v>0</v>
      </c>
      <c r="I240" s="70">
        <f t="shared" si="57"/>
        <v>0</v>
      </c>
    </row>
    <row r="241" spans="1:20" s="18" customFormat="1" ht="15.75" hidden="1" customHeight="1">
      <c r="A241" s="16" t="s">
        <v>63</v>
      </c>
      <c r="B241" s="49">
        <v>795</v>
      </c>
      <c r="C241" s="15" t="s">
        <v>54</v>
      </c>
      <c r="D241" s="15" t="s">
        <v>123</v>
      </c>
      <c r="E241" s="15" t="s">
        <v>106</v>
      </c>
      <c r="F241" s="15" t="s">
        <v>64</v>
      </c>
      <c r="G241" s="70">
        <f>G242</f>
        <v>0</v>
      </c>
      <c r="H241" s="70">
        <v>0</v>
      </c>
      <c r="I241" s="70">
        <v>0</v>
      </c>
      <c r="J241" s="116"/>
      <c r="P241" s="17"/>
      <c r="Q241" s="17"/>
      <c r="R241" s="17"/>
      <c r="S241" s="17"/>
      <c r="T241" s="17"/>
    </row>
    <row r="242" spans="1:20" s="18" customFormat="1" ht="15.75" hidden="1" customHeight="1">
      <c r="A242" s="16" t="s">
        <v>180</v>
      </c>
      <c r="B242" s="49">
        <v>795</v>
      </c>
      <c r="C242" s="15" t="s">
        <v>54</v>
      </c>
      <c r="D242" s="15" t="s">
        <v>123</v>
      </c>
      <c r="E242" s="15" t="s">
        <v>106</v>
      </c>
      <c r="F242" s="15" t="s">
        <v>181</v>
      </c>
      <c r="G242" s="70">
        <f>'прил 5,'!G1885</f>
        <v>0</v>
      </c>
      <c r="H242" s="70">
        <v>0</v>
      </c>
      <c r="I242" s="70">
        <v>0</v>
      </c>
      <c r="J242" s="116"/>
      <c r="P242" s="17"/>
      <c r="Q242" s="17"/>
      <c r="R242" s="17"/>
      <c r="S242" s="17"/>
      <c r="T242" s="17"/>
    </row>
    <row r="243" spans="1:20" ht="16.5" hidden="1" customHeight="1">
      <c r="A243" s="16" t="s">
        <v>156</v>
      </c>
      <c r="B243" s="49">
        <v>795</v>
      </c>
      <c r="C243" s="15" t="s">
        <v>54</v>
      </c>
      <c r="D243" s="15" t="s">
        <v>123</v>
      </c>
      <c r="E243" s="15" t="s">
        <v>106</v>
      </c>
      <c r="F243" s="15" t="s">
        <v>157</v>
      </c>
      <c r="G243" s="70">
        <f>G244</f>
        <v>0</v>
      </c>
      <c r="H243" s="70">
        <f>H244</f>
        <v>0</v>
      </c>
      <c r="I243" s="70">
        <f>I244</f>
        <v>0</v>
      </c>
    </row>
    <row r="244" spans="1:20" ht="19.5" hidden="1" customHeight="1">
      <c r="A244" s="16" t="s">
        <v>178</v>
      </c>
      <c r="B244" s="49">
        <v>795</v>
      </c>
      <c r="C244" s="15" t="s">
        <v>54</v>
      </c>
      <c r="D244" s="15" t="s">
        <v>123</v>
      </c>
      <c r="E244" s="15" t="s">
        <v>106</v>
      </c>
      <c r="F244" s="15" t="s">
        <v>179</v>
      </c>
      <c r="G244" s="70">
        <f>'прил 5,'!G1887</f>
        <v>0</v>
      </c>
      <c r="H244" s="70">
        <f>'прил 5,'!H1887</f>
        <v>0</v>
      </c>
      <c r="I244" s="70">
        <f>'прил 5,'!I1887</f>
        <v>0</v>
      </c>
    </row>
    <row r="245" spans="1:20" ht="22.5" hidden="1" customHeight="1">
      <c r="A245" s="16" t="s">
        <v>323</v>
      </c>
      <c r="B245" s="49">
        <v>795</v>
      </c>
      <c r="C245" s="15" t="s">
        <v>54</v>
      </c>
      <c r="D245" s="15" t="s">
        <v>123</v>
      </c>
      <c r="E245" s="15" t="s">
        <v>106</v>
      </c>
      <c r="F245" s="15" t="s">
        <v>37</v>
      </c>
      <c r="G245" s="70">
        <f>G246</f>
        <v>0</v>
      </c>
      <c r="H245" s="70">
        <f>H246</f>
        <v>0</v>
      </c>
      <c r="I245" s="70">
        <f>I246</f>
        <v>0</v>
      </c>
      <c r="J245" s="1"/>
    </row>
    <row r="246" spans="1:20" ht="32.25" hidden="1" customHeight="1">
      <c r="A246" s="16" t="s">
        <v>38</v>
      </c>
      <c r="B246" s="49">
        <v>795</v>
      </c>
      <c r="C246" s="15" t="s">
        <v>54</v>
      </c>
      <c r="D246" s="15" t="s">
        <v>123</v>
      </c>
      <c r="E246" s="15" t="s">
        <v>106</v>
      </c>
      <c r="F246" s="15" t="s">
        <v>39</v>
      </c>
      <c r="G246" s="70">
        <f>'прил 5,'!G1889</f>
        <v>0</v>
      </c>
      <c r="H246" s="70">
        <f>'прил 5,'!H1889</f>
        <v>0</v>
      </c>
      <c r="I246" s="70">
        <f>'прил 5,'!I1889</f>
        <v>0</v>
      </c>
      <c r="J246" s="1"/>
    </row>
    <row r="247" spans="1:20" s="18" customFormat="1" ht="65.25" hidden="1" customHeight="1">
      <c r="A247" s="16" t="s">
        <v>526</v>
      </c>
      <c r="B247" s="49">
        <v>795</v>
      </c>
      <c r="C247" s="15" t="s">
        <v>54</v>
      </c>
      <c r="D247" s="15" t="s">
        <v>123</v>
      </c>
      <c r="E247" s="15" t="s">
        <v>46</v>
      </c>
      <c r="F247" s="15"/>
      <c r="G247" s="70">
        <f>G248+G252+G250</f>
        <v>0</v>
      </c>
      <c r="H247" s="27">
        <v>0</v>
      </c>
      <c r="I247" s="27">
        <v>0</v>
      </c>
      <c r="J247" s="116"/>
      <c r="P247" s="17"/>
      <c r="Q247" s="17"/>
      <c r="R247" s="17"/>
      <c r="S247" s="17"/>
      <c r="T247" s="17"/>
    </row>
    <row r="248" spans="1:20" s="18" customFormat="1" ht="15.75" hidden="1" customHeight="1">
      <c r="A248" s="16" t="s">
        <v>323</v>
      </c>
      <c r="B248" s="49">
        <v>795</v>
      </c>
      <c r="C248" s="15" t="s">
        <v>54</v>
      </c>
      <c r="D248" s="15" t="s">
        <v>123</v>
      </c>
      <c r="E248" s="15" t="s">
        <v>46</v>
      </c>
      <c r="F248" s="15" t="s">
        <v>37</v>
      </c>
      <c r="G248" s="70">
        <f>G249</f>
        <v>0</v>
      </c>
      <c r="H248" s="27">
        <v>0</v>
      </c>
      <c r="I248" s="27">
        <v>0</v>
      </c>
      <c r="J248" s="116"/>
      <c r="P248" s="17"/>
      <c r="Q248" s="17"/>
      <c r="R248" s="17"/>
      <c r="S248" s="17"/>
      <c r="T248" s="17"/>
    </row>
    <row r="249" spans="1:20" s="18" customFormat="1" ht="15.75" hidden="1" customHeight="1">
      <c r="A249" s="16" t="s">
        <v>38</v>
      </c>
      <c r="B249" s="49">
        <v>795</v>
      </c>
      <c r="C249" s="15" t="s">
        <v>54</v>
      </c>
      <c r="D249" s="15" t="s">
        <v>123</v>
      </c>
      <c r="E249" s="15" t="s">
        <v>46</v>
      </c>
      <c r="F249" s="15" t="s">
        <v>39</v>
      </c>
      <c r="G249" s="70">
        <f>'прил 5,'!G1892</f>
        <v>0</v>
      </c>
      <c r="H249" s="27">
        <v>0</v>
      </c>
      <c r="I249" s="27">
        <v>0</v>
      </c>
      <c r="J249" s="116"/>
      <c r="P249" s="17"/>
      <c r="Q249" s="17"/>
      <c r="R249" s="17"/>
      <c r="S249" s="17"/>
      <c r="T249" s="17"/>
    </row>
    <row r="250" spans="1:20" ht="22.5" hidden="1" customHeight="1">
      <c r="A250" s="16" t="s">
        <v>323</v>
      </c>
      <c r="B250" s="49">
        <v>795</v>
      </c>
      <c r="C250" s="15" t="s">
        <v>54</v>
      </c>
      <c r="D250" s="15" t="s">
        <v>123</v>
      </c>
      <c r="E250" s="15" t="s">
        <v>46</v>
      </c>
      <c r="F250" s="15" t="s">
        <v>37</v>
      </c>
      <c r="G250" s="70">
        <f>G251</f>
        <v>0</v>
      </c>
      <c r="H250" s="70">
        <v>0</v>
      </c>
      <c r="I250" s="70">
        <v>0</v>
      </c>
      <c r="J250" s="1"/>
    </row>
    <row r="251" spans="1:20" ht="16.5" hidden="1" customHeight="1">
      <c r="A251" s="16" t="s">
        <v>38</v>
      </c>
      <c r="B251" s="49">
        <v>795</v>
      </c>
      <c r="C251" s="15" t="s">
        <v>54</v>
      </c>
      <c r="D251" s="15" t="s">
        <v>123</v>
      </c>
      <c r="E251" s="15" t="s">
        <v>46</v>
      </c>
      <c r="F251" s="15" t="s">
        <v>39</v>
      </c>
      <c r="G251" s="70"/>
      <c r="H251" s="70"/>
      <c r="I251" s="70"/>
      <c r="J251" s="1"/>
    </row>
    <row r="252" spans="1:20" ht="22.5" hidden="1" customHeight="1">
      <c r="A252" s="16" t="s">
        <v>156</v>
      </c>
      <c r="B252" s="49">
        <v>795</v>
      </c>
      <c r="C252" s="15" t="s">
        <v>54</v>
      </c>
      <c r="D252" s="15" t="s">
        <v>123</v>
      </c>
      <c r="E252" s="15" t="s">
        <v>46</v>
      </c>
      <c r="F252" s="15" t="s">
        <v>157</v>
      </c>
      <c r="G252" s="70">
        <f>G253</f>
        <v>0</v>
      </c>
      <c r="H252" s="27">
        <v>0</v>
      </c>
      <c r="I252" s="27">
        <v>0</v>
      </c>
      <c r="J252" s="1"/>
    </row>
    <row r="253" spans="1:20" ht="16.5" hidden="1" customHeight="1">
      <c r="A253" s="16" t="s">
        <v>178</v>
      </c>
      <c r="B253" s="49">
        <v>795</v>
      </c>
      <c r="C253" s="15" t="s">
        <v>54</v>
      </c>
      <c r="D253" s="15" t="s">
        <v>123</v>
      </c>
      <c r="E253" s="15" t="s">
        <v>46</v>
      </c>
      <c r="F253" s="15" t="s">
        <v>179</v>
      </c>
      <c r="G253" s="70">
        <f>'прил 5,'!G1896</f>
        <v>0</v>
      </c>
      <c r="H253" s="27">
        <v>0</v>
      </c>
      <c r="I253" s="27">
        <v>0</v>
      </c>
      <c r="J253" s="1"/>
    </row>
    <row r="254" spans="1:20" ht="62.25" hidden="1" customHeight="1">
      <c r="A254" s="16" t="s">
        <v>713</v>
      </c>
      <c r="B254" s="49">
        <v>795</v>
      </c>
      <c r="C254" s="15" t="s">
        <v>54</v>
      </c>
      <c r="D254" s="15" t="s">
        <v>123</v>
      </c>
      <c r="E254" s="15" t="s">
        <v>712</v>
      </c>
      <c r="F254" s="15"/>
      <c r="G254" s="70">
        <f>G255</f>
        <v>0</v>
      </c>
      <c r="H254" s="70">
        <f t="shared" ref="H254:I254" si="58">H255+H257+H259</f>
        <v>0</v>
      </c>
      <c r="I254" s="70">
        <f t="shared" si="58"/>
        <v>0</v>
      </c>
      <c r="J254" s="1"/>
      <c r="L254" s="2">
        <f>I229+I234+I258</f>
        <v>0</v>
      </c>
    </row>
    <row r="255" spans="1:20" s="18" customFormat="1" ht="15.75" hidden="1" customHeight="1">
      <c r="A255" s="16" t="s">
        <v>323</v>
      </c>
      <c r="B255" s="49">
        <v>795</v>
      </c>
      <c r="C255" s="15" t="s">
        <v>54</v>
      </c>
      <c r="D255" s="15" t="s">
        <v>123</v>
      </c>
      <c r="E255" s="15" t="s">
        <v>712</v>
      </c>
      <c r="F255" s="15" t="s">
        <v>37</v>
      </c>
      <c r="G255" s="70">
        <f>G256</f>
        <v>0</v>
      </c>
      <c r="H255" s="119">
        <v>0</v>
      </c>
      <c r="I255" s="119">
        <v>0</v>
      </c>
      <c r="J255" s="116"/>
      <c r="P255" s="17"/>
      <c r="Q255" s="17"/>
      <c r="R255" s="17"/>
      <c r="S255" s="17"/>
      <c r="T255" s="17"/>
    </row>
    <row r="256" spans="1:20" s="18" customFormat="1" ht="35.25" hidden="1" customHeight="1">
      <c r="A256" s="16" t="s">
        <v>38</v>
      </c>
      <c r="B256" s="49">
        <v>795</v>
      </c>
      <c r="C256" s="15" t="s">
        <v>54</v>
      </c>
      <c r="D256" s="15" t="s">
        <v>123</v>
      </c>
      <c r="E256" s="15" t="s">
        <v>712</v>
      </c>
      <c r="F256" s="15" t="s">
        <v>39</v>
      </c>
      <c r="G256" s="70"/>
      <c r="H256" s="119"/>
      <c r="I256" s="119"/>
      <c r="J256" s="116"/>
      <c r="P256" s="17"/>
      <c r="Q256" s="17"/>
      <c r="R256" s="17"/>
      <c r="S256" s="17"/>
      <c r="T256" s="17"/>
    </row>
    <row r="257" spans="1:20" ht="68.25" hidden="1" customHeight="1">
      <c r="A257" s="16" t="s">
        <v>422</v>
      </c>
      <c r="B257" s="49">
        <v>795</v>
      </c>
      <c r="C257" s="15" t="s">
        <v>54</v>
      </c>
      <c r="D257" s="15" t="s">
        <v>123</v>
      </c>
      <c r="E257" s="15" t="s">
        <v>10</v>
      </c>
      <c r="F257" s="15"/>
      <c r="G257" s="70">
        <f>G258</f>
        <v>0</v>
      </c>
      <c r="H257" s="27">
        <v>0</v>
      </c>
      <c r="I257" s="27">
        <v>0</v>
      </c>
      <c r="J257" s="1"/>
    </row>
    <row r="258" spans="1:20" ht="22.5" hidden="1" customHeight="1">
      <c r="A258" s="16" t="s">
        <v>156</v>
      </c>
      <c r="B258" s="49">
        <v>795</v>
      </c>
      <c r="C258" s="15" t="s">
        <v>54</v>
      </c>
      <c r="D258" s="15" t="s">
        <v>123</v>
      </c>
      <c r="E258" s="15" t="s">
        <v>10</v>
      </c>
      <c r="F258" s="15" t="s">
        <v>157</v>
      </c>
      <c r="G258" s="70">
        <f>G259</f>
        <v>0</v>
      </c>
      <c r="H258" s="27">
        <v>0</v>
      </c>
      <c r="I258" s="27">
        <v>0</v>
      </c>
      <c r="J258" s="1"/>
    </row>
    <row r="259" spans="1:20" ht="16.5" hidden="1" customHeight="1">
      <c r="A259" s="16" t="s">
        <v>178</v>
      </c>
      <c r="B259" s="49">
        <v>795</v>
      </c>
      <c r="C259" s="15" t="s">
        <v>54</v>
      </c>
      <c r="D259" s="15" t="s">
        <v>123</v>
      </c>
      <c r="E259" s="15" t="s">
        <v>10</v>
      </c>
      <c r="F259" s="15" t="s">
        <v>179</v>
      </c>
      <c r="G259" s="70">
        <f>'прил 5,'!G1902</f>
        <v>0</v>
      </c>
      <c r="H259" s="27">
        <v>0</v>
      </c>
      <c r="I259" s="27">
        <v>0</v>
      </c>
      <c r="J259" s="1"/>
    </row>
    <row r="260" spans="1:20" ht="77.25" hidden="1" customHeight="1">
      <c r="A260" s="16" t="s">
        <v>591</v>
      </c>
      <c r="B260" s="49">
        <v>795</v>
      </c>
      <c r="C260" s="15" t="s">
        <v>54</v>
      </c>
      <c r="D260" s="15" t="s">
        <v>123</v>
      </c>
      <c r="E260" s="15" t="s">
        <v>590</v>
      </c>
      <c r="F260" s="15"/>
      <c r="G260" s="70">
        <f>G261</f>
        <v>0</v>
      </c>
      <c r="H260" s="27">
        <v>0</v>
      </c>
      <c r="I260" s="27">
        <v>0</v>
      </c>
      <c r="J260" s="1"/>
    </row>
    <row r="261" spans="1:20" ht="22.5" hidden="1" customHeight="1">
      <c r="A261" s="16" t="s">
        <v>156</v>
      </c>
      <c r="B261" s="49">
        <v>795</v>
      </c>
      <c r="C261" s="15" t="s">
        <v>54</v>
      </c>
      <c r="D261" s="15" t="s">
        <v>123</v>
      </c>
      <c r="E261" s="15" t="s">
        <v>590</v>
      </c>
      <c r="F261" s="15" t="s">
        <v>157</v>
      </c>
      <c r="G261" s="70">
        <f>G262</f>
        <v>0</v>
      </c>
      <c r="H261" s="27">
        <v>0</v>
      </c>
      <c r="I261" s="27">
        <v>0</v>
      </c>
      <c r="J261" s="1"/>
    </row>
    <row r="262" spans="1:20" ht="16.5" hidden="1" customHeight="1">
      <c r="A262" s="16" t="s">
        <v>170</v>
      </c>
      <c r="B262" s="49">
        <v>795</v>
      </c>
      <c r="C262" s="15" t="s">
        <v>54</v>
      </c>
      <c r="D262" s="15" t="s">
        <v>123</v>
      </c>
      <c r="E262" s="15" t="s">
        <v>590</v>
      </c>
      <c r="F262" s="15" t="s">
        <v>171</v>
      </c>
      <c r="G262" s="70"/>
      <c r="H262" s="27">
        <v>0</v>
      </c>
      <c r="I262" s="27">
        <v>0</v>
      </c>
      <c r="J262" s="1"/>
    </row>
    <row r="263" spans="1:20" ht="48" hidden="1" customHeight="1">
      <c r="A263" s="16" t="s">
        <v>606</v>
      </c>
      <c r="B263" s="49">
        <v>795</v>
      </c>
      <c r="C263" s="15" t="s">
        <v>54</v>
      </c>
      <c r="D263" s="15" t="s">
        <v>123</v>
      </c>
      <c r="E263" s="84" t="s">
        <v>605</v>
      </c>
      <c r="F263" s="15"/>
      <c r="G263" s="70">
        <f>G264</f>
        <v>0</v>
      </c>
      <c r="H263" s="70">
        <v>0</v>
      </c>
      <c r="I263" s="70">
        <v>0</v>
      </c>
      <c r="J263" s="1"/>
    </row>
    <row r="264" spans="1:20" ht="22.5" hidden="1" customHeight="1">
      <c r="A264" s="16" t="s">
        <v>156</v>
      </c>
      <c r="B264" s="49">
        <v>795</v>
      </c>
      <c r="C264" s="15" t="s">
        <v>54</v>
      </c>
      <c r="D264" s="15" t="s">
        <v>123</v>
      </c>
      <c r="E264" s="15" t="s">
        <v>605</v>
      </c>
      <c r="F264" s="15" t="s">
        <v>157</v>
      </c>
      <c r="G264" s="70">
        <f>G265</f>
        <v>0</v>
      </c>
      <c r="H264" s="70">
        <v>0</v>
      </c>
      <c r="I264" s="70">
        <v>0</v>
      </c>
      <c r="J264" s="1"/>
    </row>
    <row r="265" spans="1:20" ht="16.5" hidden="1" customHeight="1">
      <c r="A265" s="16" t="s">
        <v>170</v>
      </c>
      <c r="B265" s="49">
        <v>795</v>
      </c>
      <c r="C265" s="15" t="s">
        <v>54</v>
      </c>
      <c r="D265" s="15" t="s">
        <v>123</v>
      </c>
      <c r="E265" s="15" t="s">
        <v>605</v>
      </c>
      <c r="F265" s="15" t="s">
        <v>171</v>
      </c>
      <c r="G265" s="70"/>
      <c r="H265" s="70">
        <v>0</v>
      </c>
      <c r="I265" s="70">
        <v>0</v>
      </c>
      <c r="J265" s="1"/>
    </row>
    <row r="266" spans="1:20" ht="63" hidden="1" customHeight="1">
      <c r="A266" s="16" t="s">
        <v>658</v>
      </c>
      <c r="B266" s="49">
        <v>795</v>
      </c>
      <c r="C266" s="15" t="s">
        <v>54</v>
      </c>
      <c r="D266" s="15" t="s">
        <v>123</v>
      </c>
      <c r="E266" s="15" t="s">
        <v>299</v>
      </c>
      <c r="F266" s="15"/>
      <c r="G266" s="70">
        <f>G267</f>
        <v>0</v>
      </c>
      <c r="H266" s="70"/>
      <c r="I266" s="70"/>
      <c r="J266" s="1"/>
    </row>
    <row r="267" spans="1:20" ht="16.5" hidden="1" customHeight="1">
      <c r="A267" s="16" t="s">
        <v>323</v>
      </c>
      <c r="B267" s="49">
        <v>795</v>
      </c>
      <c r="C267" s="15" t="s">
        <v>54</v>
      </c>
      <c r="D267" s="15" t="s">
        <v>123</v>
      </c>
      <c r="E267" s="15" t="s">
        <v>299</v>
      </c>
      <c r="F267" s="15" t="s">
        <v>37</v>
      </c>
      <c r="G267" s="70">
        <f>G268</f>
        <v>0</v>
      </c>
      <c r="H267" s="70"/>
      <c r="I267" s="70"/>
      <c r="J267" s="1"/>
    </row>
    <row r="268" spans="1:20" ht="28.5" hidden="1" customHeight="1">
      <c r="A268" s="16" t="s">
        <v>38</v>
      </c>
      <c r="B268" s="49">
        <v>795</v>
      </c>
      <c r="C268" s="15" t="s">
        <v>54</v>
      </c>
      <c r="D268" s="15" t="s">
        <v>123</v>
      </c>
      <c r="E268" s="15" t="s">
        <v>299</v>
      </c>
      <c r="F268" s="15" t="s">
        <v>39</v>
      </c>
      <c r="G268" s="70">
        <f>'прил 5,'!G1905</f>
        <v>0</v>
      </c>
      <c r="H268" s="70"/>
      <c r="I268" s="70"/>
      <c r="J268" s="1"/>
    </row>
    <row r="269" spans="1:20" s="18" customFormat="1" ht="76.5" hidden="1" customHeight="1">
      <c r="A269" s="50" t="s">
        <v>668</v>
      </c>
      <c r="B269" s="49">
        <v>795</v>
      </c>
      <c r="C269" s="15" t="s">
        <v>54</v>
      </c>
      <c r="D269" s="15" t="s">
        <v>123</v>
      </c>
      <c r="E269" s="15" t="s">
        <v>703</v>
      </c>
      <c r="F269" s="15"/>
      <c r="G269" s="70">
        <f t="shared" ref="G269:I270" si="59">G270</f>
        <v>0</v>
      </c>
      <c r="H269" s="70">
        <f t="shared" si="59"/>
        <v>0</v>
      </c>
      <c r="I269" s="70">
        <f t="shared" si="59"/>
        <v>0</v>
      </c>
      <c r="P269" s="17"/>
      <c r="Q269" s="17"/>
      <c r="R269" s="17"/>
      <c r="S269" s="17"/>
      <c r="T269" s="17"/>
    </row>
    <row r="270" spans="1:20" s="18" customFormat="1" ht="15" hidden="1" customHeight="1">
      <c r="A270" s="16" t="s">
        <v>323</v>
      </c>
      <c r="B270" s="49">
        <v>795</v>
      </c>
      <c r="C270" s="15" t="s">
        <v>54</v>
      </c>
      <c r="D270" s="15" t="s">
        <v>123</v>
      </c>
      <c r="E270" s="15" t="s">
        <v>703</v>
      </c>
      <c r="F270" s="15" t="s">
        <v>37</v>
      </c>
      <c r="G270" s="70">
        <f t="shared" si="59"/>
        <v>0</v>
      </c>
      <c r="H270" s="70">
        <f t="shared" si="59"/>
        <v>0</v>
      </c>
      <c r="I270" s="70">
        <f t="shared" si="59"/>
        <v>0</v>
      </c>
      <c r="P270" s="17"/>
      <c r="Q270" s="17"/>
      <c r="R270" s="17"/>
      <c r="S270" s="17"/>
      <c r="T270" s="17"/>
    </row>
    <row r="271" spans="1:20" s="18" customFormat="1" ht="32.25" hidden="1" customHeight="1">
      <c r="A271" s="16" t="s">
        <v>38</v>
      </c>
      <c r="B271" s="49">
        <v>795</v>
      </c>
      <c r="C271" s="15" t="s">
        <v>54</v>
      </c>
      <c r="D271" s="15" t="s">
        <v>123</v>
      </c>
      <c r="E271" s="15" t="s">
        <v>703</v>
      </c>
      <c r="F271" s="15" t="s">
        <v>39</v>
      </c>
      <c r="G271" s="70">
        <f>'прил 5,'!G1908</f>
        <v>0</v>
      </c>
      <c r="H271" s="70">
        <v>0</v>
      </c>
      <c r="I271" s="70">
        <v>0</v>
      </c>
      <c r="J271" s="18" t="s">
        <v>465</v>
      </c>
      <c r="L271" s="18">
        <v>26808448</v>
      </c>
      <c r="P271" s="17"/>
      <c r="Q271" s="17"/>
      <c r="R271" s="17"/>
      <c r="S271" s="17"/>
      <c r="T271" s="17"/>
    </row>
    <row r="272" spans="1:20" ht="87" hidden="1" customHeight="1">
      <c r="A272" s="16" t="s">
        <v>673</v>
      </c>
      <c r="B272" s="49">
        <v>795</v>
      </c>
      <c r="C272" s="15" t="s">
        <v>54</v>
      </c>
      <c r="D272" s="15" t="s">
        <v>123</v>
      </c>
      <c r="E272" s="15" t="s">
        <v>11</v>
      </c>
      <c r="F272" s="15"/>
      <c r="G272" s="70">
        <f>G273+G276+G279</f>
        <v>0</v>
      </c>
      <c r="H272" s="70">
        <f t="shared" ref="H272:I272" si="60">H273+H276+H279</f>
        <v>0</v>
      </c>
      <c r="I272" s="70">
        <f t="shared" si="60"/>
        <v>0</v>
      </c>
      <c r="J272" s="1"/>
    </row>
    <row r="273" spans="1:20" ht="91.5" hidden="1" customHeight="1">
      <c r="A273" s="16" t="s">
        <v>622</v>
      </c>
      <c r="B273" s="49">
        <v>795</v>
      </c>
      <c r="C273" s="15" t="s">
        <v>54</v>
      </c>
      <c r="D273" s="15" t="s">
        <v>123</v>
      </c>
      <c r="E273" s="15" t="s">
        <v>621</v>
      </c>
      <c r="F273" s="15"/>
      <c r="G273" s="70">
        <f>G274</f>
        <v>0</v>
      </c>
      <c r="H273" s="70">
        <v>0</v>
      </c>
      <c r="I273" s="70">
        <v>0</v>
      </c>
      <c r="J273" s="1"/>
    </row>
    <row r="274" spans="1:20" ht="22.5" hidden="1" customHeight="1">
      <c r="A274" s="16" t="s">
        <v>156</v>
      </c>
      <c r="B274" s="49">
        <v>795</v>
      </c>
      <c r="C274" s="15" t="s">
        <v>54</v>
      </c>
      <c r="D274" s="15" t="s">
        <v>123</v>
      </c>
      <c r="E274" s="15" t="s">
        <v>621</v>
      </c>
      <c r="F274" s="15" t="s">
        <v>157</v>
      </c>
      <c r="G274" s="70">
        <f>G275</f>
        <v>0</v>
      </c>
      <c r="H274" s="70">
        <v>0</v>
      </c>
      <c r="I274" s="70">
        <v>0</v>
      </c>
      <c r="J274" s="1"/>
    </row>
    <row r="275" spans="1:20" ht="16.5" hidden="1" customHeight="1">
      <c r="A275" s="16" t="s">
        <v>170</v>
      </c>
      <c r="B275" s="49">
        <v>795</v>
      </c>
      <c r="C275" s="15" t="s">
        <v>54</v>
      </c>
      <c r="D275" s="15" t="s">
        <v>123</v>
      </c>
      <c r="E275" s="15" t="s">
        <v>621</v>
      </c>
      <c r="F275" s="15" t="s">
        <v>171</v>
      </c>
      <c r="G275" s="70"/>
      <c r="H275" s="70">
        <v>0</v>
      </c>
      <c r="I275" s="70">
        <v>0</v>
      </c>
      <c r="J275" s="1"/>
    </row>
    <row r="276" spans="1:20" ht="48" hidden="1" customHeight="1">
      <c r="A276" s="16" t="s">
        <v>606</v>
      </c>
      <c r="B276" s="49">
        <v>795</v>
      </c>
      <c r="C276" s="15" t="s">
        <v>54</v>
      </c>
      <c r="D276" s="15" t="s">
        <v>123</v>
      </c>
      <c r="E276" s="15" t="s">
        <v>406</v>
      </c>
      <c r="F276" s="15"/>
      <c r="G276" s="70">
        <f>G277</f>
        <v>0</v>
      </c>
      <c r="H276" s="70">
        <v>0</v>
      </c>
      <c r="I276" s="70">
        <v>0</v>
      </c>
      <c r="J276" s="1"/>
    </row>
    <row r="277" spans="1:20" ht="22.5" hidden="1" customHeight="1">
      <c r="A277" s="16" t="s">
        <v>156</v>
      </c>
      <c r="B277" s="49">
        <v>795</v>
      </c>
      <c r="C277" s="15" t="s">
        <v>54</v>
      </c>
      <c r="D277" s="15" t="s">
        <v>123</v>
      </c>
      <c r="E277" s="15" t="s">
        <v>406</v>
      </c>
      <c r="F277" s="15" t="s">
        <v>157</v>
      </c>
      <c r="G277" s="70">
        <f>G278</f>
        <v>0</v>
      </c>
      <c r="H277" s="70">
        <v>0</v>
      </c>
      <c r="I277" s="70">
        <v>0</v>
      </c>
      <c r="J277" s="1"/>
    </row>
    <row r="278" spans="1:20" ht="16.5" hidden="1" customHeight="1">
      <c r="A278" s="16" t="s">
        <v>170</v>
      </c>
      <c r="B278" s="49">
        <v>795</v>
      </c>
      <c r="C278" s="15" t="s">
        <v>54</v>
      </c>
      <c r="D278" s="15" t="s">
        <v>123</v>
      </c>
      <c r="E278" s="15" t="s">
        <v>406</v>
      </c>
      <c r="F278" s="15" t="s">
        <v>171</v>
      </c>
      <c r="G278" s="70"/>
      <c r="H278" s="70">
        <v>0</v>
      </c>
      <c r="I278" s="70">
        <v>0</v>
      </c>
      <c r="J278" s="1"/>
    </row>
    <row r="279" spans="1:20" s="18" customFormat="1" ht="96" hidden="1" customHeight="1">
      <c r="A279" s="80" t="s">
        <v>674</v>
      </c>
      <c r="B279" s="49">
        <v>795</v>
      </c>
      <c r="C279" s="15" t="s">
        <v>54</v>
      </c>
      <c r="D279" s="15" t="s">
        <v>123</v>
      </c>
      <c r="E279" s="15" t="s">
        <v>623</v>
      </c>
      <c r="F279" s="15"/>
      <c r="G279" s="70">
        <f>G280+G282</f>
        <v>0</v>
      </c>
      <c r="H279" s="70">
        <f>H282+H280</f>
        <v>0</v>
      </c>
      <c r="I279" s="70">
        <f>I282+I280</f>
        <v>0</v>
      </c>
      <c r="P279" s="17"/>
      <c r="Q279" s="17"/>
      <c r="R279" s="17"/>
      <c r="S279" s="17"/>
      <c r="T279" s="17"/>
    </row>
    <row r="280" spans="1:20" s="18" customFormat="1" ht="24.75" hidden="1" customHeight="1">
      <c r="A280" s="16" t="s">
        <v>323</v>
      </c>
      <c r="B280" s="49">
        <v>795</v>
      </c>
      <c r="C280" s="15" t="s">
        <v>54</v>
      </c>
      <c r="D280" s="15" t="s">
        <v>123</v>
      </c>
      <c r="E280" s="15" t="s">
        <v>623</v>
      </c>
      <c r="F280" s="15" t="s">
        <v>37</v>
      </c>
      <c r="G280" s="70">
        <f t="shared" ref="G280:I280" si="61">G281</f>
        <v>0</v>
      </c>
      <c r="H280" s="70">
        <f t="shared" si="61"/>
        <v>0</v>
      </c>
      <c r="I280" s="70">
        <f t="shared" si="61"/>
        <v>0</v>
      </c>
      <c r="P280" s="17"/>
      <c r="Q280" s="17"/>
      <c r="R280" s="17"/>
      <c r="S280" s="17"/>
      <c r="T280" s="17"/>
    </row>
    <row r="281" spans="1:20" s="18" customFormat="1" ht="30.75" hidden="1" customHeight="1">
      <c r="A281" s="16" t="s">
        <v>38</v>
      </c>
      <c r="B281" s="49">
        <v>795</v>
      </c>
      <c r="C281" s="15" t="s">
        <v>54</v>
      </c>
      <c r="D281" s="15" t="s">
        <v>123</v>
      </c>
      <c r="E281" s="15" t="s">
        <v>623</v>
      </c>
      <c r="F281" s="15" t="s">
        <v>39</v>
      </c>
      <c r="G281" s="70"/>
      <c r="H281" s="70"/>
      <c r="I281" s="70"/>
      <c r="P281" s="17"/>
      <c r="Q281" s="17"/>
      <c r="R281" s="17"/>
      <c r="S281" s="17"/>
      <c r="T281" s="17"/>
    </row>
    <row r="282" spans="1:20" s="90" customFormat="1" ht="22.5" hidden="1" customHeight="1">
      <c r="A282" s="82" t="s">
        <v>156</v>
      </c>
      <c r="B282" s="83">
        <v>795</v>
      </c>
      <c r="C282" s="84" t="s">
        <v>54</v>
      </c>
      <c r="D282" s="84" t="s">
        <v>123</v>
      </c>
      <c r="E282" s="84" t="s">
        <v>623</v>
      </c>
      <c r="F282" s="84" t="s">
        <v>157</v>
      </c>
      <c r="G282" s="87">
        <f>G283</f>
        <v>0</v>
      </c>
      <c r="H282" s="87">
        <f t="shared" ref="H282:I282" si="62">H283</f>
        <v>0</v>
      </c>
      <c r="I282" s="87">
        <f t="shared" si="62"/>
        <v>0</v>
      </c>
      <c r="P282" s="126"/>
      <c r="Q282" s="126"/>
      <c r="R282" s="126"/>
      <c r="S282" s="126"/>
      <c r="T282" s="126"/>
    </row>
    <row r="283" spans="1:20" s="90" customFormat="1" ht="16.5" hidden="1" customHeight="1">
      <c r="A283" s="82" t="s">
        <v>178</v>
      </c>
      <c r="B283" s="83">
        <v>795</v>
      </c>
      <c r="C283" s="84" t="s">
        <v>54</v>
      </c>
      <c r="D283" s="84" t="s">
        <v>123</v>
      </c>
      <c r="E283" s="84" t="s">
        <v>623</v>
      </c>
      <c r="F283" s="84" t="s">
        <v>179</v>
      </c>
      <c r="G283" s="87">
        <f>'прил 5,'!G1920</f>
        <v>0</v>
      </c>
      <c r="H283" s="127">
        <f>'прил 5,'!H1920</f>
        <v>0</v>
      </c>
      <c r="I283" s="127">
        <f>'прил 5,'!I1920</f>
        <v>0</v>
      </c>
      <c r="P283" s="126"/>
      <c r="Q283" s="126"/>
      <c r="R283" s="126"/>
      <c r="S283" s="126"/>
      <c r="T283" s="126"/>
    </row>
    <row r="284" spans="1:20" s="90" customFormat="1" ht="47.45" customHeight="1">
      <c r="A284" s="16" t="s">
        <v>1061</v>
      </c>
      <c r="B284" s="83"/>
      <c r="C284" s="84"/>
      <c r="D284" s="84"/>
      <c r="E284" s="15" t="s">
        <v>1062</v>
      </c>
      <c r="F284" s="15"/>
      <c r="G284" s="87">
        <f>G285</f>
        <v>5336807.38</v>
      </c>
      <c r="H284" s="127"/>
      <c r="I284" s="127"/>
      <c r="P284" s="126"/>
      <c r="Q284" s="126"/>
      <c r="R284" s="126"/>
      <c r="S284" s="126"/>
      <c r="T284" s="126"/>
    </row>
    <row r="285" spans="1:20" s="90" customFormat="1" ht="16.5" customHeight="1">
      <c r="A285" s="82" t="s">
        <v>456</v>
      </c>
      <c r="B285" s="83"/>
      <c r="C285" s="84"/>
      <c r="D285" s="84"/>
      <c r="E285" s="15" t="s">
        <v>1062</v>
      </c>
      <c r="F285" s="15" t="s">
        <v>37</v>
      </c>
      <c r="G285" s="87">
        <f>G286</f>
        <v>5336807.38</v>
      </c>
      <c r="H285" s="127"/>
      <c r="I285" s="127"/>
      <c r="P285" s="126"/>
      <c r="Q285" s="126"/>
      <c r="R285" s="126"/>
      <c r="S285" s="126"/>
      <c r="T285" s="126"/>
    </row>
    <row r="286" spans="1:20" s="90" customFormat="1" ht="16.5" customHeight="1">
      <c r="A286" s="82" t="s">
        <v>38</v>
      </c>
      <c r="B286" s="83"/>
      <c r="C286" s="84"/>
      <c r="D286" s="84"/>
      <c r="E286" s="15" t="s">
        <v>1062</v>
      </c>
      <c r="F286" s="15" t="s">
        <v>39</v>
      </c>
      <c r="G286" s="87">
        <f>'прил 5,'!G1395</f>
        <v>5336807.38</v>
      </c>
      <c r="H286" s="127"/>
      <c r="I286" s="127"/>
      <c r="P286" s="126"/>
      <c r="Q286" s="126"/>
      <c r="R286" s="126"/>
      <c r="S286" s="126"/>
      <c r="T286" s="126"/>
    </row>
    <row r="287" spans="1:20" s="18" customFormat="1" ht="86.25" customHeight="1">
      <c r="A287" s="16" t="s">
        <v>997</v>
      </c>
      <c r="B287" s="14">
        <v>793</v>
      </c>
      <c r="C287" s="15" t="s">
        <v>54</v>
      </c>
      <c r="D287" s="15" t="s">
        <v>123</v>
      </c>
      <c r="E287" s="15" t="s">
        <v>996</v>
      </c>
      <c r="F287" s="15"/>
      <c r="G287" s="70">
        <f>G288</f>
        <v>527146.93999999994</v>
      </c>
      <c r="H287" s="70">
        <f>H288+H293</f>
        <v>0</v>
      </c>
      <c r="I287" s="70">
        <f>I288+I293</f>
        <v>0</v>
      </c>
      <c r="J287" s="176"/>
      <c r="K287" s="184"/>
      <c r="L287" s="184"/>
      <c r="M287" s="184"/>
      <c r="N287" s="184"/>
      <c r="O287" s="184"/>
      <c r="P287" s="184"/>
      <c r="Q287" s="184"/>
      <c r="R287" s="184"/>
    </row>
    <row r="288" spans="1:20" s="18" customFormat="1" ht="76.5" customHeight="1">
      <c r="A288" s="16" t="s">
        <v>997</v>
      </c>
      <c r="B288" s="14">
        <v>793</v>
      </c>
      <c r="C288" s="15" t="s">
        <v>54</v>
      </c>
      <c r="D288" s="15" t="s">
        <v>123</v>
      </c>
      <c r="E288" s="15" t="s">
        <v>1000</v>
      </c>
      <c r="F288" s="15"/>
      <c r="G288" s="70">
        <f>G291+G289</f>
        <v>527146.93999999994</v>
      </c>
      <c r="H288" s="70">
        <f>H291</f>
        <v>0</v>
      </c>
      <c r="I288" s="70">
        <f>I291</f>
        <v>0</v>
      </c>
      <c r="J288" s="176"/>
      <c r="K288" s="184"/>
      <c r="L288" s="184"/>
      <c r="M288" s="184"/>
      <c r="N288" s="184"/>
      <c r="O288" s="184"/>
      <c r="P288" s="184"/>
      <c r="Q288" s="184"/>
      <c r="R288" s="184"/>
    </row>
    <row r="289" spans="1:18" s="18" customFormat="1" ht="15" customHeight="1">
      <c r="A289" s="16" t="s">
        <v>323</v>
      </c>
      <c r="B289" s="14">
        <v>793</v>
      </c>
      <c r="C289" s="15" t="s">
        <v>54</v>
      </c>
      <c r="D289" s="15" t="s">
        <v>123</v>
      </c>
      <c r="E289" s="15" t="s">
        <v>1000</v>
      </c>
      <c r="F289" s="15" t="s">
        <v>37</v>
      </c>
      <c r="G289" s="70">
        <f>G290</f>
        <v>448906.07</v>
      </c>
      <c r="H289" s="70">
        <f>H290</f>
        <v>0</v>
      </c>
      <c r="I289" s="70">
        <f>I290</f>
        <v>0</v>
      </c>
      <c r="J289" s="176"/>
      <c r="K289" s="184"/>
      <c r="L289" s="184"/>
      <c r="M289" s="184"/>
      <c r="N289" s="184"/>
      <c r="O289" s="184"/>
      <c r="P289" s="184"/>
      <c r="Q289" s="184"/>
      <c r="R289" s="184"/>
    </row>
    <row r="290" spans="1:18" s="18" customFormat="1" ht="32.25" customHeight="1">
      <c r="A290" s="16" t="s">
        <v>38</v>
      </c>
      <c r="B290" s="14">
        <v>793</v>
      </c>
      <c r="C290" s="15" t="s">
        <v>54</v>
      </c>
      <c r="D290" s="15" t="s">
        <v>123</v>
      </c>
      <c r="E290" s="15" t="s">
        <v>1000</v>
      </c>
      <c r="F290" s="15" t="s">
        <v>39</v>
      </c>
      <c r="G290" s="70">
        <v>448906.07</v>
      </c>
      <c r="H290" s="70">
        <v>0</v>
      </c>
      <c r="I290" s="70">
        <v>0</v>
      </c>
      <c r="J290" s="176"/>
      <c r="K290" s="184"/>
      <c r="L290" s="184"/>
      <c r="M290" s="184"/>
      <c r="N290" s="184"/>
      <c r="O290" s="184"/>
      <c r="P290" s="184"/>
      <c r="Q290" s="184"/>
      <c r="R290" s="184"/>
    </row>
    <row r="291" spans="1:18" s="18" customFormat="1" ht="15" customHeight="1">
      <c r="A291" s="16" t="s">
        <v>156</v>
      </c>
      <c r="B291" s="14">
        <v>793</v>
      </c>
      <c r="C291" s="15" t="s">
        <v>54</v>
      </c>
      <c r="D291" s="15" t="s">
        <v>123</v>
      </c>
      <c r="E291" s="15" t="s">
        <v>1000</v>
      </c>
      <c r="F291" s="15" t="s">
        <v>157</v>
      </c>
      <c r="G291" s="70">
        <f t="shared" ref="G291:I291" si="63">G292</f>
        <v>78240.87</v>
      </c>
      <c r="H291" s="70">
        <f t="shared" si="63"/>
        <v>0</v>
      </c>
      <c r="I291" s="70">
        <f t="shared" si="63"/>
        <v>0</v>
      </c>
      <c r="J291" s="176"/>
      <c r="K291" s="184"/>
      <c r="L291" s="184"/>
      <c r="M291" s="184"/>
      <c r="N291" s="184"/>
      <c r="O291" s="184"/>
      <c r="P291" s="184"/>
      <c r="Q291" s="184"/>
      <c r="R291" s="184"/>
    </row>
    <row r="292" spans="1:18" s="18" customFormat="1" ht="32.25" customHeight="1">
      <c r="A292" s="16" t="s">
        <v>178</v>
      </c>
      <c r="B292" s="14">
        <v>793</v>
      </c>
      <c r="C292" s="15" t="s">
        <v>54</v>
      </c>
      <c r="D292" s="15" t="s">
        <v>123</v>
      </c>
      <c r="E292" s="15" t="s">
        <v>1000</v>
      </c>
      <c r="F292" s="15" t="s">
        <v>179</v>
      </c>
      <c r="G292" s="70">
        <v>78240.87</v>
      </c>
      <c r="H292" s="70"/>
      <c r="I292" s="70"/>
      <c r="J292" s="176"/>
      <c r="K292" s="184"/>
      <c r="L292" s="184"/>
      <c r="M292" s="184"/>
      <c r="N292" s="184"/>
      <c r="O292" s="184"/>
      <c r="P292" s="184"/>
      <c r="Q292" s="184"/>
      <c r="R292" s="184"/>
    </row>
    <row r="293" spans="1:18" s="18" customFormat="1" ht="86.25" customHeight="1">
      <c r="A293" s="16" t="s">
        <v>998</v>
      </c>
      <c r="B293" s="14">
        <v>793</v>
      </c>
      <c r="C293" s="15" t="s">
        <v>54</v>
      </c>
      <c r="D293" s="15" t="s">
        <v>123</v>
      </c>
      <c r="E293" s="15" t="s">
        <v>11</v>
      </c>
      <c r="F293" s="15"/>
      <c r="G293" s="70">
        <f>G294</f>
        <v>1024610.61</v>
      </c>
      <c r="H293" s="70">
        <f t="shared" ref="H293:I293" si="64">H294</f>
        <v>0</v>
      </c>
      <c r="I293" s="70">
        <f t="shared" si="64"/>
        <v>0</v>
      </c>
      <c r="J293" s="176"/>
      <c r="K293" s="184"/>
      <c r="L293" s="184"/>
      <c r="M293" s="184"/>
      <c r="N293" s="184"/>
      <c r="O293" s="184"/>
      <c r="P293" s="184"/>
      <c r="Q293" s="184"/>
      <c r="R293" s="184"/>
    </row>
    <row r="294" spans="1:18" s="18" customFormat="1" ht="76.5" customHeight="1">
      <c r="A294" s="16" t="s">
        <v>998</v>
      </c>
      <c r="B294" s="14">
        <v>793</v>
      </c>
      <c r="C294" s="15" t="s">
        <v>54</v>
      </c>
      <c r="D294" s="15" t="s">
        <v>123</v>
      </c>
      <c r="E294" s="15" t="s">
        <v>999</v>
      </c>
      <c r="F294" s="15"/>
      <c r="G294" s="70">
        <f>G298+G296</f>
        <v>1024610.61</v>
      </c>
      <c r="H294" s="70">
        <f>H297</f>
        <v>0</v>
      </c>
      <c r="I294" s="70">
        <f>I297</f>
        <v>0</v>
      </c>
      <c r="J294" s="176"/>
      <c r="K294" s="184"/>
      <c r="L294" s="184"/>
      <c r="M294" s="184"/>
      <c r="N294" s="184"/>
      <c r="O294" s="184"/>
      <c r="P294" s="184"/>
      <c r="Q294" s="184"/>
      <c r="R294" s="184"/>
    </row>
    <row r="295" spans="1:18" s="18" customFormat="1" ht="15" customHeight="1">
      <c r="A295" s="16" t="s">
        <v>323</v>
      </c>
      <c r="B295" s="14">
        <v>793</v>
      </c>
      <c r="C295" s="15" t="s">
        <v>54</v>
      </c>
      <c r="D295" s="15" t="s">
        <v>123</v>
      </c>
      <c r="E295" s="15" t="s">
        <v>999</v>
      </c>
      <c r="F295" s="15" t="s">
        <v>37</v>
      </c>
      <c r="G295" s="70">
        <f t="shared" ref="G295:I295" si="65">G296</f>
        <v>597245.36</v>
      </c>
      <c r="H295" s="70">
        <f t="shared" si="65"/>
        <v>0</v>
      </c>
      <c r="I295" s="70">
        <f t="shared" si="65"/>
        <v>0</v>
      </c>
      <c r="J295" s="176"/>
      <c r="K295" s="184"/>
      <c r="L295" s="184"/>
      <c r="M295" s="184"/>
      <c r="N295" s="184"/>
      <c r="O295" s="184"/>
      <c r="P295" s="184"/>
      <c r="Q295" s="184"/>
      <c r="R295" s="184"/>
    </row>
    <row r="296" spans="1:18" s="18" customFormat="1" ht="32.25" customHeight="1">
      <c r="A296" s="16" t="s">
        <v>38</v>
      </c>
      <c r="B296" s="14">
        <v>793</v>
      </c>
      <c r="C296" s="15" t="s">
        <v>54</v>
      </c>
      <c r="D296" s="15" t="s">
        <v>123</v>
      </c>
      <c r="E296" s="15" t="s">
        <v>999</v>
      </c>
      <c r="F296" s="15" t="s">
        <v>39</v>
      </c>
      <c r="G296" s="70">
        <f>447043.05+150202.31</f>
        <v>597245.36</v>
      </c>
      <c r="H296" s="70">
        <v>0</v>
      </c>
      <c r="I296" s="70">
        <v>0</v>
      </c>
      <c r="J296" s="176"/>
      <c r="K296" s="184"/>
      <c r="L296" s="184"/>
      <c r="M296" s="184"/>
      <c r="N296" s="184"/>
      <c r="O296" s="184"/>
      <c r="P296" s="184"/>
      <c r="Q296" s="184"/>
      <c r="R296" s="184"/>
    </row>
    <row r="297" spans="1:18" s="18" customFormat="1" ht="15" customHeight="1">
      <c r="A297" s="16" t="s">
        <v>156</v>
      </c>
      <c r="B297" s="14">
        <v>793</v>
      </c>
      <c r="C297" s="15" t="s">
        <v>54</v>
      </c>
      <c r="D297" s="15" t="s">
        <v>123</v>
      </c>
      <c r="E297" s="15" t="s">
        <v>999</v>
      </c>
      <c r="F297" s="15" t="s">
        <v>157</v>
      </c>
      <c r="G297" s="70">
        <f t="shared" ref="G297:I297" si="66">G298</f>
        <v>427365.25</v>
      </c>
      <c r="H297" s="70">
        <f t="shared" si="66"/>
        <v>0</v>
      </c>
      <c r="I297" s="70">
        <f t="shared" si="66"/>
        <v>0</v>
      </c>
      <c r="J297" s="176"/>
      <c r="K297" s="184"/>
      <c r="L297" s="184"/>
      <c r="M297" s="184"/>
      <c r="N297" s="184"/>
      <c r="O297" s="184"/>
      <c r="P297" s="184"/>
      <c r="Q297" s="184"/>
      <c r="R297" s="184"/>
    </row>
    <row r="298" spans="1:18" s="18" customFormat="1" ht="32.25" customHeight="1">
      <c r="A298" s="16" t="s">
        <v>178</v>
      </c>
      <c r="B298" s="14">
        <v>793</v>
      </c>
      <c r="C298" s="15" t="s">
        <v>54</v>
      </c>
      <c r="D298" s="15" t="s">
        <v>123</v>
      </c>
      <c r="E298" s="15" t="s">
        <v>999</v>
      </c>
      <c r="F298" s="15" t="s">
        <v>179</v>
      </c>
      <c r="G298" s="70">
        <v>427365.25</v>
      </c>
      <c r="H298" s="70">
        <v>0</v>
      </c>
      <c r="I298" s="70">
        <v>0</v>
      </c>
      <c r="J298" s="176"/>
      <c r="K298" s="184"/>
      <c r="L298" s="184"/>
      <c r="M298" s="184"/>
      <c r="N298" s="184"/>
      <c r="O298" s="184"/>
      <c r="P298" s="184"/>
      <c r="Q298" s="184"/>
      <c r="R298" s="184"/>
    </row>
    <row r="299" spans="1:18" s="18" customFormat="1" ht="102" customHeight="1">
      <c r="A299" s="16" t="s">
        <v>1002</v>
      </c>
      <c r="B299" s="14">
        <v>793</v>
      </c>
      <c r="C299" s="15" t="s">
        <v>54</v>
      </c>
      <c r="D299" s="15" t="s">
        <v>123</v>
      </c>
      <c r="E299" s="15" t="s">
        <v>1001</v>
      </c>
      <c r="F299" s="15"/>
      <c r="G299" s="70">
        <f>G300</f>
        <v>28597</v>
      </c>
      <c r="H299" s="70">
        <f t="shared" ref="H299:I299" si="67">H300+H317</f>
        <v>0</v>
      </c>
      <c r="I299" s="70">
        <f t="shared" si="67"/>
        <v>0</v>
      </c>
      <c r="J299" s="176"/>
      <c r="K299" s="184"/>
      <c r="L299" s="184"/>
      <c r="M299" s="184"/>
      <c r="N299" s="184"/>
      <c r="O299" s="184"/>
      <c r="P299" s="184"/>
      <c r="Q299" s="184"/>
      <c r="R299" s="184"/>
    </row>
    <row r="300" spans="1:18" s="18" customFormat="1" ht="108" customHeight="1">
      <c r="A300" s="16" t="s">
        <v>1002</v>
      </c>
      <c r="B300" s="14">
        <v>793</v>
      </c>
      <c r="C300" s="15" t="s">
        <v>54</v>
      </c>
      <c r="D300" s="15" t="s">
        <v>123</v>
      </c>
      <c r="E300" s="15" t="s">
        <v>1003</v>
      </c>
      <c r="F300" s="15"/>
      <c r="G300" s="70">
        <f>G301+G312</f>
        <v>28597</v>
      </c>
      <c r="H300" s="70">
        <f t="shared" ref="G300:I301" si="68">H301</f>
        <v>0</v>
      </c>
      <c r="I300" s="70">
        <f t="shared" si="68"/>
        <v>0</v>
      </c>
      <c r="J300" s="176"/>
      <c r="K300" s="184"/>
      <c r="L300" s="184"/>
      <c r="M300" s="184"/>
      <c r="N300" s="184"/>
      <c r="O300" s="184"/>
      <c r="P300" s="184"/>
      <c r="Q300" s="184"/>
      <c r="R300" s="184"/>
    </row>
    <row r="301" spans="1:18" s="18" customFormat="1" ht="15" customHeight="1">
      <c r="A301" s="16" t="s">
        <v>156</v>
      </c>
      <c r="B301" s="14">
        <v>793</v>
      </c>
      <c r="C301" s="15" t="s">
        <v>54</v>
      </c>
      <c r="D301" s="15" t="s">
        <v>123</v>
      </c>
      <c r="E301" s="15" t="s">
        <v>1003</v>
      </c>
      <c r="F301" s="15" t="s">
        <v>157</v>
      </c>
      <c r="G301" s="70">
        <f t="shared" si="68"/>
        <v>28597</v>
      </c>
      <c r="H301" s="70">
        <f t="shared" si="68"/>
        <v>0</v>
      </c>
      <c r="I301" s="70">
        <f t="shared" si="68"/>
        <v>0</v>
      </c>
      <c r="J301" s="176"/>
      <c r="K301" s="184"/>
      <c r="L301" s="184"/>
      <c r="M301" s="184"/>
      <c r="N301" s="184"/>
      <c r="O301" s="184"/>
      <c r="P301" s="184"/>
      <c r="Q301" s="184"/>
      <c r="R301" s="184"/>
    </row>
    <row r="302" spans="1:18" s="18" customFormat="1" ht="32.25" customHeight="1">
      <c r="A302" s="16" t="s">
        <v>178</v>
      </c>
      <c r="B302" s="14">
        <v>793</v>
      </c>
      <c r="C302" s="15" t="s">
        <v>54</v>
      </c>
      <c r="D302" s="15" t="s">
        <v>123</v>
      </c>
      <c r="E302" s="15" t="s">
        <v>1003</v>
      </c>
      <c r="F302" s="15" t="s">
        <v>179</v>
      </c>
      <c r="G302" s="70">
        <v>28597</v>
      </c>
      <c r="H302" s="70">
        <v>0</v>
      </c>
      <c r="I302" s="70">
        <v>0</v>
      </c>
      <c r="J302" s="176"/>
      <c r="K302" s="184"/>
      <c r="L302" s="184"/>
      <c r="M302" s="184"/>
      <c r="N302" s="184"/>
      <c r="O302" s="184"/>
      <c r="P302" s="184"/>
      <c r="Q302" s="184"/>
      <c r="R302" s="184"/>
    </row>
    <row r="303" spans="1:18" s="18" customFormat="1" ht="32.25" customHeight="1">
      <c r="A303" s="82" t="s">
        <v>1023</v>
      </c>
      <c r="B303" s="14"/>
      <c r="C303" s="15"/>
      <c r="D303" s="15"/>
      <c r="E303" s="84" t="s">
        <v>1025</v>
      </c>
      <c r="F303" s="15"/>
      <c r="G303" s="70">
        <f>G304</f>
        <v>6800600</v>
      </c>
      <c r="H303" s="70"/>
      <c r="I303" s="70"/>
      <c r="J303" s="176"/>
      <c r="K303" s="184"/>
      <c r="L303" s="184"/>
      <c r="M303" s="184"/>
      <c r="N303" s="184"/>
      <c r="O303" s="184"/>
      <c r="P303" s="184"/>
      <c r="Q303" s="184"/>
      <c r="R303" s="184"/>
    </row>
    <row r="304" spans="1:18" s="18" customFormat="1" ht="32.25" customHeight="1">
      <c r="A304" s="82" t="s">
        <v>1024</v>
      </c>
      <c r="B304" s="14"/>
      <c r="C304" s="15"/>
      <c r="D304" s="15"/>
      <c r="E304" s="84" t="s">
        <v>1026</v>
      </c>
      <c r="F304" s="15"/>
      <c r="G304" s="70">
        <f>G305</f>
        <v>6800600</v>
      </c>
      <c r="H304" s="70"/>
      <c r="I304" s="70"/>
      <c r="J304" s="176"/>
      <c r="K304" s="184"/>
      <c r="L304" s="184"/>
      <c r="M304" s="184"/>
      <c r="N304" s="184"/>
      <c r="O304" s="184"/>
      <c r="P304" s="184"/>
      <c r="Q304" s="184"/>
      <c r="R304" s="184"/>
    </row>
    <row r="305" spans="1:20" s="18" customFormat="1" ht="32.25" customHeight="1">
      <c r="A305" s="16" t="s">
        <v>323</v>
      </c>
      <c r="B305" s="14"/>
      <c r="C305" s="15"/>
      <c r="D305" s="15"/>
      <c r="E305" s="84" t="s">
        <v>1026</v>
      </c>
      <c r="F305" s="15" t="s">
        <v>37</v>
      </c>
      <c r="G305" s="70">
        <f>G306</f>
        <v>6800600</v>
      </c>
      <c r="H305" s="70"/>
      <c r="I305" s="70"/>
      <c r="J305" s="176"/>
      <c r="K305" s="184"/>
      <c r="L305" s="184"/>
      <c r="M305" s="184"/>
      <c r="N305" s="184"/>
      <c r="O305" s="184"/>
      <c r="P305" s="184"/>
      <c r="Q305" s="184"/>
      <c r="R305" s="184"/>
    </row>
    <row r="306" spans="1:20" s="18" customFormat="1" ht="32.25" customHeight="1">
      <c r="A306" s="16" t="s">
        <v>38</v>
      </c>
      <c r="B306" s="14"/>
      <c r="C306" s="15"/>
      <c r="D306" s="15"/>
      <c r="E306" s="84" t="s">
        <v>1026</v>
      </c>
      <c r="F306" s="15" t="s">
        <v>39</v>
      </c>
      <c r="G306" s="70">
        <f>'прил 5,'!G1426</f>
        <v>6800600</v>
      </c>
      <c r="H306" s="70"/>
      <c r="I306" s="70"/>
      <c r="J306" s="176"/>
      <c r="K306" s="184"/>
      <c r="L306" s="184"/>
      <c r="M306" s="184"/>
      <c r="N306" s="184"/>
      <c r="O306" s="184"/>
      <c r="P306" s="184"/>
      <c r="Q306" s="184"/>
      <c r="R306" s="184"/>
    </row>
    <row r="307" spans="1:20" s="18" customFormat="1" ht="32.25" customHeight="1">
      <c r="A307" s="82" t="s">
        <v>1021</v>
      </c>
      <c r="B307" s="14"/>
      <c r="C307" s="15"/>
      <c r="D307" s="15"/>
      <c r="E307" s="84" t="s">
        <v>1027</v>
      </c>
      <c r="F307" s="15"/>
      <c r="G307" s="70">
        <f>G308</f>
        <v>1700000</v>
      </c>
      <c r="H307" s="70"/>
      <c r="I307" s="70"/>
      <c r="J307" s="176"/>
      <c r="K307" s="184"/>
      <c r="L307" s="184"/>
      <c r="M307" s="184"/>
      <c r="N307" s="184"/>
      <c r="O307" s="184"/>
      <c r="P307" s="184"/>
      <c r="Q307" s="184"/>
      <c r="R307" s="184"/>
    </row>
    <row r="308" spans="1:20" s="18" customFormat="1" ht="32.25" customHeight="1">
      <c r="A308" s="82" t="s">
        <v>1022</v>
      </c>
      <c r="B308" s="14"/>
      <c r="C308" s="15"/>
      <c r="D308" s="15"/>
      <c r="E308" s="84" t="s">
        <v>1028</v>
      </c>
      <c r="F308" s="15"/>
      <c r="G308" s="70">
        <f>G309</f>
        <v>1700000</v>
      </c>
      <c r="H308" s="70"/>
      <c r="I308" s="70"/>
      <c r="J308" s="176"/>
      <c r="K308" s="184"/>
      <c r="L308" s="184"/>
      <c r="M308" s="184"/>
      <c r="N308" s="184"/>
      <c r="O308" s="184"/>
      <c r="P308" s="184"/>
      <c r="Q308" s="184"/>
      <c r="R308" s="184"/>
    </row>
    <row r="309" spans="1:20" s="18" customFormat="1" ht="32.25" customHeight="1">
      <c r="A309" s="16" t="s">
        <v>323</v>
      </c>
      <c r="B309" s="14"/>
      <c r="C309" s="15"/>
      <c r="D309" s="15"/>
      <c r="E309" s="84" t="s">
        <v>1028</v>
      </c>
      <c r="F309" s="15" t="s">
        <v>37</v>
      </c>
      <c r="G309" s="70">
        <f>G310</f>
        <v>1700000</v>
      </c>
      <c r="H309" s="70"/>
      <c r="I309" s="70"/>
      <c r="J309" s="176"/>
      <c r="K309" s="184"/>
      <c r="L309" s="184"/>
      <c r="M309" s="184"/>
      <c r="N309" s="184"/>
      <c r="O309" s="184"/>
      <c r="P309" s="184"/>
      <c r="Q309" s="184"/>
      <c r="R309" s="184"/>
    </row>
    <row r="310" spans="1:20" s="18" customFormat="1" ht="32.25" customHeight="1">
      <c r="A310" s="16" t="s">
        <v>38</v>
      </c>
      <c r="B310" s="14"/>
      <c r="C310" s="15"/>
      <c r="D310" s="15"/>
      <c r="E310" s="84" t="s">
        <v>1028</v>
      </c>
      <c r="F310" s="15" t="s">
        <v>39</v>
      </c>
      <c r="G310" s="70">
        <f>'прил 5,'!G1430</f>
        <v>1700000</v>
      </c>
      <c r="H310" s="70"/>
      <c r="I310" s="70"/>
      <c r="J310" s="176"/>
      <c r="K310" s="184"/>
      <c r="L310" s="184"/>
      <c r="M310" s="184"/>
      <c r="N310" s="184"/>
      <c r="O310" s="184"/>
      <c r="P310" s="184"/>
      <c r="Q310" s="184"/>
      <c r="R310" s="184"/>
    </row>
    <row r="311" spans="1:20" s="235" customFormat="1" ht="63.75">
      <c r="A311" s="34" t="s">
        <v>513</v>
      </c>
      <c r="B311" s="36" t="s">
        <v>94</v>
      </c>
      <c r="C311" s="36" t="s">
        <v>26</v>
      </c>
      <c r="D311" s="36" t="s">
        <v>28</v>
      </c>
      <c r="E311" s="36" t="s">
        <v>214</v>
      </c>
      <c r="F311" s="36"/>
      <c r="G311" s="71">
        <f>G315+G318+G321+G326+G333+G350+G338+G351</f>
        <v>113288063.00000001</v>
      </c>
      <c r="H311" s="71">
        <f>H315+H318+H321+H326+H333+H350</f>
        <v>1800000</v>
      </c>
      <c r="I311" s="71">
        <f>I315+I318+I321+I326+I333+I350</f>
        <v>199712224.15000001</v>
      </c>
      <c r="P311" s="234"/>
      <c r="Q311" s="234"/>
      <c r="R311" s="234"/>
      <c r="S311" s="234"/>
      <c r="T311" s="234"/>
    </row>
    <row r="312" spans="1:20" s="18" customFormat="1" ht="38.25" hidden="1">
      <c r="A312" s="16" t="s">
        <v>603</v>
      </c>
      <c r="B312" s="14">
        <v>757</v>
      </c>
      <c r="C312" s="15" t="s">
        <v>26</v>
      </c>
      <c r="D312" s="15" t="s">
        <v>70</v>
      </c>
      <c r="E312" s="15" t="s">
        <v>584</v>
      </c>
      <c r="F312" s="15"/>
      <c r="G312" s="70">
        <f>G313</f>
        <v>0</v>
      </c>
      <c r="H312" s="70">
        <f t="shared" ref="H312:I313" si="69">H313</f>
        <v>0</v>
      </c>
      <c r="I312" s="70">
        <f t="shared" si="69"/>
        <v>0</v>
      </c>
      <c r="P312" s="17"/>
      <c r="Q312" s="17"/>
      <c r="R312" s="17"/>
      <c r="S312" s="17"/>
      <c r="T312" s="17"/>
    </row>
    <row r="313" spans="1:20" s="18" customFormat="1" ht="36" hidden="1" customHeight="1">
      <c r="A313" s="16" t="s">
        <v>96</v>
      </c>
      <c r="B313" s="14">
        <v>757</v>
      </c>
      <c r="C313" s="15" t="s">
        <v>26</v>
      </c>
      <c r="D313" s="15" t="s">
        <v>70</v>
      </c>
      <c r="E313" s="15" t="s">
        <v>584</v>
      </c>
      <c r="F313" s="15" t="s">
        <v>348</v>
      </c>
      <c r="G313" s="70">
        <f>G314</f>
        <v>0</v>
      </c>
      <c r="H313" s="70">
        <f t="shared" si="69"/>
        <v>0</v>
      </c>
      <c r="I313" s="70">
        <f t="shared" si="69"/>
        <v>0</v>
      </c>
      <c r="P313" s="17"/>
      <c r="Q313" s="17"/>
      <c r="R313" s="17"/>
      <c r="S313" s="17"/>
      <c r="T313" s="17"/>
    </row>
    <row r="314" spans="1:20" s="18" customFormat="1" ht="99" hidden="1" customHeight="1">
      <c r="A314" s="50" t="s">
        <v>420</v>
      </c>
      <c r="B314" s="14">
        <v>757</v>
      </c>
      <c r="C314" s="15" t="s">
        <v>26</v>
      </c>
      <c r="D314" s="15" t="s">
        <v>70</v>
      </c>
      <c r="E314" s="15" t="s">
        <v>584</v>
      </c>
      <c r="F314" s="15" t="s">
        <v>419</v>
      </c>
      <c r="G314" s="70">
        <v>0</v>
      </c>
      <c r="H314" s="70"/>
      <c r="I314" s="70">
        <v>0</v>
      </c>
      <c r="P314" s="17"/>
      <c r="Q314" s="17"/>
      <c r="R314" s="17"/>
      <c r="S314" s="17"/>
      <c r="T314" s="17"/>
    </row>
    <row r="315" spans="1:20" s="18" customFormat="1" ht="25.5" hidden="1">
      <c r="A315" s="16" t="s">
        <v>505</v>
      </c>
      <c r="B315" s="15" t="s">
        <v>94</v>
      </c>
      <c r="C315" s="15" t="s">
        <v>26</v>
      </c>
      <c r="D315" s="15" t="s">
        <v>28</v>
      </c>
      <c r="E315" s="15" t="s">
        <v>504</v>
      </c>
      <c r="F315" s="15"/>
      <c r="G315" s="70">
        <f>G316</f>
        <v>0</v>
      </c>
      <c r="H315" s="70">
        <f t="shared" ref="H315:I316" si="70">H316</f>
        <v>0</v>
      </c>
      <c r="I315" s="70">
        <f t="shared" si="70"/>
        <v>0</v>
      </c>
      <c r="P315" s="17"/>
      <c r="Q315" s="17"/>
      <c r="R315" s="17"/>
      <c r="S315" s="17"/>
      <c r="T315" s="17"/>
    </row>
    <row r="316" spans="1:20" s="18" customFormat="1" ht="36" hidden="1" customHeight="1">
      <c r="A316" s="16" t="s">
        <v>96</v>
      </c>
      <c r="B316" s="15" t="s">
        <v>94</v>
      </c>
      <c r="C316" s="15" t="s">
        <v>26</v>
      </c>
      <c r="D316" s="15" t="s">
        <v>28</v>
      </c>
      <c r="E316" s="15" t="s">
        <v>504</v>
      </c>
      <c r="F316" s="15" t="s">
        <v>348</v>
      </c>
      <c r="G316" s="70">
        <f>G317</f>
        <v>0</v>
      </c>
      <c r="H316" s="70">
        <f t="shared" si="70"/>
        <v>0</v>
      </c>
      <c r="I316" s="70">
        <f t="shared" si="70"/>
        <v>0</v>
      </c>
      <c r="P316" s="17"/>
      <c r="Q316" s="17"/>
      <c r="R316" s="17"/>
      <c r="S316" s="17"/>
      <c r="T316" s="17"/>
    </row>
    <row r="317" spans="1:20" s="18" customFormat="1" ht="99" hidden="1" customHeight="1">
      <c r="A317" s="50" t="s">
        <v>420</v>
      </c>
      <c r="B317" s="15" t="s">
        <v>94</v>
      </c>
      <c r="C317" s="15" t="s">
        <v>26</v>
      </c>
      <c r="D317" s="15" t="s">
        <v>28</v>
      </c>
      <c r="E317" s="15" t="s">
        <v>504</v>
      </c>
      <c r="F317" s="15" t="s">
        <v>419</v>
      </c>
      <c r="G317" s="70">
        <v>0</v>
      </c>
      <c r="H317" s="70"/>
      <c r="I317" s="70">
        <v>0</v>
      </c>
      <c r="P317" s="17"/>
      <c r="Q317" s="17"/>
      <c r="R317" s="17"/>
      <c r="S317" s="17"/>
      <c r="T317" s="17"/>
    </row>
    <row r="318" spans="1:20" s="18" customFormat="1" ht="25.5" hidden="1">
      <c r="A318" s="16" t="s">
        <v>507</v>
      </c>
      <c r="B318" s="15" t="s">
        <v>94</v>
      </c>
      <c r="C318" s="15" t="s">
        <v>26</v>
      </c>
      <c r="D318" s="15" t="s">
        <v>28</v>
      </c>
      <c r="E318" s="15" t="s">
        <v>506</v>
      </c>
      <c r="F318" s="15"/>
      <c r="G318" s="70">
        <f>G319</f>
        <v>0</v>
      </c>
      <c r="H318" s="70">
        <f t="shared" ref="H318:I319" si="71">H319</f>
        <v>0</v>
      </c>
      <c r="I318" s="70">
        <f t="shared" si="71"/>
        <v>0</v>
      </c>
      <c r="P318" s="17"/>
      <c r="Q318" s="17"/>
      <c r="R318" s="17"/>
      <c r="S318" s="17"/>
      <c r="T318" s="17"/>
    </row>
    <row r="319" spans="1:20" s="18" customFormat="1" ht="36" hidden="1" customHeight="1">
      <c r="A319" s="16" t="s">
        <v>96</v>
      </c>
      <c r="B319" s="15" t="s">
        <v>94</v>
      </c>
      <c r="C319" s="15" t="s">
        <v>26</v>
      </c>
      <c r="D319" s="15" t="s">
        <v>28</v>
      </c>
      <c r="E319" s="15" t="s">
        <v>506</v>
      </c>
      <c r="F319" s="15" t="s">
        <v>348</v>
      </c>
      <c r="G319" s="70">
        <f>G320</f>
        <v>0</v>
      </c>
      <c r="H319" s="70">
        <f t="shared" si="71"/>
        <v>0</v>
      </c>
      <c r="I319" s="70">
        <f t="shared" si="71"/>
        <v>0</v>
      </c>
      <c r="P319" s="17"/>
      <c r="Q319" s="17"/>
      <c r="R319" s="17"/>
      <c r="S319" s="17"/>
      <c r="T319" s="17"/>
    </row>
    <row r="320" spans="1:20" s="18" customFormat="1" ht="99" hidden="1" customHeight="1">
      <c r="A320" s="50" t="s">
        <v>420</v>
      </c>
      <c r="B320" s="15" t="s">
        <v>94</v>
      </c>
      <c r="C320" s="15" t="s">
        <v>26</v>
      </c>
      <c r="D320" s="15" t="s">
        <v>28</v>
      </c>
      <c r="E320" s="15" t="s">
        <v>506</v>
      </c>
      <c r="F320" s="15" t="s">
        <v>419</v>
      </c>
      <c r="G320" s="70">
        <v>0</v>
      </c>
      <c r="H320" s="70"/>
      <c r="I320" s="70">
        <v>0</v>
      </c>
      <c r="P320" s="17"/>
      <c r="Q320" s="17"/>
      <c r="R320" s="17"/>
      <c r="S320" s="17"/>
      <c r="T320" s="17"/>
    </row>
    <row r="321" spans="1:20" s="18" customFormat="1" ht="89.25">
      <c r="A321" s="16" t="s">
        <v>438</v>
      </c>
      <c r="B321" s="49">
        <v>795</v>
      </c>
      <c r="C321" s="10" t="s">
        <v>173</v>
      </c>
      <c r="D321" s="10" t="s">
        <v>19</v>
      </c>
      <c r="E321" s="15" t="s">
        <v>524</v>
      </c>
      <c r="F321" s="15"/>
      <c r="G321" s="70">
        <f>G324+G322</f>
        <v>106473141.74000001</v>
      </c>
      <c r="H321" s="70">
        <f t="shared" ref="H321:I321" si="72">H324+H322</f>
        <v>0</v>
      </c>
      <c r="I321" s="70">
        <f t="shared" si="72"/>
        <v>193987877.08000001</v>
      </c>
      <c r="P321" s="17"/>
      <c r="Q321" s="17"/>
      <c r="R321" s="17"/>
      <c r="S321" s="17"/>
      <c r="T321" s="17"/>
    </row>
    <row r="322" spans="1:20" s="18" customFormat="1" ht="31.15" customHeight="1">
      <c r="A322" s="16" t="s">
        <v>148</v>
      </c>
      <c r="B322" s="49">
        <v>793</v>
      </c>
      <c r="C322" s="10" t="s">
        <v>173</v>
      </c>
      <c r="D322" s="10" t="s">
        <v>19</v>
      </c>
      <c r="E322" s="15" t="s">
        <v>524</v>
      </c>
      <c r="F322" s="15" t="s">
        <v>149</v>
      </c>
      <c r="G322" s="70">
        <f>G323</f>
        <v>63353141.740000002</v>
      </c>
      <c r="H322" s="70">
        <f t="shared" ref="H322:I322" si="73">H323</f>
        <v>0</v>
      </c>
      <c r="I322" s="70">
        <f t="shared" si="73"/>
        <v>0</v>
      </c>
      <c r="J322" s="176"/>
    </row>
    <row r="323" spans="1:20" s="18" customFormat="1" ht="31.15" customHeight="1">
      <c r="A323" s="16" t="s">
        <v>150</v>
      </c>
      <c r="B323" s="49">
        <v>793</v>
      </c>
      <c r="C323" s="10" t="s">
        <v>173</v>
      </c>
      <c r="D323" s="10" t="s">
        <v>19</v>
      </c>
      <c r="E323" s="15" t="s">
        <v>524</v>
      </c>
      <c r="F323" s="15" t="s">
        <v>151</v>
      </c>
      <c r="G323" s="70">
        <f>'прил 5,'!G1734</f>
        <v>63353141.740000002</v>
      </c>
      <c r="H323" s="70">
        <f>'прил 5,'!H1517</f>
        <v>0</v>
      </c>
      <c r="I323" s="70">
        <f>'прил 5,'!I1517</f>
        <v>0</v>
      </c>
      <c r="J323" s="176"/>
    </row>
    <row r="324" spans="1:20" s="18" customFormat="1" ht="20.25" customHeight="1">
      <c r="A324" s="16" t="s">
        <v>63</v>
      </c>
      <c r="B324" s="49">
        <v>795</v>
      </c>
      <c r="C324" s="10" t="s">
        <v>173</v>
      </c>
      <c r="D324" s="10" t="s">
        <v>19</v>
      </c>
      <c r="E324" s="15" t="s">
        <v>524</v>
      </c>
      <c r="F324" s="15" t="s">
        <v>64</v>
      </c>
      <c r="G324" s="70">
        <f>G325</f>
        <v>43120000</v>
      </c>
      <c r="H324" s="70">
        <f t="shared" ref="H324:I324" si="74">H325</f>
        <v>0</v>
      </c>
      <c r="I324" s="70">
        <f t="shared" si="74"/>
        <v>193987877.08000001</v>
      </c>
      <c r="P324" s="17"/>
      <c r="Q324" s="17"/>
      <c r="R324" s="17"/>
      <c r="S324" s="17"/>
      <c r="T324" s="17"/>
    </row>
    <row r="325" spans="1:20" s="18" customFormat="1" ht="25.9" customHeight="1">
      <c r="A325" s="50" t="s">
        <v>144</v>
      </c>
      <c r="B325" s="49">
        <v>795</v>
      </c>
      <c r="C325" s="10" t="s">
        <v>173</v>
      </c>
      <c r="D325" s="10" t="s">
        <v>19</v>
      </c>
      <c r="E325" s="15" t="s">
        <v>524</v>
      </c>
      <c r="F325" s="15" t="s">
        <v>67</v>
      </c>
      <c r="G325" s="70">
        <f>'прил 5,'!G1519</f>
        <v>43120000</v>
      </c>
      <c r="H325" s="70">
        <f>'прил 5,'!H1519</f>
        <v>0</v>
      </c>
      <c r="I325" s="70">
        <f>'прил 5,'!I1519</f>
        <v>193987877.08000001</v>
      </c>
      <c r="P325" s="17"/>
      <c r="Q325" s="17"/>
      <c r="R325" s="17"/>
      <c r="S325" s="17"/>
      <c r="T325" s="17"/>
    </row>
    <row r="326" spans="1:20" s="18" customFormat="1" ht="99.75" customHeight="1">
      <c r="A326" s="16" t="s">
        <v>1106</v>
      </c>
      <c r="B326" s="49">
        <v>795</v>
      </c>
      <c r="C326" s="10" t="s">
        <v>173</v>
      </c>
      <c r="D326" s="10" t="s">
        <v>19</v>
      </c>
      <c r="E326" s="15" t="s">
        <v>525</v>
      </c>
      <c r="F326" s="15"/>
      <c r="G326" s="70">
        <f>G331+G327+G329</f>
        <v>2128921.2599999998</v>
      </c>
      <c r="H326" s="70">
        <f t="shared" ref="H326:I326" si="75">H331+H327</f>
        <v>0</v>
      </c>
      <c r="I326" s="70">
        <f t="shared" si="75"/>
        <v>3924347.07</v>
      </c>
      <c r="P326" s="17"/>
      <c r="Q326" s="17"/>
      <c r="R326" s="17"/>
      <c r="S326" s="17"/>
      <c r="T326" s="17"/>
    </row>
    <row r="327" spans="1:20" s="18" customFormat="1" ht="26.25" customHeight="1">
      <c r="A327" s="82" t="s">
        <v>96</v>
      </c>
      <c r="B327" s="49">
        <v>793</v>
      </c>
      <c r="C327" s="10" t="s">
        <v>173</v>
      </c>
      <c r="D327" s="10" t="s">
        <v>19</v>
      </c>
      <c r="E327" s="15" t="s">
        <v>525</v>
      </c>
      <c r="F327" s="15" t="s">
        <v>348</v>
      </c>
      <c r="G327" s="70">
        <f>G328</f>
        <v>0</v>
      </c>
      <c r="H327" s="70">
        <f t="shared" ref="H327:I327" si="76">H328</f>
        <v>0</v>
      </c>
      <c r="I327" s="70">
        <f t="shared" si="76"/>
        <v>0</v>
      </c>
      <c r="J327" s="176"/>
    </row>
    <row r="328" spans="1:20" s="18" customFormat="1" ht="20.25" customHeight="1">
      <c r="A328" s="133" t="s">
        <v>349</v>
      </c>
      <c r="B328" s="49">
        <v>793</v>
      </c>
      <c r="C328" s="10" t="s">
        <v>173</v>
      </c>
      <c r="D328" s="10" t="s">
        <v>19</v>
      </c>
      <c r="E328" s="15" t="s">
        <v>525</v>
      </c>
      <c r="F328" s="15" t="s">
        <v>350</v>
      </c>
      <c r="G328" s="70">
        <f>'прил 5,'!G1522</f>
        <v>0</v>
      </c>
      <c r="H328" s="70">
        <f>'прил 5,'!H1522</f>
        <v>0</v>
      </c>
      <c r="I328" s="70">
        <f>'прил 5,'!I1522</f>
        <v>0</v>
      </c>
      <c r="J328" s="176"/>
    </row>
    <row r="329" spans="1:20" s="18" customFormat="1" ht="20.25" customHeight="1">
      <c r="A329" s="16" t="s">
        <v>148</v>
      </c>
      <c r="B329" s="14">
        <v>793</v>
      </c>
      <c r="C329" s="15" t="s">
        <v>69</v>
      </c>
      <c r="D329" s="15" t="s">
        <v>70</v>
      </c>
      <c r="E329" s="15" t="s">
        <v>525</v>
      </c>
      <c r="F329" s="15" t="s">
        <v>149</v>
      </c>
      <c r="G329" s="70">
        <f>G330</f>
        <v>1292921.26</v>
      </c>
      <c r="H329" s="70"/>
      <c r="I329" s="70"/>
      <c r="J329" s="176"/>
    </row>
    <row r="330" spans="1:20" s="18" customFormat="1" ht="25.15" customHeight="1">
      <c r="A330" s="16" t="s">
        <v>150</v>
      </c>
      <c r="B330" s="14">
        <v>793</v>
      </c>
      <c r="C330" s="15" t="s">
        <v>69</v>
      </c>
      <c r="D330" s="15" t="s">
        <v>70</v>
      </c>
      <c r="E330" s="15" t="s">
        <v>525</v>
      </c>
      <c r="F330" s="15" t="s">
        <v>151</v>
      </c>
      <c r="G330" s="70">
        <f>'прил 5,'!G1737</f>
        <v>1292921.26</v>
      </c>
      <c r="H330" s="70"/>
      <c r="I330" s="70"/>
      <c r="J330" s="176"/>
    </row>
    <row r="331" spans="1:20" s="18" customFormat="1" ht="21.75" customHeight="1">
      <c r="A331" s="16" t="s">
        <v>63</v>
      </c>
      <c r="B331" s="49">
        <v>795</v>
      </c>
      <c r="C331" s="10" t="s">
        <v>173</v>
      </c>
      <c r="D331" s="10" t="s">
        <v>19</v>
      </c>
      <c r="E331" s="15" t="s">
        <v>525</v>
      </c>
      <c r="F331" s="15" t="s">
        <v>64</v>
      </c>
      <c r="G331" s="70">
        <f>G332</f>
        <v>836000</v>
      </c>
      <c r="H331" s="70">
        <f t="shared" ref="H331:I331" si="77">H332</f>
        <v>0</v>
      </c>
      <c r="I331" s="70">
        <f t="shared" si="77"/>
        <v>3924347.07</v>
      </c>
      <c r="P331" s="17"/>
      <c r="Q331" s="17"/>
      <c r="R331" s="17"/>
      <c r="S331" s="17"/>
      <c r="T331" s="17"/>
    </row>
    <row r="332" spans="1:20" s="18" customFormat="1" ht="23.25" customHeight="1">
      <c r="A332" s="50" t="s">
        <v>144</v>
      </c>
      <c r="B332" s="49">
        <v>795</v>
      </c>
      <c r="C332" s="10" t="s">
        <v>173</v>
      </c>
      <c r="D332" s="10" t="s">
        <v>19</v>
      </c>
      <c r="E332" s="15" t="s">
        <v>525</v>
      </c>
      <c r="F332" s="15" t="s">
        <v>67</v>
      </c>
      <c r="G332" s="70">
        <f>'прил 5,'!G1524</f>
        <v>836000</v>
      </c>
      <c r="H332" s="70">
        <f>'прил 5,'!H1524</f>
        <v>0</v>
      </c>
      <c r="I332" s="70">
        <f>'прил 5,'!I1524</f>
        <v>3924347.07</v>
      </c>
      <c r="P332" s="17"/>
      <c r="Q332" s="17"/>
      <c r="R332" s="17"/>
      <c r="S332" s="17"/>
      <c r="T332" s="17"/>
    </row>
    <row r="333" spans="1:20" s="46" customFormat="1" ht="48.75" hidden="1" customHeight="1">
      <c r="A333" s="16" t="s">
        <v>423</v>
      </c>
      <c r="B333" s="49">
        <v>795</v>
      </c>
      <c r="C333" s="10" t="s">
        <v>173</v>
      </c>
      <c r="D333" s="10" t="s">
        <v>19</v>
      </c>
      <c r="E333" s="15" t="s">
        <v>378</v>
      </c>
      <c r="F333" s="15"/>
      <c r="G333" s="70">
        <f>G334+G336</f>
        <v>0</v>
      </c>
      <c r="H333" s="70">
        <f t="shared" ref="G333:I334" si="78">H334</f>
        <v>0</v>
      </c>
      <c r="I333" s="70">
        <f t="shared" si="78"/>
        <v>0</v>
      </c>
      <c r="P333" s="110"/>
      <c r="Q333" s="110"/>
      <c r="R333" s="110"/>
      <c r="S333" s="110"/>
      <c r="T333" s="110"/>
    </row>
    <row r="334" spans="1:20" s="46" customFormat="1" ht="28.5" hidden="1" customHeight="1">
      <c r="A334" s="16" t="s">
        <v>323</v>
      </c>
      <c r="B334" s="49">
        <v>795</v>
      </c>
      <c r="C334" s="10" t="s">
        <v>173</v>
      </c>
      <c r="D334" s="10" t="s">
        <v>19</v>
      </c>
      <c r="E334" s="15" t="s">
        <v>378</v>
      </c>
      <c r="F334" s="15" t="s">
        <v>37</v>
      </c>
      <c r="G334" s="70">
        <f t="shared" si="78"/>
        <v>0</v>
      </c>
      <c r="H334" s="70">
        <f t="shared" si="78"/>
        <v>0</v>
      </c>
      <c r="I334" s="70">
        <f t="shared" si="78"/>
        <v>0</v>
      </c>
      <c r="P334" s="110"/>
      <c r="Q334" s="110"/>
      <c r="R334" s="110"/>
      <c r="S334" s="110"/>
      <c r="T334" s="110"/>
    </row>
    <row r="335" spans="1:20" s="46" customFormat="1" ht="28.5" hidden="1" customHeight="1">
      <c r="A335" s="16" t="s">
        <v>38</v>
      </c>
      <c r="B335" s="49">
        <v>795</v>
      </c>
      <c r="C335" s="10" t="s">
        <v>173</v>
      </c>
      <c r="D335" s="10" t="s">
        <v>19</v>
      </c>
      <c r="E335" s="15" t="s">
        <v>378</v>
      </c>
      <c r="F335" s="15" t="s">
        <v>39</v>
      </c>
      <c r="G335" s="70"/>
      <c r="H335" s="70">
        <f>'прил 5,'!H1970</f>
        <v>0</v>
      </c>
      <c r="I335" s="70">
        <f>'прил 5,'!I1970</f>
        <v>0</v>
      </c>
      <c r="P335" s="110"/>
      <c r="Q335" s="110"/>
      <c r="R335" s="110"/>
      <c r="S335" s="110"/>
      <c r="T335" s="110"/>
    </row>
    <row r="336" spans="1:20" hidden="1">
      <c r="A336" s="82" t="s">
        <v>156</v>
      </c>
      <c r="B336" s="49">
        <v>795</v>
      </c>
      <c r="C336" s="15" t="s">
        <v>173</v>
      </c>
      <c r="D336" s="15" t="s">
        <v>28</v>
      </c>
      <c r="E336" s="15" t="s">
        <v>378</v>
      </c>
      <c r="F336" s="15" t="s">
        <v>157</v>
      </c>
      <c r="G336" s="70">
        <f>G337</f>
        <v>0</v>
      </c>
      <c r="H336" s="70">
        <f>H337</f>
        <v>0</v>
      </c>
      <c r="I336" s="70">
        <f>I337</f>
        <v>0</v>
      </c>
      <c r="J336" s="1"/>
    </row>
    <row r="337" spans="1:20" hidden="1">
      <c r="A337" s="82" t="s">
        <v>178</v>
      </c>
      <c r="B337" s="49">
        <v>795</v>
      </c>
      <c r="C337" s="15" t="s">
        <v>173</v>
      </c>
      <c r="D337" s="15" t="s">
        <v>28</v>
      </c>
      <c r="E337" s="15" t="s">
        <v>378</v>
      </c>
      <c r="F337" s="15" t="s">
        <v>179</v>
      </c>
      <c r="G337" s="70"/>
      <c r="H337" s="70"/>
      <c r="I337" s="70"/>
      <c r="J337" s="1"/>
    </row>
    <row r="338" spans="1:20" s="18" customFormat="1" ht="84.75" customHeight="1">
      <c r="A338" s="82" t="s">
        <v>1008</v>
      </c>
      <c r="B338" s="49">
        <v>793</v>
      </c>
      <c r="C338" s="10" t="s">
        <v>173</v>
      </c>
      <c r="D338" s="10" t="s">
        <v>19</v>
      </c>
      <c r="E338" s="15" t="s">
        <v>1007</v>
      </c>
      <c r="F338" s="15"/>
      <c r="G338" s="70">
        <f>G339</f>
        <v>40000</v>
      </c>
      <c r="H338" s="70">
        <f t="shared" ref="H338:I339" si="79">H339</f>
        <v>0</v>
      </c>
      <c r="I338" s="70">
        <f t="shared" si="79"/>
        <v>0</v>
      </c>
      <c r="J338" s="177"/>
      <c r="K338" s="200"/>
      <c r="L338" s="200"/>
      <c r="M338" s="200"/>
      <c r="N338" s="200"/>
      <c r="O338" s="200"/>
      <c r="P338" s="200"/>
      <c r="Q338" s="200"/>
      <c r="R338" s="200"/>
    </row>
    <row r="339" spans="1:20" s="18" customFormat="1" ht="22.5" customHeight="1">
      <c r="A339" s="82" t="s">
        <v>63</v>
      </c>
      <c r="B339" s="49">
        <v>793</v>
      </c>
      <c r="C339" s="10" t="s">
        <v>173</v>
      </c>
      <c r="D339" s="10" t="s">
        <v>19</v>
      </c>
      <c r="E339" s="15" t="s">
        <v>1007</v>
      </c>
      <c r="F339" s="15" t="s">
        <v>64</v>
      </c>
      <c r="G339" s="70">
        <f>G340</f>
        <v>40000</v>
      </c>
      <c r="H339" s="70">
        <f t="shared" si="79"/>
        <v>0</v>
      </c>
      <c r="I339" s="70">
        <f t="shared" si="79"/>
        <v>0</v>
      </c>
      <c r="J339" s="177"/>
      <c r="K339" s="200"/>
      <c r="L339" s="200"/>
      <c r="M339" s="200"/>
      <c r="N339" s="200"/>
      <c r="O339" s="200"/>
      <c r="P339" s="200"/>
      <c r="Q339" s="200"/>
      <c r="R339" s="200"/>
    </row>
    <row r="340" spans="1:20" s="18" customFormat="1" ht="37.5" customHeight="1">
      <c r="A340" s="133" t="s">
        <v>144</v>
      </c>
      <c r="B340" s="49">
        <v>793</v>
      </c>
      <c r="C340" s="10" t="s">
        <v>173</v>
      </c>
      <c r="D340" s="10" t="s">
        <v>19</v>
      </c>
      <c r="E340" s="15" t="s">
        <v>1007</v>
      </c>
      <c r="F340" s="15" t="s">
        <v>67</v>
      </c>
      <c r="G340" s="70">
        <f>'прил 5,'!G1527</f>
        <v>40000</v>
      </c>
      <c r="H340" s="70">
        <f>'прил 5,'!H1527</f>
        <v>0</v>
      </c>
      <c r="I340" s="70">
        <f>'прил 5,'!I1527</f>
        <v>0</v>
      </c>
      <c r="J340" s="177"/>
      <c r="K340" s="200"/>
      <c r="L340" s="200"/>
      <c r="M340" s="200"/>
      <c r="N340" s="200"/>
      <c r="O340" s="200"/>
      <c r="P340" s="200"/>
      <c r="Q340" s="200"/>
      <c r="R340" s="200"/>
    </row>
    <row r="341" spans="1:20" s="18" customFormat="1" ht="51">
      <c r="A341" s="16" t="s">
        <v>513</v>
      </c>
      <c r="B341" s="49">
        <v>793</v>
      </c>
      <c r="C341" s="10" t="s">
        <v>173</v>
      </c>
      <c r="D341" s="10" t="s">
        <v>19</v>
      </c>
      <c r="E341" s="15" t="s">
        <v>214</v>
      </c>
      <c r="F341" s="15"/>
      <c r="G341" s="70">
        <f>G342+G348+G345</f>
        <v>4168000</v>
      </c>
      <c r="H341" s="70">
        <f t="shared" ref="H341:I341" si="80">H342+H348+H345</f>
        <v>1800000</v>
      </c>
      <c r="I341" s="70">
        <f t="shared" si="80"/>
        <v>1800000</v>
      </c>
      <c r="P341" s="17"/>
      <c r="Q341" s="17"/>
      <c r="R341" s="17"/>
      <c r="S341" s="17"/>
      <c r="T341" s="17"/>
    </row>
    <row r="342" spans="1:20" s="18" customFormat="1" ht="89.25" hidden="1">
      <c r="A342" s="16" t="s">
        <v>438</v>
      </c>
      <c r="B342" s="49">
        <v>793</v>
      </c>
      <c r="C342" s="10" t="s">
        <v>173</v>
      </c>
      <c r="D342" s="10" t="s">
        <v>19</v>
      </c>
      <c r="E342" s="15" t="s">
        <v>524</v>
      </c>
      <c r="F342" s="15"/>
      <c r="G342" s="70">
        <f>G343</f>
        <v>0</v>
      </c>
      <c r="H342" s="70">
        <f t="shared" ref="H342:I346" si="81">H343</f>
        <v>0</v>
      </c>
      <c r="I342" s="70">
        <f t="shared" si="81"/>
        <v>0</v>
      </c>
      <c r="P342" s="17"/>
      <c r="Q342" s="17"/>
      <c r="R342" s="17"/>
      <c r="S342" s="17"/>
      <c r="T342" s="17"/>
    </row>
    <row r="343" spans="1:20" s="18" customFormat="1" ht="23.25" hidden="1" customHeight="1">
      <c r="A343" s="82" t="s">
        <v>63</v>
      </c>
      <c r="B343" s="49">
        <v>793</v>
      </c>
      <c r="C343" s="10" t="s">
        <v>173</v>
      </c>
      <c r="D343" s="10" t="s">
        <v>19</v>
      </c>
      <c r="E343" s="15" t="s">
        <v>524</v>
      </c>
      <c r="F343" s="15" t="s">
        <v>64</v>
      </c>
      <c r="G343" s="70">
        <f>G344</f>
        <v>0</v>
      </c>
      <c r="H343" s="70">
        <f t="shared" si="81"/>
        <v>0</v>
      </c>
      <c r="I343" s="70">
        <f t="shared" si="81"/>
        <v>0</v>
      </c>
      <c r="P343" s="17"/>
      <c r="Q343" s="17"/>
      <c r="R343" s="17"/>
      <c r="S343" s="17"/>
      <c r="T343" s="17"/>
    </row>
    <row r="344" spans="1:20" s="18" customFormat="1" ht="20.25" hidden="1" customHeight="1">
      <c r="A344" s="133" t="s">
        <v>144</v>
      </c>
      <c r="B344" s="49">
        <v>793</v>
      </c>
      <c r="C344" s="10" t="s">
        <v>173</v>
      </c>
      <c r="D344" s="10" t="s">
        <v>19</v>
      </c>
      <c r="E344" s="15" t="s">
        <v>524</v>
      </c>
      <c r="F344" s="15" t="s">
        <v>67</v>
      </c>
      <c r="G344" s="70"/>
      <c r="H344" s="70"/>
      <c r="I344" s="70"/>
      <c r="P344" s="17"/>
      <c r="Q344" s="17"/>
      <c r="R344" s="17"/>
      <c r="S344" s="17"/>
      <c r="T344" s="17"/>
    </row>
    <row r="345" spans="1:20" s="18" customFormat="1" ht="76.5" hidden="1">
      <c r="A345" s="82" t="s">
        <v>439</v>
      </c>
      <c r="B345" s="49">
        <v>793</v>
      </c>
      <c r="C345" s="10" t="s">
        <v>173</v>
      </c>
      <c r="D345" s="10" t="s">
        <v>19</v>
      </c>
      <c r="E345" s="15" t="s">
        <v>525</v>
      </c>
      <c r="F345" s="15"/>
      <c r="G345" s="70">
        <f>G346</f>
        <v>0</v>
      </c>
      <c r="H345" s="70">
        <f t="shared" si="81"/>
        <v>0</v>
      </c>
      <c r="I345" s="70">
        <f t="shared" si="81"/>
        <v>0</v>
      </c>
      <c r="P345" s="17"/>
      <c r="Q345" s="17"/>
      <c r="R345" s="17"/>
      <c r="S345" s="17"/>
      <c r="T345" s="17"/>
    </row>
    <row r="346" spans="1:20" s="18" customFormat="1" ht="22.5" hidden="1" customHeight="1">
      <c r="A346" s="82" t="s">
        <v>63</v>
      </c>
      <c r="B346" s="49">
        <v>793</v>
      </c>
      <c r="C346" s="10" t="s">
        <v>173</v>
      </c>
      <c r="D346" s="10" t="s">
        <v>19</v>
      </c>
      <c r="E346" s="15" t="s">
        <v>525</v>
      </c>
      <c r="F346" s="15" t="s">
        <v>64</v>
      </c>
      <c r="G346" s="70">
        <f>G347</f>
        <v>0</v>
      </c>
      <c r="H346" s="70">
        <f t="shared" si="81"/>
        <v>0</v>
      </c>
      <c r="I346" s="70">
        <f t="shared" si="81"/>
        <v>0</v>
      </c>
      <c r="P346" s="17"/>
      <c r="Q346" s="17"/>
      <c r="R346" s="17"/>
      <c r="S346" s="17"/>
      <c r="T346" s="17"/>
    </row>
    <row r="347" spans="1:20" s="18" customFormat="1" ht="17.25" hidden="1" customHeight="1">
      <c r="A347" s="133" t="s">
        <v>144</v>
      </c>
      <c r="B347" s="49">
        <v>793</v>
      </c>
      <c r="C347" s="10" t="s">
        <v>173</v>
      </c>
      <c r="D347" s="10" t="s">
        <v>19</v>
      </c>
      <c r="E347" s="15" t="s">
        <v>525</v>
      </c>
      <c r="F347" s="15" t="s">
        <v>67</v>
      </c>
      <c r="G347" s="70"/>
      <c r="H347" s="70"/>
      <c r="I347" s="70"/>
      <c r="P347" s="17"/>
      <c r="Q347" s="17"/>
      <c r="R347" s="17"/>
      <c r="S347" s="17"/>
      <c r="T347" s="17"/>
    </row>
    <row r="348" spans="1:20" s="46" customFormat="1" ht="48.75" customHeight="1">
      <c r="A348" s="16" t="s">
        <v>423</v>
      </c>
      <c r="B348" s="49">
        <v>793</v>
      </c>
      <c r="C348" s="10" t="s">
        <v>173</v>
      </c>
      <c r="D348" s="10" t="s">
        <v>19</v>
      </c>
      <c r="E348" s="15" t="s">
        <v>378</v>
      </c>
      <c r="F348" s="15"/>
      <c r="G348" s="70">
        <f>G349+G357</f>
        <v>4168000</v>
      </c>
      <c r="H348" s="70">
        <f t="shared" ref="G348:I349" si="82">H349</f>
        <v>1800000</v>
      </c>
      <c r="I348" s="70">
        <f t="shared" si="82"/>
        <v>1800000</v>
      </c>
      <c r="P348" s="110"/>
      <c r="Q348" s="110"/>
      <c r="R348" s="110"/>
      <c r="S348" s="110"/>
      <c r="T348" s="110"/>
    </row>
    <row r="349" spans="1:20" s="46" customFormat="1" ht="21" customHeight="1">
      <c r="A349" s="16" t="s">
        <v>323</v>
      </c>
      <c r="B349" s="49">
        <v>793</v>
      </c>
      <c r="C349" s="10" t="s">
        <v>173</v>
      </c>
      <c r="D349" s="10" t="s">
        <v>19</v>
      </c>
      <c r="E349" s="15" t="s">
        <v>378</v>
      </c>
      <c r="F349" s="15" t="s">
        <v>37</v>
      </c>
      <c r="G349" s="70">
        <f t="shared" si="82"/>
        <v>4168000</v>
      </c>
      <c r="H349" s="70">
        <f t="shared" si="82"/>
        <v>1800000</v>
      </c>
      <c r="I349" s="70">
        <f t="shared" si="82"/>
        <v>1800000</v>
      </c>
      <c r="P349" s="110"/>
      <c r="Q349" s="110"/>
      <c r="R349" s="110"/>
      <c r="S349" s="110"/>
      <c r="T349" s="110"/>
    </row>
    <row r="350" spans="1:20" s="46" customFormat="1" ht="28.5" customHeight="1">
      <c r="A350" s="16" t="s">
        <v>38</v>
      </c>
      <c r="B350" s="49">
        <v>793</v>
      </c>
      <c r="C350" s="10" t="s">
        <v>173</v>
      </c>
      <c r="D350" s="10" t="s">
        <v>19</v>
      </c>
      <c r="E350" s="15" t="s">
        <v>378</v>
      </c>
      <c r="F350" s="15" t="s">
        <v>39</v>
      </c>
      <c r="G350" s="70">
        <f>'прил 5,'!G2224+'прил 5,'!G1513</f>
        <v>4168000</v>
      </c>
      <c r="H350" s="70">
        <f>'прил 5,'!H2224+'прил 5,'!H1513</f>
        <v>1800000</v>
      </c>
      <c r="I350" s="70">
        <f>'прил 5,'!I2224+'прил 5,'!I1513</f>
        <v>1800000</v>
      </c>
      <c r="P350" s="110"/>
      <c r="Q350" s="110"/>
      <c r="R350" s="110"/>
      <c r="S350" s="110"/>
      <c r="T350" s="110"/>
    </row>
    <row r="351" spans="1:20" ht="41.25" customHeight="1">
      <c r="A351" s="135" t="s">
        <v>1131</v>
      </c>
      <c r="B351" s="84" t="s">
        <v>94</v>
      </c>
      <c r="C351" s="84" t="s">
        <v>26</v>
      </c>
      <c r="D351" s="84" t="s">
        <v>28</v>
      </c>
      <c r="E351" s="84" t="s">
        <v>1130</v>
      </c>
      <c r="F351" s="84"/>
      <c r="G351" s="87">
        <f>G352</f>
        <v>478000</v>
      </c>
      <c r="H351" s="87">
        <f t="shared" ref="H351:I352" si="83">H352</f>
        <v>0</v>
      </c>
      <c r="I351" s="87">
        <f t="shared" si="83"/>
        <v>0</v>
      </c>
      <c r="J351" s="177"/>
      <c r="K351" s="186"/>
      <c r="L351" s="186"/>
      <c r="M351" s="186"/>
      <c r="N351" s="186"/>
      <c r="O351" s="186"/>
      <c r="P351" s="186"/>
      <c r="Q351" s="186"/>
      <c r="R351" s="186"/>
      <c r="S351" s="1"/>
      <c r="T351" s="1"/>
    </row>
    <row r="352" spans="1:20" ht="36" customHeight="1">
      <c r="A352" s="135" t="s">
        <v>96</v>
      </c>
      <c r="B352" s="84" t="s">
        <v>94</v>
      </c>
      <c r="C352" s="84" t="s">
        <v>26</v>
      </c>
      <c r="D352" s="84" t="s">
        <v>28</v>
      </c>
      <c r="E352" s="84" t="s">
        <v>1130</v>
      </c>
      <c r="F352" s="84" t="s">
        <v>348</v>
      </c>
      <c r="G352" s="87">
        <f>G353</f>
        <v>478000</v>
      </c>
      <c r="H352" s="87">
        <f t="shared" si="83"/>
        <v>0</v>
      </c>
      <c r="I352" s="87">
        <f t="shared" si="83"/>
        <v>0</v>
      </c>
      <c r="J352" s="177"/>
      <c r="K352" s="186"/>
      <c r="L352" s="186"/>
      <c r="M352" s="186"/>
      <c r="N352" s="186"/>
      <c r="O352" s="186"/>
      <c r="P352" s="186"/>
      <c r="Q352" s="186"/>
      <c r="R352" s="186"/>
      <c r="S352" s="1"/>
      <c r="T352" s="1"/>
    </row>
    <row r="353" spans="1:20" ht="108" customHeight="1">
      <c r="A353" s="135" t="s">
        <v>420</v>
      </c>
      <c r="B353" s="84" t="s">
        <v>94</v>
      </c>
      <c r="C353" s="84" t="s">
        <v>26</v>
      </c>
      <c r="D353" s="84" t="s">
        <v>28</v>
      </c>
      <c r="E353" s="84" t="s">
        <v>1130</v>
      </c>
      <c r="F353" s="84" t="s">
        <v>419</v>
      </c>
      <c r="G353" s="87">
        <v>478000</v>
      </c>
      <c r="H353" s="87">
        <v>0</v>
      </c>
      <c r="I353" s="87">
        <v>0</v>
      </c>
      <c r="J353" s="177"/>
      <c r="K353" s="186"/>
      <c r="L353" s="186"/>
      <c r="M353" s="186"/>
      <c r="N353" s="186"/>
      <c r="O353" s="186"/>
      <c r="P353" s="186"/>
      <c r="Q353" s="186"/>
      <c r="R353" s="186"/>
      <c r="S353" s="1"/>
      <c r="T353" s="1"/>
    </row>
    <row r="354" spans="1:20" s="235" customFormat="1" ht="31.5" customHeight="1">
      <c r="A354" s="34" t="s">
        <v>477</v>
      </c>
      <c r="B354" s="35">
        <v>774</v>
      </c>
      <c r="C354" s="36" t="s">
        <v>26</v>
      </c>
      <c r="D354" s="36" t="s">
        <v>19</v>
      </c>
      <c r="E354" s="36" t="s">
        <v>189</v>
      </c>
      <c r="F354" s="36"/>
      <c r="G354" s="71">
        <f>G355+G518+G620+G671+G675+G695</f>
        <v>1248859214.1899998</v>
      </c>
      <c r="H354" s="71">
        <f>H355+H518+H620+H671+H675</f>
        <v>1065356197.9299999</v>
      </c>
      <c r="I354" s="71">
        <f>I355+I518+I620+I671+I675</f>
        <v>1056420748.0299999</v>
      </c>
      <c r="J354" s="71">
        <f t="shared" ref="J354:O354" si="84">J355+J518+J620+J671+J675+J472</f>
        <v>18738720</v>
      </c>
      <c r="K354" s="71">
        <f t="shared" si="84"/>
        <v>0</v>
      </c>
      <c r="L354" s="71">
        <f t="shared" si="84"/>
        <v>0</v>
      </c>
      <c r="M354" s="71">
        <f t="shared" si="84"/>
        <v>0</v>
      </c>
      <c r="N354" s="71">
        <f t="shared" si="84"/>
        <v>0</v>
      </c>
      <c r="O354" s="71">
        <f t="shared" si="84"/>
        <v>0</v>
      </c>
      <c r="P354" s="234"/>
      <c r="Q354" s="236"/>
      <c r="R354" s="234"/>
      <c r="S354" s="234"/>
      <c r="T354" s="234"/>
    </row>
    <row r="355" spans="1:20" s="18" customFormat="1" ht="42.75" customHeight="1">
      <c r="A355" s="16" t="s">
        <v>90</v>
      </c>
      <c r="B355" s="14">
        <v>774</v>
      </c>
      <c r="C355" s="15" t="s">
        <v>26</v>
      </c>
      <c r="D355" s="15" t="s">
        <v>19</v>
      </c>
      <c r="E355" s="15" t="s">
        <v>215</v>
      </c>
      <c r="F355" s="15"/>
      <c r="G355" s="70">
        <f>G361+G367+G370+G376+G383+G386+G389+G398+G401+G404+G407+G410+G415+G424+G442+G453+G459+G474+G483+G484+G485+G487+G505+G508+G517+G392+G418+G427+G421+G433+G439+G434+G364</f>
        <v>1057110374.4499998</v>
      </c>
      <c r="H355" s="70">
        <f t="shared" ref="H355:I355" si="85">H361+H367+H370+H376+H383+H386+H389+H398+H401+H404+H407+H410+H415+H424+H442+H453+H459+H474+H483+H484+H485+H487+H505+H508+H517+H392+H418+H427+H421+H433+H439</f>
        <v>985287176.06999993</v>
      </c>
      <c r="I355" s="70">
        <f t="shared" si="85"/>
        <v>1024544211.4699999</v>
      </c>
      <c r="J355" s="17">
        <v>18738720</v>
      </c>
      <c r="P355" s="17"/>
      <c r="Q355" s="17"/>
      <c r="R355" s="17"/>
      <c r="S355" s="17"/>
      <c r="T355" s="17"/>
    </row>
    <row r="356" spans="1:20" ht="50.25" hidden="1" customHeight="1">
      <c r="A356" s="16" t="s">
        <v>648</v>
      </c>
      <c r="B356" s="15" t="s">
        <v>94</v>
      </c>
      <c r="C356" s="15" t="s">
        <v>26</v>
      </c>
      <c r="D356" s="15" t="s">
        <v>28</v>
      </c>
      <c r="E356" s="15" t="s">
        <v>647</v>
      </c>
      <c r="F356" s="15"/>
      <c r="G356" s="70">
        <f t="shared" ref="G356:I357" si="86">G357</f>
        <v>0</v>
      </c>
      <c r="H356" s="70">
        <f t="shared" si="86"/>
        <v>0</v>
      </c>
      <c r="I356" s="70">
        <f t="shared" si="86"/>
        <v>0</v>
      </c>
      <c r="J356" s="1"/>
    </row>
    <row r="357" spans="1:20" s="18" customFormat="1" ht="25.5" hidden="1">
      <c r="A357" s="16" t="s">
        <v>30</v>
      </c>
      <c r="B357" s="15" t="s">
        <v>94</v>
      </c>
      <c r="C357" s="15" t="s">
        <v>26</v>
      </c>
      <c r="D357" s="15" t="s">
        <v>28</v>
      </c>
      <c r="E357" s="15" t="s">
        <v>647</v>
      </c>
      <c r="F357" s="15" t="s">
        <v>31</v>
      </c>
      <c r="G357" s="70">
        <f t="shared" si="86"/>
        <v>0</v>
      </c>
      <c r="H357" s="70">
        <f t="shared" si="86"/>
        <v>0</v>
      </c>
      <c r="I357" s="70">
        <f t="shared" si="86"/>
        <v>0</v>
      </c>
      <c r="L357" s="17" t="e">
        <f>#REF!+#REF!</f>
        <v>#REF!</v>
      </c>
      <c r="M357" s="17" t="e">
        <f>#REF!-L357</f>
        <v>#REF!</v>
      </c>
      <c r="P357" s="17"/>
      <c r="Q357" s="17"/>
      <c r="R357" s="17"/>
      <c r="S357" s="17"/>
      <c r="T357" s="17"/>
    </row>
    <row r="358" spans="1:20" s="18" customFormat="1" hidden="1">
      <c r="A358" s="16" t="s">
        <v>32</v>
      </c>
      <c r="B358" s="15" t="s">
        <v>94</v>
      </c>
      <c r="C358" s="15" t="s">
        <v>26</v>
      </c>
      <c r="D358" s="15" t="s">
        <v>28</v>
      </c>
      <c r="E358" s="15" t="s">
        <v>647</v>
      </c>
      <c r="F358" s="15" t="s">
        <v>33</v>
      </c>
      <c r="G358" s="70">
        <f>'прил 5,'!G574</f>
        <v>0</v>
      </c>
      <c r="H358" s="70">
        <f>'прил 5,'!H573</f>
        <v>0</v>
      </c>
      <c r="I358" s="70">
        <f>'прил 5,'!I573</f>
        <v>0</v>
      </c>
      <c r="P358" s="17"/>
      <c r="Q358" s="17"/>
      <c r="R358" s="17"/>
      <c r="S358" s="17"/>
      <c r="T358" s="17"/>
    </row>
    <row r="359" spans="1:20" s="18" customFormat="1" ht="56.25" customHeight="1">
      <c r="A359" s="80" t="s">
        <v>65</v>
      </c>
      <c r="B359" s="15" t="s">
        <v>94</v>
      </c>
      <c r="C359" s="15" t="s">
        <v>26</v>
      </c>
      <c r="D359" s="15" t="s">
        <v>28</v>
      </c>
      <c r="E359" s="15" t="s">
        <v>436</v>
      </c>
      <c r="F359" s="15"/>
      <c r="G359" s="87">
        <f t="shared" ref="G359:I360" si="87">G360</f>
        <v>721420</v>
      </c>
      <c r="H359" s="87">
        <f t="shared" si="87"/>
        <v>814538</v>
      </c>
      <c r="I359" s="87">
        <f t="shared" si="87"/>
        <v>847150</v>
      </c>
      <c r="J359" s="17">
        <v>188298123</v>
      </c>
      <c r="P359" s="17"/>
      <c r="Q359" s="17"/>
      <c r="R359" s="17"/>
      <c r="S359" s="17"/>
      <c r="T359" s="17"/>
    </row>
    <row r="360" spans="1:20" s="18" customFormat="1" ht="25.5">
      <c r="A360" s="16" t="s">
        <v>30</v>
      </c>
      <c r="B360" s="15" t="s">
        <v>94</v>
      </c>
      <c r="C360" s="15" t="s">
        <v>26</v>
      </c>
      <c r="D360" s="15" t="s">
        <v>28</v>
      </c>
      <c r="E360" s="15" t="s">
        <v>436</v>
      </c>
      <c r="F360" s="15" t="s">
        <v>31</v>
      </c>
      <c r="G360" s="87">
        <f t="shared" si="87"/>
        <v>721420</v>
      </c>
      <c r="H360" s="87">
        <f t="shared" si="87"/>
        <v>814538</v>
      </c>
      <c r="I360" s="87">
        <f t="shared" si="87"/>
        <v>847150</v>
      </c>
      <c r="J360" s="17">
        <v>100473040</v>
      </c>
      <c r="P360" s="17"/>
      <c r="Q360" s="17"/>
      <c r="R360" s="17"/>
      <c r="S360" s="17"/>
      <c r="T360" s="17"/>
    </row>
    <row r="361" spans="1:20" s="18" customFormat="1">
      <c r="A361" s="16" t="s">
        <v>32</v>
      </c>
      <c r="B361" s="15" t="s">
        <v>94</v>
      </c>
      <c r="C361" s="15" t="s">
        <v>26</v>
      </c>
      <c r="D361" s="15" t="s">
        <v>28</v>
      </c>
      <c r="E361" s="15" t="s">
        <v>436</v>
      </c>
      <c r="F361" s="15" t="s">
        <v>33</v>
      </c>
      <c r="G361" s="70">
        <f>'прил 5,'!G1027</f>
        <v>721420</v>
      </c>
      <c r="H361" s="70">
        <f>'прил 5,'!H1027</f>
        <v>814538</v>
      </c>
      <c r="I361" s="70">
        <f>'прил 5,'!I1027</f>
        <v>847150</v>
      </c>
      <c r="J361" s="17">
        <v>1481975</v>
      </c>
      <c r="P361" s="17"/>
      <c r="Q361" s="17"/>
      <c r="R361" s="17"/>
      <c r="S361" s="17"/>
      <c r="T361" s="17"/>
    </row>
    <row r="362" spans="1:20" s="28" customFormat="1" ht="62.25" customHeight="1">
      <c r="A362" s="135" t="s">
        <v>1112</v>
      </c>
      <c r="B362" s="84" t="s">
        <v>94</v>
      </c>
      <c r="C362" s="84" t="s">
        <v>69</v>
      </c>
      <c r="D362" s="84" t="s">
        <v>54</v>
      </c>
      <c r="E362" s="84" t="s">
        <v>1110</v>
      </c>
      <c r="F362" s="168"/>
      <c r="G362" s="87">
        <f t="shared" ref="G362:I363" si="88">G363</f>
        <v>44005</v>
      </c>
      <c r="H362" s="87">
        <f t="shared" si="88"/>
        <v>0</v>
      </c>
      <c r="I362" s="87">
        <f t="shared" si="88"/>
        <v>0</v>
      </c>
      <c r="J362" s="177"/>
      <c r="K362" s="204"/>
      <c r="L362" s="204"/>
      <c r="M362" s="204"/>
      <c r="N362" s="204"/>
      <c r="O362" s="204"/>
      <c r="P362" s="204"/>
      <c r="Q362" s="204"/>
      <c r="R362" s="204"/>
    </row>
    <row r="363" spans="1:20" s="28" customFormat="1" ht="25.5">
      <c r="A363" s="82" t="s">
        <v>30</v>
      </c>
      <c r="B363" s="84" t="s">
        <v>94</v>
      </c>
      <c r="C363" s="84" t="s">
        <v>69</v>
      </c>
      <c r="D363" s="84" t="s">
        <v>54</v>
      </c>
      <c r="E363" s="84" t="s">
        <v>1110</v>
      </c>
      <c r="F363" s="84" t="s">
        <v>31</v>
      </c>
      <c r="G363" s="87">
        <f t="shared" si="88"/>
        <v>44005</v>
      </c>
      <c r="H363" s="87">
        <f t="shared" si="88"/>
        <v>0</v>
      </c>
      <c r="I363" s="87">
        <f t="shared" si="88"/>
        <v>0</v>
      </c>
      <c r="J363" s="177"/>
      <c r="K363" s="204"/>
      <c r="L363" s="204"/>
      <c r="M363" s="204"/>
      <c r="N363" s="204"/>
      <c r="O363" s="204"/>
      <c r="P363" s="204"/>
      <c r="Q363" s="204"/>
      <c r="R363" s="204"/>
    </row>
    <row r="364" spans="1:20">
      <c r="A364" s="82" t="s">
        <v>32</v>
      </c>
      <c r="B364" s="84" t="s">
        <v>94</v>
      </c>
      <c r="C364" s="84" t="s">
        <v>69</v>
      </c>
      <c r="D364" s="84" t="s">
        <v>54</v>
      </c>
      <c r="E364" s="84" t="s">
        <v>1111</v>
      </c>
      <c r="F364" s="84" t="s">
        <v>33</v>
      </c>
      <c r="G364" s="87">
        <f>'прил 5,'!G1033</f>
        <v>44005</v>
      </c>
      <c r="H364" s="87">
        <v>0</v>
      </c>
      <c r="I364" s="87">
        <v>0</v>
      </c>
      <c r="J364" s="177"/>
      <c r="K364" s="186"/>
      <c r="L364" s="186"/>
      <c r="M364" s="186"/>
      <c r="N364" s="186"/>
      <c r="O364" s="186"/>
      <c r="P364" s="186"/>
      <c r="Q364" s="186"/>
      <c r="R364" s="186"/>
      <c r="S364" s="1"/>
      <c r="T364" s="1"/>
    </row>
    <row r="365" spans="1:20" s="18" customFormat="1" ht="76.5">
      <c r="A365" s="80" t="s">
        <v>779</v>
      </c>
      <c r="B365" s="15" t="s">
        <v>94</v>
      </c>
      <c r="C365" s="15" t="s">
        <v>26</v>
      </c>
      <c r="D365" s="15" t="s">
        <v>28</v>
      </c>
      <c r="E365" s="15" t="s">
        <v>778</v>
      </c>
      <c r="F365" s="15"/>
      <c r="G365" s="70">
        <f t="shared" ref="G365:I366" si="89">G366</f>
        <v>1803468</v>
      </c>
      <c r="H365" s="70">
        <f t="shared" si="89"/>
        <v>1803468</v>
      </c>
      <c r="I365" s="70">
        <f t="shared" si="89"/>
        <v>1803468</v>
      </c>
      <c r="P365" s="17"/>
      <c r="Q365" s="17"/>
      <c r="R365" s="17"/>
      <c r="S365" s="17"/>
      <c r="T365" s="17"/>
    </row>
    <row r="366" spans="1:20" s="18" customFormat="1" ht="25.5">
      <c r="A366" s="16" t="s">
        <v>30</v>
      </c>
      <c r="B366" s="15" t="s">
        <v>94</v>
      </c>
      <c r="C366" s="15" t="s">
        <v>26</v>
      </c>
      <c r="D366" s="15" t="s">
        <v>28</v>
      </c>
      <c r="E366" s="15" t="s">
        <v>778</v>
      </c>
      <c r="F366" s="15" t="s">
        <v>31</v>
      </c>
      <c r="G366" s="70">
        <f t="shared" si="89"/>
        <v>1803468</v>
      </c>
      <c r="H366" s="70">
        <f t="shared" si="89"/>
        <v>1803468</v>
      </c>
      <c r="I366" s="70">
        <f t="shared" si="89"/>
        <v>1803468</v>
      </c>
      <c r="P366" s="17"/>
      <c r="Q366" s="17"/>
      <c r="R366" s="17"/>
      <c r="S366" s="17"/>
      <c r="T366" s="17"/>
    </row>
    <row r="367" spans="1:20" s="18" customFormat="1">
      <c r="A367" s="16" t="s">
        <v>32</v>
      </c>
      <c r="B367" s="15" t="s">
        <v>94</v>
      </c>
      <c r="C367" s="15" t="s">
        <v>26</v>
      </c>
      <c r="D367" s="15" t="s">
        <v>28</v>
      </c>
      <c r="E367" s="15" t="s">
        <v>778</v>
      </c>
      <c r="F367" s="15" t="s">
        <v>33</v>
      </c>
      <c r="G367" s="70">
        <f>'прил 5,'!G613</f>
        <v>1803468</v>
      </c>
      <c r="H367" s="70">
        <f>'прил 5,'!H613</f>
        <v>1803468</v>
      </c>
      <c r="I367" s="70">
        <f>'прил 5,'!I613</f>
        <v>1803468</v>
      </c>
      <c r="P367" s="17"/>
      <c r="Q367" s="17"/>
      <c r="R367" s="17"/>
      <c r="S367" s="17"/>
      <c r="T367" s="17"/>
    </row>
    <row r="368" spans="1:20" s="18" customFormat="1" ht="60" customHeight="1">
      <c r="A368" s="16" t="s">
        <v>3</v>
      </c>
      <c r="B368" s="15"/>
      <c r="C368" s="15"/>
      <c r="D368" s="15"/>
      <c r="E368" s="15" t="s">
        <v>912</v>
      </c>
      <c r="F368" s="15"/>
      <c r="G368" s="70">
        <f t="shared" ref="G368:I369" si="90">G369</f>
        <v>70311572.75</v>
      </c>
      <c r="H368" s="70">
        <f t="shared" si="90"/>
        <v>31348796</v>
      </c>
      <c r="I368" s="70">
        <f t="shared" si="90"/>
        <v>52557201</v>
      </c>
      <c r="J368" s="17">
        <v>1277362</v>
      </c>
      <c r="P368" s="17"/>
      <c r="Q368" s="17"/>
      <c r="R368" s="17"/>
      <c r="S368" s="17"/>
      <c r="T368" s="17"/>
    </row>
    <row r="369" spans="1:20" s="18" customFormat="1" ht="25.5">
      <c r="A369" s="16" t="s">
        <v>30</v>
      </c>
      <c r="B369" s="15" t="s">
        <v>94</v>
      </c>
      <c r="C369" s="15" t="s">
        <v>26</v>
      </c>
      <c r="D369" s="15" t="s">
        <v>28</v>
      </c>
      <c r="E369" s="15" t="s">
        <v>912</v>
      </c>
      <c r="F369" s="15" t="s">
        <v>31</v>
      </c>
      <c r="G369" s="70">
        <f t="shared" si="90"/>
        <v>70311572.75</v>
      </c>
      <c r="H369" s="70">
        <f t="shared" si="90"/>
        <v>31348796</v>
      </c>
      <c r="I369" s="70">
        <f t="shared" si="90"/>
        <v>52557201</v>
      </c>
      <c r="J369" s="17">
        <v>442381</v>
      </c>
      <c r="P369" s="17"/>
      <c r="Q369" s="17"/>
      <c r="R369" s="17"/>
      <c r="S369" s="17"/>
      <c r="T369" s="17"/>
    </row>
    <row r="370" spans="1:20" s="18" customFormat="1">
      <c r="A370" s="16" t="s">
        <v>32</v>
      </c>
      <c r="B370" s="15" t="s">
        <v>94</v>
      </c>
      <c r="C370" s="15" t="s">
        <v>26</v>
      </c>
      <c r="D370" s="15" t="s">
        <v>28</v>
      </c>
      <c r="E370" s="15" t="s">
        <v>912</v>
      </c>
      <c r="F370" s="15" t="s">
        <v>33</v>
      </c>
      <c r="G370" s="70">
        <f>'прил 5,'!G577+'прил 5,'!G491+'прил 5,'!G814+'прил 5,'!G100</f>
        <v>70311572.75</v>
      </c>
      <c r="H370" s="70">
        <f>'прил 5,'!H577+'прил 5,'!H491+'прил 5,'!H814+'прил 5,'!H100</f>
        <v>31348796</v>
      </c>
      <c r="I370" s="70">
        <f>'прил 5,'!I577+'прил 5,'!I491+'прил 5,'!I814+'прил 5,'!I100</f>
        <v>52557201</v>
      </c>
      <c r="J370" s="17">
        <v>100000</v>
      </c>
      <c r="P370" s="17"/>
      <c r="Q370" s="17"/>
      <c r="R370" s="17"/>
      <c r="S370" s="17"/>
      <c r="T370" s="17"/>
    </row>
    <row r="371" spans="1:20" s="18" customFormat="1">
      <c r="A371" s="16" t="s">
        <v>91</v>
      </c>
      <c r="B371" s="15" t="s">
        <v>94</v>
      </c>
      <c r="C371" s="15" t="s">
        <v>26</v>
      </c>
      <c r="D371" s="15" t="s">
        <v>28</v>
      </c>
      <c r="E371" s="15" t="s">
        <v>134</v>
      </c>
      <c r="F371" s="15"/>
      <c r="G371" s="70">
        <f>G372+G374</f>
        <v>640934333.92999995</v>
      </c>
      <c r="H371" s="70">
        <f t="shared" ref="H371:I371" si="91">H372+H374</f>
        <v>629702800.27999997</v>
      </c>
      <c r="I371" s="70">
        <f t="shared" si="91"/>
        <v>649822035.52999997</v>
      </c>
      <c r="J371" s="17">
        <v>1000000</v>
      </c>
      <c r="P371" s="17"/>
      <c r="Q371" s="17"/>
      <c r="R371" s="17"/>
      <c r="S371" s="17"/>
      <c r="T371" s="17"/>
    </row>
    <row r="372" spans="1:20" s="18" customFormat="1" hidden="1">
      <c r="A372" s="16" t="s">
        <v>63</v>
      </c>
      <c r="B372" s="15" t="s">
        <v>94</v>
      </c>
      <c r="C372" s="15" t="s">
        <v>26</v>
      </c>
      <c r="D372" s="15" t="s">
        <v>28</v>
      </c>
      <c r="E372" s="15" t="s">
        <v>134</v>
      </c>
      <c r="F372" s="15" t="s">
        <v>64</v>
      </c>
      <c r="G372" s="70">
        <f t="shared" ref="G372:I372" si="92">G373</f>
        <v>0</v>
      </c>
      <c r="H372" s="87">
        <f t="shared" si="92"/>
        <v>0</v>
      </c>
      <c r="I372" s="87">
        <f t="shared" si="92"/>
        <v>0</v>
      </c>
      <c r="J372" s="17">
        <v>28108080</v>
      </c>
      <c r="P372" s="17"/>
      <c r="Q372" s="17"/>
      <c r="R372" s="17"/>
      <c r="S372" s="17"/>
      <c r="T372" s="17"/>
    </row>
    <row r="373" spans="1:20" s="18" customFormat="1" hidden="1">
      <c r="A373" s="16" t="s">
        <v>180</v>
      </c>
      <c r="B373" s="15" t="s">
        <v>94</v>
      </c>
      <c r="C373" s="15" t="s">
        <v>26</v>
      </c>
      <c r="D373" s="15" t="s">
        <v>28</v>
      </c>
      <c r="E373" s="15" t="s">
        <v>134</v>
      </c>
      <c r="F373" s="15" t="s">
        <v>181</v>
      </c>
      <c r="G373" s="70">
        <f>'прил 5,'!G583</f>
        <v>0</v>
      </c>
      <c r="H373" s="87">
        <f>'прил 5,'!H583</f>
        <v>0</v>
      </c>
      <c r="I373" s="87">
        <f>'прил 5,'!I583</f>
        <v>0</v>
      </c>
      <c r="J373" s="17">
        <v>346225581</v>
      </c>
      <c r="P373" s="17"/>
      <c r="Q373" s="17"/>
      <c r="R373" s="17"/>
      <c r="S373" s="17"/>
      <c r="T373" s="17"/>
    </row>
    <row r="374" spans="1:20" s="18" customFormat="1" ht="15" customHeight="1">
      <c r="A374" s="16" t="s">
        <v>91</v>
      </c>
      <c r="B374" s="14">
        <v>774</v>
      </c>
      <c r="C374" s="15" t="s">
        <v>26</v>
      </c>
      <c r="D374" s="15" t="s">
        <v>19</v>
      </c>
      <c r="E374" s="15" t="s">
        <v>134</v>
      </c>
      <c r="F374" s="15"/>
      <c r="G374" s="70">
        <f t="shared" ref="G374:I375" si="93">G375</f>
        <v>640934333.92999995</v>
      </c>
      <c r="H374" s="70">
        <f t="shared" si="93"/>
        <v>629702800.27999997</v>
      </c>
      <c r="I374" s="70">
        <f t="shared" si="93"/>
        <v>649822035.52999997</v>
      </c>
      <c r="J374" s="17"/>
      <c r="P374" s="17"/>
      <c r="Q374" s="17"/>
      <c r="R374" s="17"/>
      <c r="S374" s="17"/>
      <c r="T374" s="17"/>
    </row>
    <row r="375" spans="1:20" s="18" customFormat="1" ht="25.5">
      <c r="A375" s="16" t="s">
        <v>30</v>
      </c>
      <c r="B375" s="14">
        <v>774</v>
      </c>
      <c r="C375" s="15" t="s">
        <v>26</v>
      </c>
      <c r="D375" s="15" t="s">
        <v>19</v>
      </c>
      <c r="E375" s="15" t="s">
        <v>134</v>
      </c>
      <c r="F375" s="15" t="s">
        <v>31</v>
      </c>
      <c r="G375" s="70">
        <f t="shared" si="93"/>
        <v>640934333.92999995</v>
      </c>
      <c r="H375" s="70">
        <f t="shared" si="93"/>
        <v>629702800.27999997</v>
      </c>
      <c r="I375" s="70">
        <f t="shared" si="93"/>
        <v>649822035.52999997</v>
      </c>
      <c r="J375" s="17">
        <v>6074133</v>
      </c>
      <c r="P375" s="17"/>
      <c r="Q375" s="17"/>
      <c r="R375" s="17"/>
      <c r="S375" s="17"/>
      <c r="T375" s="17"/>
    </row>
    <row r="376" spans="1:20" s="18" customFormat="1">
      <c r="A376" s="16" t="s">
        <v>32</v>
      </c>
      <c r="B376" s="14">
        <v>774</v>
      </c>
      <c r="C376" s="15" t="s">
        <v>26</v>
      </c>
      <c r="D376" s="15" t="s">
        <v>19</v>
      </c>
      <c r="E376" s="15" t="s">
        <v>134</v>
      </c>
      <c r="F376" s="15" t="s">
        <v>33</v>
      </c>
      <c r="G376" s="70">
        <f>'прил 5,'!G494+'прил 5,'!G580+'прил 5,'!G817</f>
        <v>640934333.92999995</v>
      </c>
      <c r="H376" s="70">
        <f>'прил 5,'!H494+'прил 5,'!H580+'прил 5,'!H817</f>
        <v>629702800.27999997</v>
      </c>
      <c r="I376" s="70">
        <f>'прил 5,'!I494+'прил 5,'!I580+'прил 5,'!I817</f>
        <v>649822035.52999997</v>
      </c>
      <c r="J376" s="17">
        <v>123332466</v>
      </c>
      <c r="P376" s="17"/>
      <c r="Q376" s="17"/>
      <c r="R376" s="17"/>
      <c r="S376" s="17"/>
      <c r="T376" s="17"/>
    </row>
    <row r="377" spans="1:20" s="18" customFormat="1" ht="15" hidden="1" customHeight="1">
      <c r="A377" s="16" t="s">
        <v>91</v>
      </c>
      <c r="B377" s="14">
        <v>774</v>
      </c>
      <c r="C377" s="15" t="s">
        <v>26</v>
      </c>
      <c r="D377" s="15" t="s">
        <v>19</v>
      </c>
      <c r="E377" s="15" t="s">
        <v>216</v>
      </c>
      <c r="F377" s="15"/>
      <c r="G377" s="70">
        <f t="shared" ref="G377:I378" si="94">G378</f>
        <v>0</v>
      </c>
      <c r="H377" s="87">
        <f t="shared" si="94"/>
        <v>0</v>
      </c>
      <c r="I377" s="87">
        <f t="shared" si="94"/>
        <v>0</v>
      </c>
      <c r="J377" s="17"/>
      <c r="P377" s="17"/>
      <c r="Q377" s="17"/>
      <c r="R377" s="17"/>
      <c r="S377" s="17"/>
      <c r="T377" s="17"/>
    </row>
    <row r="378" spans="1:20" s="18" customFormat="1" ht="25.5" hidden="1">
      <c r="A378" s="16" t="s">
        <v>30</v>
      </c>
      <c r="B378" s="14">
        <v>774</v>
      </c>
      <c r="C378" s="15" t="s">
        <v>26</v>
      </c>
      <c r="D378" s="15" t="s">
        <v>19</v>
      </c>
      <c r="E378" s="15" t="s">
        <v>216</v>
      </c>
      <c r="F378" s="15" t="s">
        <v>31</v>
      </c>
      <c r="G378" s="70">
        <f t="shared" si="94"/>
        <v>0</v>
      </c>
      <c r="H378" s="87">
        <f t="shared" si="94"/>
        <v>0</v>
      </c>
      <c r="I378" s="87">
        <f t="shared" si="94"/>
        <v>0</v>
      </c>
      <c r="J378" s="17"/>
      <c r="P378" s="17"/>
      <c r="Q378" s="17"/>
      <c r="R378" s="17"/>
      <c r="S378" s="17"/>
      <c r="T378" s="17"/>
    </row>
    <row r="379" spans="1:20" s="18" customFormat="1" hidden="1">
      <c r="A379" s="16" t="s">
        <v>32</v>
      </c>
      <c r="B379" s="14">
        <v>774</v>
      </c>
      <c r="C379" s="15" t="s">
        <v>26</v>
      </c>
      <c r="D379" s="15" t="s">
        <v>19</v>
      </c>
      <c r="E379" s="15" t="s">
        <v>216</v>
      </c>
      <c r="F379" s="15" t="s">
        <v>33</v>
      </c>
      <c r="G379" s="70"/>
      <c r="H379" s="87"/>
      <c r="I379" s="87"/>
      <c r="J379" s="17"/>
      <c r="P379" s="17"/>
      <c r="Q379" s="17"/>
      <c r="R379" s="17"/>
      <c r="S379" s="17"/>
      <c r="T379" s="17"/>
    </row>
    <row r="380" spans="1:20" s="18" customFormat="1" ht="51" hidden="1">
      <c r="A380" s="16" t="s">
        <v>34</v>
      </c>
      <c r="B380" s="14">
        <v>774</v>
      </c>
      <c r="C380" s="15" t="s">
        <v>26</v>
      </c>
      <c r="D380" s="15" t="s">
        <v>19</v>
      </c>
      <c r="E380" s="15" t="s">
        <v>216</v>
      </c>
      <c r="F380" s="15" t="s">
        <v>92</v>
      </c>
      <c r="G380" s="70"/>
      <c r="H380" s="87"/>
      <c r="I380" s="87"/>
      <c r="J380" s="17"/>
      <c r="P380" s="17"/>
      <c r="Q380" s="17"/>
      <c r="R380" s="17"/>
      <c r="S380" s="17"/>
      <c r="T380" s="17"/>
    </row>
    <row r="381" spans="1:20" s="18" customFormat="1" ht="53.25" customHeight="1">
      <c r="A381" s="16" t="s">
        <v>637</v>
      </c>
      <c r="B381" s="15" t="s">
        <v>94</v>
      </c>
      <c r="C381" s="15" t="s">
        <v>26</v>
      </c>
      <c r="D381" s="15" t="s">
        <v>70</v>
      </c>
      <c r="E381" s="15" t="s">
        <v>636</v>
      </c>
      <c r="F381" s="15"/>
      <c r="G381" s="70">
        <f t="shared" ref="G381:I382" si="95">G382</f>
        <v>10919566.07</v>
      </c>
      <c r="H381" s="70">
        <f t="shared" si="95"/>
        <v>11053199.720000001</v>
      </c>
      <c r="I381" s="70">
        <f t="shared" si="95"/>
        <v>11215464.470000001</v>
      </c>
      <c r="P381" s="17" t="s">
        <v>893</v>
      </c>
      <c r="Q381" s="17"/>
      <c r="R381" s="17"/>
      <c r="S381" s="17"/>
      <c r="T381" s="17"/>
    </row>
    <row r="382" spans="1:20" s="18" customFormat="1" ht="25.5">
      <c r="A382" s="16" t="s">
        <v>30</v>
      </c>
      <c r="B382" s="15" t="s">
        <v>94</v>
      </c>
      <c r="C382" s="15" t="s">
        <v>26</v>
      </c>
      <c r="D382" s="15" t="s">
        <v>70</v>
      </c>
      <c r="E382" s="15" t="s">
        <v>636</v>
      </c>
      <c r="F382" s="15" t="s">
        <v>31</v>
      </c>
      <c r="G382" s="70">
        <f t="shared" si="95"/>
        <v>10919566.07</v>
      </c>
      <c r="H382" s="70">
        <f t="shared" si="95"/>
        <v>11053199.720000001</v>
      </c>
      <c r="I382" s="70">
        <f t="shared" si="95"/>
        <v>11215464.470000001</v>
      </c>
      <c r="P382" s="17"/>
      <c r="Q382" s="17"/>
      <c r="R382" s="17"/>
      <c r="S382" s="17"/>
      <c r="T382" s="17"/>
    </row>
    <row r="383" spans="1:20" s="18" customFormat="1">
      <c r="A383" s="16" t="s">
        <v>32</v>
      </c>
      <c r="B383" s="15" t="s">
        <v>94</v>
      </c>
      <c r="C383" s="15" t="s">
        <v>26</v>
      </c>
      <c r="D383" s="15" t="s">
        <v>70</v>
      </c>
      <c r="E383" s="15" t="s">
        <v>636</v>
      </c>
      <c r="F383" s="15" t="s">
        <v>33</v>
      </c>
      <c r="G383" s="70">
        <f>'прил 5,'!G829</f>
        <v>10919566.07</v>
      </c>
      <c r="H383" s="70">
        <f>'прил 5,'!H829</f>
        <v>11053199.720000001</v>
      </c>
      <c r="I383" s="70">
        <f>'прил 5,'!I829</f>
        <v>11215464.470000001</v>
      </c>
      <c r="P383" s="17"/>
      <c r="Q383" s="17"/>
      <c r="R383" s="17"/>
      <c r="S383" s="17"/>
      <c r="T383" s="17"/>
    </row>
    <row r="384" spans="1:20" s="18" customFormat="1" ht="25.5">
      <c r="A384" s="16" t="s">
        <v>93</v>
      </c>
      <c r="B384" s="14">
        <v>774</v>
      </c>
      <c r="C384" s="15" t="s">
        <v>26</v>
      </c>
      <c r="D384" s="15" t="s">
        <v>19</v>
      </c>
      <c r="E384" s="15" t="s">
        <v>217</v>
      </c>
      <c r="F384" s="15"/>
      <c r="G384" s="70">
        <f t="shared" ref="G384:I385" si="96">G385</f>
        <v>105878296.25</v>
      </c>
      <c r="H384" s="70">
        <f t="shared" si="96"/>
        <v>98500729</v>
      </c>
      <c r="I384" s="70">
        <f t="shared" si="96"/>
        <v>98842132</v>
      </c>
      <c r="J384" s="17">
        <v>100000</v>
      </c>
      <c r="P384" s="17"/>
      <c r="Q384" s="17"/>
      <c r="R384" s="17"/>
      <c r="S384" s="17"/>
      <c r="T384" s="17"/>
    </row>
    <row r="385" spans="1:20" s="18" customFormat="1" ht="25.5">
      <c r="A385" s="16" t="s">
        <v>30</v>
      </c>
      <c r="B385" s="14">
        <v>774</v>
      </c>
      <c r="C385" s="15" t="s">
        <v>26</v>
      </c>
      <c r="D385" s="15" t="s">
        <v>19</v>
      </c>
      <c r="E385" s="15" t="s">
        <v>217</v>
      </c>
      <c r="F385" s="15" t="s">
        <v>31</v>
      </c>
      <c r="G385" s="70">
        <f t="shared" si="96"/>
        <v>105878296.25</v>
      </c>
      <c r="H385" s="70">
        <f t="shared" si="96"/>
        <v>98500729</v>
      </c>
      <c r="I385" s="70">
        <f t="shared" si="96"/>
        <v>98842132</v>
      </c>
      <c r="J385" s="17">
        <v>1000000</v>
      </c>
      <c r="P385" s="17"/>
      <c r="Q385" s="17"/>
      <c r="R385" s="17"/>
      <c r="S385" s="17"/>
      <c r="T385" s="17"/>
    </row>
    <row r="386" spans="1:20" s="18" customFormat="1">
      <c r="A386" s="16" t="s">
        <v>32</v>
      </c>
      <c r="B386" s="14">
        <v>774</v>
      </c>
      <c r="C386" s="15" t="s">
        <v>26</v>
      </c>
      <c r="D386" s="15" t="s">
        <v>19</v>
      </c>
      <c r="E386" s="15" t="s">
        <v>217</v>
      </c>
      <c r="F386" s="15" t="s">
        <v>33</v>
      </c>
      <c r="G386" s="70">
        <f>'прил 5,'!G497</f>
        <v>105878296.25</v>
      </c>
      <c r="H386" s="70">
        <f>'прил 5,'!H497</f>
        <v>98500729</v>
      </c>
      <c r="I386" s="70">
        <f>'прил 5,'!I497</f>
        <v>98842132</v>
      </c>
      <c r="J386" s="17">
        <v>3557619</v>
      </c>
      <c r="P386" s="17"/>
      <c r="Q386" s="17"/>
      <c r="R386" s="17"/>
      <c r="S386" s="17"/>
      <c r="T386" s="17"/>
    </row>
    <row r="387" spans="1:20" s="18" customFormat="1" ht="42.75" customHeight="1">
      <c r="A387" s="42" t="s">
        <v>877</v>
      </c>
      <c r="B387" s="15" t="s">
        <v>94</v>
      </c>
      <c r="C387" s="15" t="s">
        <v>26</v>
      </c>
      <c r="D387" s="15" t="s">
        <v>19</v>
      </c>
      <c r="E387" s="15" t="s">
        <v>616</v>
      </c>
      <c r="F387" s="15"/>
      <c r="G387" s="70">
        <f t="shared" ref="G387:I388" si="97">G388</f>
        <v>0</v>
      </c>
      <c r="H387" s="70">
        <f t="shared" si="97"/>
        <v>857216</v>
      </c>
      <c r="I387" s="70">
        <f t="shared" si="97"/>
        <v>857216</v>
      </c>
      <c r="P387" s="17"/>
      <c r="Q387" s="17"/>
      <c r="R387" s="17"/>
      <c r="S387" s="17"/>
      <c r="T387" s="17"/>
    </row>
    <row r="388" spans="1:20" s="18" customFormat="1" ht="25.5">
      <c r="A388" s="16" t="s">
        <v>30</v>
      </c>
      <c r="B388" s="15" t="s">
        <v>94</v>
      </c>
      <c r="C388" s="15" t="s">
        <v>26</v>
      </c>
      <c r="D388" s="15" t="s">
        <v>19</v>
      </c>
      <c r="E388" s="15" t="s">
        <v>616</v>
      </c>
      <c r="F388" s="15" t="s">
        <v>31</v>
      </c>
      <c r="G388" s="70">
        <f t="shared" si="97"/>
        <v>0</v>
      </c>
      <c r="H388" s="70">
        <f t="shared" si="97"/>
        <v>857216</v>
      </c>
      <c r="I388" s="70">
        <f t="shared" si="97"/>
        <v>857216</v>
      </c>
      <c r="P388" s="17"/>
      <c r="Q388" s="17"/>
      <c r="R388" s="17"/>
      <c r="S388" s="17"/>
      <c r="T388" s="17"/>
    </row>
    <row r="389" spans="1:20">
      <c r="A389" s="16" t="s">
        <v>32</v>
      </c>
      <c r="B389" s="15" t="s">
        <v>94</v>
      </c>
      <c r="C389" s="15" t="s">
        <v>26</v>
      </c>
      <c r="D389" s="15" t="s">
        <v>19</v>
      </c>
      <c r="E389" s="15" t="s">
        <v>616</v>
      </c>
      <c r="F389" s="15" t="s">
        <v>33</v>
      </c>
      <c r="G389" s="70">
        <f>'прил 5,'!G506</f>
        <v>0</v>
      </c>
      <c r="H389" s="70">
        <f>'прил 5,'!H506</f>
        <v>857216</v>
      </c>
      <c r="I389" s="70">
        <f>'прил 5,'!I506</f>
        <v>857216</v>
      </c>
      <c r="J389" s="1"/>
    </row>
    <row r="390" spans="1:20" ht="43.5" customHeight="1">
      <c r="A390" s="16" t="s">
        <v>118</v>
      </c>
      <c r="B390" s="15" t="s">
        <v>94</v>
      </c>
      <c r="C390" s="15" t="s">
        <v>26</v>
      </c>
      <c r="D390" s="15" t="s">
        <v>28</v>
      </c>
      <c r="E390" s="15" t="s">
        <v>222</v>
      </c>
      <c r="F390" s="15"/>
      <c r="G390" s="70">
        <f>G391</f>
        <v>137433722.98000002</v>
      </c>
      <c r="H390" s="87">
        <f>H391</f>
        <v>125609321</v>
      </c>
      <c r="I390" s="87">
        <f>I391</f>
        <v>125675659</v>
      </c>
      <c r="J390" s="17">
        <v>1832238</v>
      </c>
    </row>
    <row r="391" spans="1:20" ht="25.5">
      <c r="A391" s="16" t="s">
        <v>30</v>
      </c>
      <c r="B391" s="15" t="s">
        <v>94</v>
      </c>
      <c r="C391" s="15" t="s">
        <v>26</v>
      </c>
      <c r="D391" s="15" t="s">
        <v>28</v>
      </c>
      <c r="E391" s="15" t="s">
        <v>222</v>
      </c>
      <c r="F391" s="15" t="s">
        <v>31</v>
      </c>
      <c r="G391" s="70">
        <f t="shared" ref="G391:I391" si="98">G392</f>
        <v>137433722.98000002</v>
      </c>
      <c r="H391" s="87">
        <f t="shared" si="98"/>
        <v>125609321</v>
      </c>
      <c r="I391" s="87">
        <f t="shared" si="98"/>
        <v>125675659</v>
      </c>
      <c r="J391" s="17">
        <v>275000</v>
      </c>
    </row>
    <row r="392" spans="1:20">
      <c r="A392" s="16" t="s">
        <v>32</v>
      </c>
      <c r="B392" s="15" t="s">
        <v>94</v>
      </c>
      <c r="C392" s="15" t="s">
        <v>26</v>
      </c>
      <c r="D392" s="15" t="s">
        <v>28</v>
      </c>
      <c r="E392" s="15" t="s">
        <v>222</v>
      </c>
      <c r="F392" s="15" t="s">
        <v>33</v>
      </c>
      <c r="G392" s="70">
        <f>'прил 5,'!G588</f>
        <v>137433722.98000002</v>
      </c>
      <c r="H392" s="70">
        <f>'прил 5,'!H588</f>
        <v>125609321</v>
      </c>
      <c r="I392" s="70">
        <f>'прил 5,'!I588</f>
        <v>125675659</v>
      </c>
      <c r="J392" s="17">
        <v>2097500</v>
      </c>
    </row>
    <row r="393" spans="1:20" ht="43.5" hidden="1" customHeight="1">
      <c r="A393" s="82" t="s">
        <v>743</v>
      </c>
      <c r="B393" s="84"/>
      <c r="C393" s="84"/>
      <c r="D393" s="84"/>
      <c r="E393" s="84" t="s">
        <v>737</v>
      </c>
      <c r="F393" s="84"/>
      <c r="G393" s="87">
        <f>G394</f>
        <v>0</v>
      </c>
      <c r="H393" s="87"/>
      <c r="I393" s="87"/>
      <c r="J393" s="17"/>
    </row>
    <row r="394" spans="1:20" ht="25.5" hidden="1">
      <c r="A394" s="82" t="s">
        <v>96</v>
      </c>
      <c r="B394" s="84" t="s">
        <v>94</v>
      </c>
      <c r="C394" s="84" t="s">
        <v>26</v>
      </c>
      <c r="D394" s="84" t="s">
        <v>28</v>
      </c>
      <c r="E394" s="84" t="s">
        <v>737</v>
      </c>
      <c r="F394" s="84" t="s">
        <v>348</v>
      </c>
      <c r="G394" s="87">
        <f>G395</f>
        <v>0</v>
      </c>
      <c r="H394" s="70">
        <f>H395</f>
        <v>0</v>
      </c>
      <c r="I394" s="70">
        <f>I395</f>
        <v>0</v>
      </c>
      <c r="J394" s="1"/>
    </row>
    <row r="395" spans="1:20" s="3" customFormat="1" ht="89.25" hidden="1">
      <c r="A395" s="82" t="s">
        <v>420</v>
      </c>
      <c r="B395" s="149">
        <v>774</v>
      </c>
      <c r="C395" s="84" t="s">
        <v>26</v>
      </c>
      <c r="D395" s="84" t="s">
        <v>28</v>
      </c>
      <c r="E395" s="84" t="s">
        <v>737</v>
      </c>
      <c r="F395" s="84" t="s">
        <v>419</v>
      </c>
      <c r="G395" s="87">
        <f>'прил 5,'!G591</f>
        <v>0</v>
      </c>
      <c r="H395" s="70">
        <v>0</v>
      </c>
      <c r="I395" s="70">
        <v>0</v>
      </c>
      <c r="P395" s="111"/>
      <c r="Q395" s="111"/>
      <c r="R395" s="111"/>
      <c r="S395" s="111"/>
      <c r="T395" s="111"/>
    </row>
    <row r="396" spans="1:20" ht="25.5">
      <c r="A396" s="16" t="s">
        <v>29</v>
      </c>
      <c r="B396" s="15" t="s">
        <v>94</v>
      </c>
      <c r="C396" s="15" t="s">
        <v>26</v>
      </c>
      <c r="D396" s="15" t="s">
        <v>28</v>
      </c>
      <c r="E396" s="15" t="s">
        <v>223</v>
      </c>
      <c r="F396" s="15"/>
      <c r="G396" s="87">
        <f t="shared" ref="G396:I397" si="99">G397</f>
        <v>17494146</v>
      </c>
      <c r="H396" s="87">
        <f t="shared" si="99"/>
        <v>15367283</v>
      </c>
      <c r="I396" s="87">
        <f t="shared" si="99"/>
        <v>11015458</v>
      </c>
      <c r="J396" s="2">
        <v>66815463</v>
      </c>
    </row>
    <row r="397" spans="1:20" ht="25.5">
      <c r="A397" s="16" t="s">
        <v>30</v>
      </c>
      <c r="B397" s="15" t="s">
        <v>94</v>
      </c>
      <c r="C397" s="15" t="s">
        <v>26</v>
      </c>
      <c r="D397" s="15" t="s">
        <v>28</v>
      </c>
      <c r="E397" s="15" t="s">
        <v>223</v>
      </c>
      <c r="F397" s="15" t="s">
        <v>31</v>
      </c>
      <c r="G397" s="87">
        <f t="shared" si="99"/>
        <v>17494146</v>
      </c>
      <c r="H397" s="87">
        <f t="shared" si="99"/>
        <v>15367283</v>
      </c>
      <c r="I397" s="87">
        <f t="shared" si="99"/>
        <v>11015458</v>
      </c>
      <c r="J397" s="2">
        <v>11498996</v>
      </c>
    </row>
    <row r="398" spans="1:20">
      <c r="A398" s="16" t="s">
        <v>32</v>
      </c>
      <c r="B398" s="15" t="s">
        <v>94</v>
      </c>
      <c r="C398" s="15" t="s">
        <v>26</v>
      </c>
      <c r="D398" s="15" t="s">
        <v>28</v>
      </c>
      <c r="E398" s="15" t="s">
        <v>223</v>
      </c>
      <c r="F398" s="15" t="s">
        <v>33</v>
      </c>
      <c r="G398" s="70">
        <f>'прил 5,'!G820</f>
        <v>17494146</v>
      </c>
      <c r="H398" s="70">
        <f>'прил 5,'!H820</f>
        <v>15367283</v>
      </c>
      <c r="I398" s="70">
        <f>'прил 5,'!I820</f>
        <v>11015458</v>
      </c>
      <c r="J398" s="2">
        <v>90400</v>
      </c>
    </row>
    <row r="399" spans="1:20" s="18" customFormat="1">
      <c r="A399" s="16" t="s">
        <v>858</v>
      </c>
      <c r="B399" s="14">
        <v>774</v>
      </c>
      <c r="C399" s="15" t="s">
        <v>26</v>
      </c>
      <c r="D399" s="15" t="s">
        <v>19</v>
      </c>
      <c r="E399" s="15" t="s">
        <v>876</v>
      </c>
      <c r="F399" s="15"/>
      <c r="G399" s="70">
        <f>G400</f>
        <v>1563047.51</v>
      </c>
      <c r="H399" s="70">
        <f t="shared" ref="G399:I400" si="100">H400</f>
        <v>1835299</v>
      </c>
      <c r="I399" s="70">
        <f t="shared" si="100"/>
        <v>1835299</v>
      </c>
      <c r="P399" s="17"/>
      <c r="Q399" s="17"/>
      <c r="R399" s="17"/>
      <c r="S399" s="17"/>
      <c r="T399" s="17"/>
    </row>
    <row r="400" spans="1:20" s="18" customFormat="1" ht="25.5">
      <c r="A400" s="16" t="s">
        <v>30</v>
      </c>
      <c r="B400" s="14">
        <v>774</v>
      </c>
      <c r="C400" s="15" t="s">
        <v>26</v>
      </c>
      <c r="D400" s="15" t="s">
        <v>19</v>
      </c>
      <c r="E400" s="15" t="s">
        <v>876</v>
      </c>
      <c r="F400" s="15" t="s">
        <v>31</v>
      </c>
      <c r="G400" s="70">
        <f t="shared" si="100"/>
        <v>1563047.51</v>
      </c>
      <c r="H400" s="70">
        <f t="shared" si="100"/>
        <v>1835299</v>
      </c>
      <c r="I400" s="70">
        <f t="shared" si="100"/>
        <v>1835299</v>
      </c>
      <c r="P400" s="17"/>
      <c r="Q400" s="17"/>
      <c r="R400" s="17"/>
      <c r="S400" s="17"/>
      <c r="T400" s="17"/>
    </row>
    <row r="401" spans="1:20" s="18" customFormat="1">
      <c r="A401" s="16" t="s">
        <v>32</v>
      </c>
      <c r="B401" s="14">
        <v>774</v>
      </c>
      <c r="C401" s="15" t="s">
        <v>26</v>
      </c>
      <c r="D401" s="15" t="s">
        <v>19</v>
      </c>
      <c r="E401" s="15" t="s">
        <v>876</v>
      </c>
      <c r="F401" s="15" t="s">
        <v>33</v>
      </c>
      <c r="G401" s="70">
        <f>'прил 5,'!G500+'прил 5,'!G823+'прил 5,'!G594</f>
        <v>1563047.51</v>
      </c>
      <c r="H401" s="70">
        <f>'прил 5,'!H500+'прил 5,'!H823+'прил 5,'!H594</f>
        <v>1835299</v>
      </c>
      <c r="I401" s="70">
        <f>'прил 5,'!I500+'прил 5,'!I823+'прил 5,'!I594</f>
        <v>1835299</v>
      </c>
      <c r="P401" s="17"/>
      <c r="Q401" s="17"/>
      <c r="R401" s="17"/>
      <c r="S401" s="17"/>
      <c r="T401" s="17"/>
    </row>
    <row r="402" spans="1:20" s="18" customFormat="1" ht="54" customHeight="1">
      <c r="A402" s="180" t="s">
        <v>882</v>
      </c>
      <c r="B402" s="15" t="s">
        <v>94</v>
      </c>
      <c r="C402" s="15" t="s">
        <v>26</v>
      </c>
      <c r="D402" s="15" t="s">
        <v>19</v>
      </c>
      <c r="E402" s="15" t="s">
        <v>878</v>
      </c>
      <c r="F402" s="15"/>
      <c r="G402" s="70">
        <f t="shared" ref="G402:I403" si="101">G403</f>
        <v>2749897.1499999994</v>
      </c>
      <c r="H402" s="70">
        <f t="shared" si="101"/>
        <v>4174525</v>
      </c>
      <c r="I402" s="70">
        <f t="shared" si="101"/>
        <v>4174525</v>
      </c>
      <c r="P402" s="17"/>
      <c r="Q402" s="17"/>
      <c r="R402" s="17"/>
      <c r="S402" s="17"/>
      <c r="T402" s="17"/>
    </row>
    <row r="403" spans="1:20" s="18" customFormat="1" ht="25.5">
      <c r="A403" s="16" t="s">
        <v>30</v>
      </c>
      <c r="B403" s="15" t="s">
        <v>94</v>
      </c>
      <c r="C403" s="15" t="s">
        <v>26</v>
      </c>
      <c r="D403" s="15" t="s">
        <v>19</v>
      </c>
      <c r="E403" s="15" t="s">
        <v>878</v>
      </c>
      <c r="F403" s="15" t="s">
        <v>31</v>
      </c>
      <c r="G403" s="70">
        <f t="shared" si="101"/>
        <v>2749897.1499999994</v>
      </c>
      <c r="H403" s="70">
        <f t="shared" si="101"/>
        <v>4174525</v>
      </c>
      <c r="I403" s="70">
        <f t="shared" si="101"/>
        <v>4174525</v>
      </c>
      <c r="P403" s="17"/>
      <c r="Q403" s="17"/>
      <c r="R403" s="17"/>
      <c r="S403" s="17"/>
      <c r="T403" s="17"/>
    </row>
    <row r="404" spans="1:20">
      <c r="A404" s="16" t="s">
        <v>32</v>
      </c>
      <c r="B404" s="15" t="s">
        <v>94</v>
      </c>
      <c r="C404" s="15" t="s">
        <v>26</v>
      </c>
      <c r="D404" s="15" t="s">
        <v>19</v>
      </c>
      <c r="E404" s="15" t="s">
        <v>878</v>
      </c>
      <c r="F404" s="15" t="s">
        <v>33</v>
      </c>
      <c r="G404" s="70">
        <f>'прил 5,'!G511</f>
        <v>2749897.1499999994</v>
      </c>
      <c r="H404" s="70">
        <f>'прил 5,'!H511</f>
        <v>4174525</v>
      </c>
      <c r="I404" s="70">
        <f>'прил 5,'!I511</f>
        <v>4174525</v>
      </c>
      <c r="J404" s="1"/>
    </row>
    <row r="405" spans="1:20" s="18" customFormat="1" ht="51" customHeight="1">
      <c r="A405" s="42" t="s">
        <v>879</v>
      </c>
      <c r="B405" s="15" t="s">
        <v>94</v>
      </c>
      <c r="C405" s="15" t="s">
        <v>26</v>
      </c>
      <c r="D405" s="15" t="s">
        <v>28</v>
      </c>
      <c r="E405" s="15" t="s">
        <v>883</v>
      </c>
      <c r="F405" s="15"/>
      <c r="G405" s="70">
        <f t="shared" ref="G405:I406" si="102">G406</f>
        <v>1646729.49</v>
      </c>
      <c r="H405" s="70">
        <f t="shared" si="102"/>
        <v>2386123</v>
      </c>
      <c r="I405" s="70">
        <f t="shared" si="102"/>
        <v>2386123</v>
      </c>
      <c r="P405" s="17"/>
      <c r="Q405" s="17"/>
      <c r="R405" s="17"/>
      <c r="S405" s="17"/>
      <c r="T405" s="17"/>
    </row>
    <row r="406" spans="1:20" s="18" customFormat="1" ht="25.5">
      <c r="A406" s="16" t="s">
        <v>30</v>
      </c>
      <c r="B406" s="15" t="s">
        <v>94</v>
      </c>
      <c r="C406" s="15" t="s">
        <v>26</v>
      </c>
      <c r="D406" s="15" t="s">
        <v>28</v>
      </c>
      <c r="E406" s="15" t="s">
        <v>883</v>
      </c>
      <c r="F406" s="15" t="s">
        <v>31</v>
      </c>
      <c r="G406" s="70">
        <f t="shared" si="102"/>
        <v>1646729.49</v>
      </c>
      <c r="H406" s="70">
        <f t="shared" si="102"/>
        <v>2386123</v>
      </c>
      <c r="I406" s="70">
        <f t="shared" si="102"/>
        <v>2386123</v>
      </c>
      <c r="P406" s="17"/>
      <c r="Q406" s="17"/>
      <c r="R406" s="17"/>
      <c r="S406" s="17"/>
      <c r="T406" s="17"/>
    </row>
    <row r="407" spans="1:20">
      <c r="A407" s="16" t="s">
        <v>32</v>
      </c>
      <c r="B407" s="15" t="s">
        <v>94</v>
      </c>
      <c r="C407" s="15" t="s">
        <v>26</v>
      </c>
      <c r="D407" s="15" t="s">
        <v>28</v>
      </c>
      <c r="E407" s="15" t="s">
        <v>883</v>
      </c>
      <c r="F407" s="15" t="s">
        <v>33</v>
      </c>
      <c r="G407" s="70">
        <f>'прил 5,'!G625</f>
        <v>1646729.49</v>
      </c>
      <c r="H407" s="70">
        <f>'прил 5,'!H625</f>
        <v>2386123</v>
      </c>
      <c r="I407" s="70">
        <f>'прил 5,'!I625</f>
        <v>2386123</v>
      </c>
      <c r="J407" s="1"/>
    </row>
    <row r="408" spans="1:20" ht="16.5" hidden="1" customHeight="1">
      <c r="A408" s="16" t="s">
        <v>1</v>
      </c>
      <c r="B408" s="15" t="s">
        <v>94</v>
      </c>
      <c r="C408" s="15" t="s">
        <v>26</v>
      </c>
      <c r="D408" s="15" t="s">
        <v>28</v>
      </c>
      <c r="E408" s="15" t="s">
        <v>550</v>
      </c>
      <c r="F408" s="15"/>
      <c r="G408" s="70">
        <f t="shared" ref="G408:I408" si="103">G409</f>
        <v>0</v>
      </c>
      <c r="H408" s="70">
        <f t="shared" si="103"/>
        <v>0</v>
      </c>
      <c r="I408" s="70">
        <f t="shared" si="103"/>
        <v>0</v>
      </c>
      <c r="J408" s="1"/>
      <c r="P408" s="1"/>
      <c r="Q408" s="1"/>
      <c r="R408" s="1"/>
      <c r="S408" s="1"/>
      <c r="T408" s="1"/>
    </row>
    <row r="409" spans="1:20" ht="24.75" hidden="1" customHeight="1">
      <c r="A409" s="16" t="s">
        <v>30</v>
      </c>
      <c r="B409" s="15" t="s">
        <v>94</v>
      </c>
      <c r="C409" s="15" t="s">
        <v>26</v>
      </c>
      <c r="D409" s="15" t="s">
        <v>28</v>
      </c>
      <c r="E409" s="15" t="s">
        <v>550</v>
      </c>
      <c r="F409" s="15" t="s">
        <v>31</v>
      </c>
      <c r="G409" s="70">
        <f>G410</f>
        <v>0</v>
      </c>
      <c r="H409" s="70">
        <f>H410</f>
        <v>0</v>
      </c>
      <c r="I409" s="70">
        <f>I410</f>
        <v>0</v>
      </c>
      <c r="J409" s="1"/>
      <c r="P409" s="1"/>
      <c r="Q409" s="1"/>
      <c r="R409" s="1"/>
      <c r="S409" s="1"/>
      <c r="T409" s="1"/>
    </row>
    <row r="410" spans="1:20" hidden="1">
      <c r="A410" s="16" t="s">
        <v>32</v>
      </c>
      <c r="B410" s="15" t="s">
        <v>94</v>
      </c>
      <c r="C410" s="15" t="s">
        <v>26</v>
      </c>
      <c r="D410" s="15" t="s">
        <v>28</v>
      </c>
      <c r="E410" s="15" t="s">
        <v>550</v>
      </c>
      <c r="F410" s="15" t="s">
        <v>33</v>
      </c>
      <c r="G410" s="70">
        <f>'прил 5,'!G845</f>
        <v>0</v>
      </c>
      <c r="H410" s="70">
        <f>'прил 5,'!H845</f>
        <v>0</v>
      </c>
      <c r="I410" s="70">
        <f>'прил 5,'!I845</f>
        <v>0</v>
      </c>
      <c r="J410" s="1"/>
      <c r="P410" s="1"/>
      <c r="Q410" s="1"/>
      <c r="R410" s="1"/>
      <c r="S410" s="1"/>
      <c r="T410" s="1"/>
    </row>
    <row r="411" spans="1:20" ht="74.25" customHeight="1">
      <c r="A411" s="82" t="s">
        <v>764</v>
      </c>
      <c r="B411" s="84" t="s">
        <v>94</v>
      </c>
      <c r="C411" s="84" t="s">
        <v>26</v>
      </c>
      <c r="D411" s="84" t="s">
        <v>28</v>
      </c>
      <c r="E411" s="84" t="s">
        <v>762</v>
      </c>
      <c r="F411" s="15"/>
      <c r="G411" s="70">
        <f>G414+G412</f>
        <v>0</v>
      </c>
      <c r="H411" s="70">
        <f t="shared" ref="H411:I411" si="104">H414+H412</f>
        <v>1000000</v>
      </c>
      <c r="I411" s="70">
        <f t="shared" si="104"/>
        <v>1000000</v>
      </c>
      <c r="J411" s="1"/>
    </row>
    <row r="412" spans="1:20" ht="25.5" hidden="1">
      <c r="A412" s="16" t="s">
        <v>96</v>
      </c>
      <c r="B412" s="15" t="s">
        <v>94</v>
      </c>
      <c r="C412" s="15" t="s">
        <v>26</v>
      </c>
      <c r="D412" s="15" t="s">
        <v>28</v>
      </c>
      <c r="E412" s="15" t="s">
        <v>737</v>
      </c>
      <c r="F412" s="15" t="s">
        <v>348</v>
      </c>
      <c r="G412" s="70">
        <f>G413</f>
        <v>0</v>
      </c>
      <c r="H412" s="70">
        <f>H413</f>
        <v>0</v>
      </c>
      <c r="I412" s="70">
        <f>I413</f>
        <v>0</v>
      </c>
      <c r="J412" s="1"/>
    </row>
    <row r="413" spans="1:20" s="3" customFormat="1" ht="89.25" hidden="1">
      <c r="A413" s="16" t="s">
        <v>420</v>
      </c>
      <c r="B413" s="14">
        <v>774</v>
      </c>
      <c r="C413" s="15" t="s">
        <v>26</v>
      </c>
      <c r="D413" s="15" t="s">
        <v>28</v>
      </c>
      <c r="E413" s="15" t="s">
        <v>737</v>
      </c>
      <c r="F413" s="15" t="s">
        <v>419</v>
      </c>
      <c r="G413" s="163"/>
      <c r="H413" s="70">
        <v>0</v>
      </c>
      <c r="I413" s="70">
        <v>0</v>
      </c>
      <c r="P413" s="111"/>
      <c r="Q413" s="111"/>
      <c r="R413" s="111"/>
      <c r="S413" s="111"/>
      <c r="T413" s="111"/>
    </row>
    <row r="414" spans="1:20" ht="25.5">
      <c r="A414" s="16" t="s">
        <v>30</v>
      </c>
      <c r="B414" s="15" t="s">
        <v>94</v>
      </c>
      <c r="C414" s="15" t="s">
        <v>26</v>
      </c>
      <c r="D414" s="15" t="s">
        <v>28</v>
      </c>
      <c r="E414" s="15" t="s">
        <v>762</v>
      </c>
      <c r="F414" s="15" t="s">
        <v>31</v>
      </c>
      <c r="G414" s="70">
        <f>G415</f>
        <v>0</v>
      </c>
      <c r="H414" s="70">
        <f t="shared" ref="H414:I414" si="105">H415</f>
        <v>1000000</v>
      </c>
      <c r="I414" s="70">
        <f t="shared" si="105"/>
        <v>1000000</v>
      </c>
      <c r="J414" s="1"/>
    </row>
    <row r="415" spans="1:20">
      <c r="A415" s="16" t="s">
        <v>32</v>
      </c>
      <c r="B415" s="15" t="s">
        <v>94</v>
      </c>
      <c r="C415" s="15" t="s">
        <v>26</v>
      </c>
      <c r="D415" s="15" t="s">
        <v>28</v>
      </c>
      <c r="E415" s="15" t="s">
        <v>762</v>
      </c>
      <c r="F415" s="15" t="s">
        <v>33</v>
      </c>
      <c r="G415" s="70">
        <f>'прил 5,'!G599</f>
        <v>0</v>
      </c>
      <c r="H415" s="70">
        <f>'прил 5,'!H599</f>
        <v>1000000</v>
      </c>
      <c r="I415" s="70">
        <f>'прил 5,'!I599</f>
        <v>1000000</v>
      </c>
      <c r="J415" s="1"/>
    </row>
    <row r="416" spans="1:20" ht="24.75" customHeight="1">
      <c r="A416" s="82" t="s">
        <v>944</v>
      </c>
      <c r="B416" s="84" t="s">
        <v>94</v>
      </c>
      <c r="C416" s="84" t="s">
        <v>26</v>
      </c>
      <c r="D416" s="84" t="s">
        <v>28</v>
      </c>
      <c r="E416" s="84" t="s">
        <v>943</v>
      </c>
      <c r="F416" s="15"/>
      <c r="G416" s="70">
        <f>G420+G417</f>
        <v>400000</v>
      </c>
      <c r="H416" s="70">
        <f t="shared" ref="H416:I416" si="106">H420</f>
        <v>0</v>
      </c>
      <c r="I416" s="70">
        <f t="shared" si="106"/>
        <v>0</v>
      </c>
      <c r="J416" s="1"/>
    </row>
    <row r="417" spans="1:20" ht="25.5">
      <c r="A417" s="16" t="s">
        <v>30</v>
      </c>
      <c r="B417" s="15" t="s">
        <v>94</v>
      </c>
      <c r="C417" s="15" t="s">
        <v>26</v>
      </c>
      <c r="D417" s="15" t="s">
        <v>28</v>
      </c>
      <c r="E417" s="15" t="s">
        <v>943</v>
      </c>
      <c r="F417" s="15" t="s">
        <v>31</v>
      </c>
      <c r="G417" s="70">
        <f>G418</f>
        <v>0</v>
      </c>
      <c r="H417" s="70">
        <f>H418</f>
        <v>0</v>
      </c>
      <c r="I417" s="70">
        <f>I418</f>
        <v>0</v>
      </c>
      <c r="J417" s="1"/>
    </row>
    <row r="418" spans="1:20" s="3" customFormat="1">
      <c r="A418" s="16" t="s">
        <v>32</v>
      </c>
      <c r="B418" s="14">
        <v>774</v>
      </c>
      <c r="C418" s="15" t="s">
        <v>26</v>
      </c>
      <c r="D418" s="15" t="s">
        <v>28</v>
      </c>
      <c r="E418" s="15" t="s">
        <v>943</v>
      </c>
      <c r="F418" s="15" t="s">
        <v>33</v>
      </c>
      <c r="G418" s="70"/>
      <c r="H418" s="70">
        <v>0</v>
      </c>
      <c r="I418" s="70">
        <v>0</v>
      </c>
      <c r="P418" s="111"/>
      <c r="Q418" s="111"/>
      <c r="R418" s="111"/>
      <c r="S418" s="111"/>
      <c r="T418" s="111"/>
    </row>
    <row r="419" spans="1:20" ht="57" customHeight="1">
      <c r="A419" s="82" t="s">
        <v>763</v>
      </c>
      <c r="B419" s="84" t="s">
        <v>94</v>
      </c>
      <c r="C419" s="15" t="s">
        <v>26</v>
      </c>
      <c r="D419" s="15" t="s">
        <v>28</v>
      </c>
      <c r="E419" s="84" t="s">
        <v>761</v>
      </c>
      <c r="F419" s="15"/>
      <c r="G419" s="70">
        <f>G420</f>
        <v>400000</v>
      </c>
      <c r="H419" s="70">
        <f t="shared" ref="H419:I419" si="107">H420</f>
        <v>0</v>
      </c>
      <c r="I419" s="70">
        <f t="shared" si="107"/>
        <v>0</v>
      </c>
      <c r="J419" s="177"/>
      <c r="K419" s="186"/>
      <c r="L419" s="186"/>
      <c r="M419" s="186"/>
      <c r="N419" s="186"/>
      <c r="O419" s="186"/>
      <c r="P419" s="186"/>
      <c r="Q419" s="186"/>
      <c r="R419" s="186"/>
      <c r="S419" s="1"/>
      <c r="T419" s="1"/>
    </row>
    <row r="420" spans="1:20" ht="25.5">
      <c r="A420" s="16" t="s">
        <v>30</v>
      </c>
      <c r="B420" s="15" t="s">
        <v>94</v>
      </c>
      <c r="C420" s="15" t="s">
        <v>26</v>
      </c>
      <c r="D420" s="15" t="s">
        <v>28</v>
      </c>
      <c r="E420" s="15" t="s">
        <v>761</v>
      </c>
      <c r="F420" s="15" t="s">
        <v>31</v>
      </c>
      <c r="G420" s="70">
        <f>G421</f>
        <v>400000</v>
      </c>
      <c r="H420" s="70">
        <f>H421</f>
        <v>0</v>
      </c>
      <c r="I420" s="70">
        <f>I421</f>
        <v>0</v>
      </c>
      <c r="J420" s="1"/>
    </row>
    <row r="421" spans="1:20">
      <c r="A421" s="16" t="s">
        <v>32</v>
      </c>
      <c r="B421" s="15" t="s">
        <v>94</v>
      </c>
      <c r="C421" s="15" t="s">
        <v>26</v>
      </c>
      <c r="D421" s="15" t="s">
        <v>28</v>
      </c>
      <c r="E421" s="15" t="s">
        <v>761</v>
      </c>
      <c r="F421" s="15" t="s">
        <v>33</v>
      </c>
      <c r="G421" s="70">
        <f>'прил 5,'!G604</f>
        <v>400000</v>
      </c>
      <c r="H421" s="70">
        <v>0</v>
      </c>
      <c r="I421" s="70">
        <v>0</v>
      </c>
      <c r="J421" s="1"/>
    </row>
    <row r="422" spans="1:20" ht="32.25" customHeight="1">
      <c r="A422" s="16" t="s">
        <v>142</v>
      </c>
      <c r="B422" s="15" t="s">
        <v>94</v>
      </c>
      <c r="C422" s="15" t="s">
        <v>26</v>
      </c>
      <c r="D422" s="15" t="s">
        <v>28</v>
      </c>
      <c r="E422" s="15" t="s">
        <v>717</v>
      </c>
      <c r="F422" s="15"/>
      <c r="G422" s="70">
        <f t="shared" ref="G422:I422" si="108">G423</f>
        <v>280242.99</v>
      </c>
      <c r="H422" s="70">
        <f t="shared" si="108"/>
        <v>160000</v>
      </c>
      <c r="I422" s="70">
        <f t="shared" si="108"/>
        <v>160000</v>
      </c>
      <c r="J422" s="1"/>
    </row>
    <row r="423" spans="1:20" ht="25.5">
      <c r="A423" s="16" t="s">
        <v>30</v>
      </c>
      <c r="B423" s="15" t="s">
        <v>94</v>
      </c>
      <c r="C423" s="15" t="s">
        <v>26</v>
      </c>
      <c r="D423" s="15" t="s">
        <v>28</v>
      </c>
      <c r="E423" s="15" t="s">
        <v>717</v>
      </c>
      <c r="F423" s="15" t="s">
        <v>31</v>
      </c>
      <c r="G423" s="70">
        <f>G424</f>
        <v>280242.99</v>
      </c>
      <c r="H423" s="70">
        <f>H424</f>
        <v>160000</v>
      </c>
      <c r="I423" s="70">
        <f>I424</f>
        <v>160000</v>
      </c>
      <c r="J423" s="1"/>
    </row>
    <row r="424" spans="1:20">
      <c r="A424" s="16" t="s">
        <v>32</v>
      </c>
      <c r="B424" s="15" t="s">
        <v>94</v>
      </c>
      <c r="C424" s="15" t="s">
        <v>26</v>
      </c>
      <c r="D424" s="15" t="s">
        <v>28</v>
      </c>
      <c r="E424" s="15" t="s">
        <v>717</v>
      </c>
      <c r="F424" s="15" t="s">
        <v>33</v>
      </c>
      <c r="G424" s="70">
        <f>'прил 5,'!G607</f>
        <v>280242.99</v>
      </c>
      <c r="H424" s="70">
        <f>'прил 5,'!H607</f>
        <v>160000</v>
      </c>
      <c r="I424" s="70">
        <f>'прил 5,'!I607</f>
        <v>160000</v>
      </c>
      <c r="J424" s="1"/>
    </row>
    <row r="425" spans="1:20" ht="33" hidden="1" customHeight="1">
      <c r="A425" s="16" t="s">
        <v>957</v>
      </c>
      <c r="B425" s="15" t="s">
        <v>94</v>
      </c>
      <c r="C425" s="15" t="s">
        <v>26</v>
      </c>
      <c r="D425" s="15" t="s">
        <v>28</v>
      </c>
      <c r="E425" s="15" t="s">
        <v>956</v>
      </c>
      <c r="F425" s="15"/>
      <c r="G425" s="70">
        <f>G426</f>
        <v>0</v>
      </c>
      <c r="H425" s="70"/>
      <c r="I425" s="70"/>
      <c r="J425" s="177"/>
      <c r="K425" s="186"/>
      <c r="L425" s="186"/>
      <c r="M425" s="186"/>
      <c r="N425" s="186"/>
      <c r="O425" s="186"/>
      <c r="P425" s="186"/>
      <c r="Q425" s="186"/>
      <c r="R425" s="186"/>
      <c r="S425" s="1"/>
      <c r="T425" s="1"/>
    </row>
    <row r="426" spans="1:20" ht="24.75" hidden="1" customHeight="1">
      <c r="A426" s="16" t="s">
        <v>30</v>
      </c>
      <c r="B426" s="15" t="s">
        <v>94</v>
      </c>
      <c r="C426" s="15" t="s">
        <v>26</v>
      </c>
      <c r="D426" s="15" t="s">
        <v>28</v>
      </c>
      <c r="E426" s="15" t="s">
        <v>956</v>
      </c>
      <c r="F426" s="15" t="s">
        <v>31</v>
      </c>
      <c r="G426" s="70">
        <f>G427</f>
        <v>0</v>
      </c>
      <c r="H426" s="70"/>
      <c r="I426" s="70"/>
      <c r="J426" s="177"/>
      <c r="K426" s="186"/>
      <c r="L426" s="186"/>
      <c r="M426" s="186"/>
      <c r="N426" s="186"/>
      <c r="O426" s="186"/>
      <c r="P426" s="186"/>
      <c r="Q426" s="186"/>
      <c r="R426" s="186"/>
      <c r="S426" s="1"/>
      <c r="T426" s="1"/>
    </row>
    <row r="427" spans="1:20" ht="19.5" hidden="1" customHeight="1">
      <c r="A427" s="16" t="s">
        <v>32</v>
      </c>
      <c r="B427" s="15" t="s">
        <v>94</v>
      </c>
      <c r="C427" s="15" t="s">
        <v>26</v>
      </c>
      <c r="D427" s="15" t="s">
        <v>28</v>
      </c>
      <c r="E427" s="15" t="s">
        <v>956</v>
      </c>
      <c r="F427" s="15" t="s">
        <v>33</v>
      </c>
      <c r="G427" s="87"/>
      <c r="H427" s="70"/>
      <c r="I427" s="70"/>
      <c r="J427" s="177"/>
      <c r="K427" s="186"/>
      <c r="L427" s="186"/>
      <c r="M427" s="186"/>
      <c r="N427" s="186"/>
      <c r="O427" s="186"/>
      <c r="P427" s="186"/>
      <c r="Q427" s="186"/>
      <c r="R427" s="186"/>
      <c r="S427" s="1"/>
      <c r="T427" s="1"/>
    </row>
    <row r="428" spans="1:20" ht="16.5" hidden="1" customHeight="1">
      <c r="A428" s="16" t="s">
        <v>1</v>
      </c>
      <c r="B428" s="15" t="s">
        <v>94</v>
      </c>
      <c r="C428" s="15" t="s">
        <v>26</v>
      </c>
      <c r="D428" s="15" t="s">
        <v>28</v>
      </c>
      <c r="E428" s="15" t="s">
        <v>550</v>
      </c>
      <c r="F428" s="15"/>
      <c r="G428" s="70">
        <f t="shared" ref="G428:I428" si="109">G429</f>
        <v>0</v>
      </c>
      <c r="H428" s="70">
        <f t="shared" si="109"/>
        <v>0</v>
      </c>
      <c r="I428" s="70">
        <f t="shared" si="109"/>
        <v>0</v>
      </c>
      <c r="J428" s="1"/>
    </row>
    <row r="429" spans="1:20" ht="24.75" hidden="1" customHeight="1">
      <c r="A429" s="16" t="s">
        <v>30</v>
      </c>
      <c r="B429" s="15" t="s">
        <v>94</v>
      </c>
      <c r="C429" s="15" t="s">
        <v>26</v>
      </c>
      <c r="D429" s="15" t="s">
        <v>28</v>
      </c>
      <c r="E429" s="15" t="s">
        <v>550</v>
      </c>
      <c r="F429" s="15" t="s">
        <v>31</v>
      </c>
      <c r="G429" s="70">
        <f>G430</f>
        <v>0</v>
      </c>
      <c r="H429" s="70">
        <f>H430</f>
        <v>0</v>
      </c>
      <c r="I429" s="70">
        <f>I430</f>
        <v>0</v>
      </c>
      <c r="J429" s="1"/>
    </row>
    <row r="430" spans="1:20" hidden="1">
      <c r="A430" s="16" t="s">
        <v>32</v>
      </c>
      <c r="B430" s="15" t="s">
        <v>94</v>
      </c>
      <c r="C430" s="15" t="s">
        <v>26</v>
      </c>
      <c r="D430" s="15" t="s">
        <v>28</v>
      </c>
      <c r="E430" s="15" t="s">
        <v>550</v>
      </c>
      <c r="F430" s="15" t="s">
        <v>33</v>
      </c>
      <c r="G430" s="70">
        <f>'прил 5,'!G610</f>
        <v>0</v>
      </c>
      <c r="H430" s="70"/>
      <c r="I430" s="70"/>
      <c r="J430" s="1"/>
    </row>
    <row r="431" spans="1:20" ht="33" customHeight="1">
      <c r="A431" s="16" t="s">
        <v>983</v>
      </c>
      <c r="B431" s="15" t="s">
        <v>94</v>
      </c>
      <c r="C431" s="15" t="s">
        <v>26</v>
      </c>
      <c r="D431" s="15" t="s">
        <v>123</v>
      </c>
      <c r="E431" s="15" t="s">
        <v>956</v>
      </c>
      <c r="F431" s="15"/>
      <c r="G431" s="70">
        <f>G432</f>
        <v>100000</v>
      </c>
      <c r="H431" s="70">
        <f t="shared" ref="H431:I432" si="110">H432</f>
        <v>0</v>
      </c>
      <c r="I431" s="70">
        <f t="shared" si="110"/>
        <v>0</v>
      </c>
      <c r="J431" s="177"/>
      <c r="K431" s="186"/>
      <c r="L431" s="186"/>
      <c r="M431" s="186"/>
      <c r="N431" s="186"/>
      <c r="O431" s="186"/>
      <c r="P431" s="186"/>
      <c r="Q431" s="186"/>
      <c r="R431" s="186"/>
      <c r="S431" s="1"/>
      <c r="T431" s="1"/>
    </row>
    <row r="432" spans="1:20" ht="24.75" customHeight="1">
      <c r="A432" s="16" t="s">
        <v>36</v>
      </c>
      <c r="B432" s="15" t="s">
        <v>94</v>
      </c>
      <c r="C432" s="15" t="s">
        <v>26</v>
      </c>
      <c r="D432" s="15" t="s">
        <v>123</v>
      </c>
      <c r="E432" s="15" t="s">
        <v>956</v>
      </c>
      <c r="F432" s="15" t="s">
        <v>37</v>
      </c>
      <c r="G432" s="70">
        <f>G433</f>
        <v>100000</v>
      </c>
      <c r="H432" s="70">
        <f t="shared" si="110"/>
        <v>0</v>
      </c>
      <c r="I432" s="70">
        <f t="shared" si="110"/>
        <v>0</v>
      </c>
      <c r="J432" s="177"/>
      <c r="K432" s="186"/>
      <c r="L432" s="186"/>
      <c r="M432" s="186"/>
      <c r="N432" s="186"/>
      <c r="O432" s="186"/>
      <c r="P432" s="186"/>
      <c r="Q432" s="186"/>
      <c r="R432" s="186"/>
      <c r="S432" s="1"/>
      <c r="T432" s="1"/>
    </row>
    <row r="433" spans="1:20" ht="19.5" customHeight="1">
      <c r="A433" s="16" t="s">
        <v>38</v>
      </c>
      <c r="B433" s="15" t="s">
        <v>94</v>
      </c>
      <c r="C433" s="15" t="s">
        <v>26</v>
      </c>
      <c r="D433" s="15" t="s">
        <v>123</v>
      </c>
      <c r="E433" s="15" t="s">
        <v>956</v>
      </c>
      <c r="F433" s="15" t="s">
        <v>39</v>
      </c>
      <c r="G433" s="87">
        <v>100000</v>
      </c>
      <c r="H433" s="70">
        <v>0</v>
      </c>
      <c r="I433" s="70">
        <v>0</v>
      </c>
      <c r="J433" s="177"/>
      <c r="K433" s="186"/>
      <c r="L433" s="186"/>
      <c r="M433" s="186"/>
      <c r="N433" s="186"/>
      <c r="O433" s="186"/>
      <c r="P433" s="186"/>
      <c r="Q433" s="186"/>
      <c r="R433" s="186"/>
      <c r="S433" s="1"/>
      <c r="T433" s="1"/>
    </row>
    <row r="434" spans="1:20" s="18" customFormat="1" ht="57.75" customHeight="1">
      <c r="A434" s="181" t="s">
        <v>1042</v>
      </c>
      <c r="B434" s="15" t="s">
        <v>94</v>
      </c>
      <c r="C434" s="15" t="s">
        <v>26</v>
      </c>
      <c r="D434" s="15" t="s">
        <v>123</v>
      </c>
      <c r="E434" s="15" t="s">
        <v>1041</v>
      </c>
      <c r="F434" s="15"/>
      <c r="G434" s="70">
        <f t="shared" ref="G434:I435" si="111">G435</f>
        <v>4524.1400000000003</v>
      </c>
      <c r="H434" s="70">
        <f t="shared" si="111"/>
        <v>0</v>
      </c>
      <c r="I434" s="70">
        <f t="shared" si="111"/>
        <v>0</v>
      </c>
      <c r="J434" s="177"/>
      <c r="K434" s="200"/>
      <c r="L434" s="200"/>
      <c r="M434" s="200"/>
      <c r="N434" s="200"/>
      <c r="O434" s="200"/>
      <c r="P434" s="200"/>
      <c r="Q434" s="200"/>
      <c r="R434" s="200"/>
    </row>
    <row r="435" spans="1:20" s="18" customFormat="1">
      <c r="A435" s="16" t="s">
        <v>148</v>
      </c>
      <c r="B435" s="15" t="s">
        <v>94</v>
      </c>
      <c r="C435" s="15" t="s">
        <v>26</v>
      </c>
      <c r="D435" s="15" t="s">
        <v>123</v>
      </c>
      <c r="E435" s="15" t="s">
        <v>1041</v>
      </c>
      <c r="F435" s="15" t="s">
        <v>149</v>
      </c>
      <c r="G435" s="70">
        <f t="shared" si="111"/>
        <v>4524.1400000000003</v>
      </c>
      <c r="H435" s="70">
        <f t="shared" si="111"/>
        <v>0</v>
      </c>
      <c r="I435" s="70">
        <f t="shared" si="111"/>
        <v>0</v>
      </c>
      <c r="J435" s="177"/>
      <c r="K435" s="200"/>
      <c r="L435" s="200"/>
      <c r="M435" s="200"/>
      <c r="N435" s="200"/>
      <c r="O435" s="200"/>
      <c r="P435" s="200"/>
      <c r="Q435" s="200"/>
      <c r="R435" s="200"/>
    </row>
    <row r="436" spans="1:20" s="18" customFormat="1">
      <c r="A436" s="16" t="s">
        <v>921</v>
      </c>
      <c r="B436" s="15" t="s">
        <v>94</v>
      </c>
      <c r="C436" s="15" t="s">
        <v>26</v>
      </c>
      <c r="D436" s="15" t="s">
        <v>123</v>
      </c>
      <c r="E436" s="15" t="s">
        <v>1041</v>
      </c>
      <c r="F436" s="15" t="s">
        <v>918</v>
      </c>
      <c r="G436" s="70">
        <f>'прил 5,'!G990</f>
        <v>4524.1400000000003</v>
      </c>
      <c r="H436" s="70"/>
      <c r="I436" s="70"/>
      <c r="J436" s="177"/>
      <c r="K436" s="200"/>
      <c r="L436" s="200"/>
      <c r="M436" s="200"/>
      <c r="N436" s="200"/>
      <c r="O436" s="200"/>
      <c r="P436" s="200"/>
      <c r="Q436" s="200"/>
      <c r="R436" s="200"/>
    </row>
    <row r="437" spans="1:20" s="18" customFormat="1" ht="38.25">
      <c r="A437" s="181" t="s">
        <v>881</v>
      </c>
      <c r="B437" s="15" t="s">
        <v>94</v>
      </c>
      <c r="C437" s="15" t="s">
        <v>26</v>
      </c>
      <c r="D437" s="15" t="s">
        <v>123</v>
      </c>
      <c r="E437" s="15" t="s">
        <v>880</v>
      </c>
      <c r="F437" s="15"/>
      <c r="G437" s="70">
        <f t="shared" ref="G437:I438" si="112">G438</f>
        <v>160919.54</v>
      </c>
      <c r="H437" s="70">
        <f t="shared" si="112"/>
        <v>106202</v>
      </c>
      <c r="I437" s="70">
        <f t="shared" si="112"/>
        <v>106202</v>
      </c>
      <c r="J437" s="177"/>
      <c r="K437" s="200"/>
      <c r="L437" s="200"/>
      <c r="M437" s="200"/>
      <c r="N437" s="200"/>
      <c r="O437" s="200"/>
      <c r="P437" s="200"/>
      <c r="Q437" s="200"/>
      <c r="R437" s="200"/>
    </row>
    <row r="438" spans="1:20" s="18" customFormat="1">
      <c r="A438" s="16" t="s">
        <v>148</v>
      </c>
      <c r="B438" s="15" t="s">
        <v>94</v>
      </c>
      <c r="C438" s="15" t="s">
        <v>26</v>
      </c>
      <c r="D438" s="15" t="s">
        <v>123</v>
      </c>
      <c r="E438" s="15" t="s">
        <v>880</v>
      </c>
      <c r="F438" s="15" t="s">
        <v>149</v>
      </c>
      <c r="G438" s="70">
        <f t="shared" si="112"/>
        <v>160919.54</v>
      </c>
      <c r="H438" s="70">
        <f t="shared" si="112"/>
        <v>106202</v>
      </c>
      <c r="I438" s="70">
        <f t="shared" si="112"/>
        <v>106202</v>
      </c>
      <c r="J438" s="177"/>
      <c r="K438" s="200"/>
      <c r="L438" s="200"/>
      <c r="M438" s="200"/>
      <c r="N438" s="200"/>
      <c r="O438" s="200"/>
      <c r="P438" s="200"/>
      <c r="Q438" s="200"/>
      <c r="R438" s="200"/>
    </row>
    <row r="439" spans="1:20" s="18" customFormat="1">
      <c r="A439" s="16" t="s">
        <v>921</v>
      </c>
      <c r="B439" s="15" t="s">
        <v>94</v>
      </c>
      <c r="C439" s="15" t="s">
        <v>26</v>
      </c>
      <c r="D439" s="15" t="s">
        <v>123</v>
      </c>
      <c r="E439" s="15" t="s">
        <v>880</v>
      </c>
      <c r="F439" s="15" t="s">
        <v>918</v>
      </c>
      <c r="G439" s="70">
        <f>'прил 5,'!G993</f>
        <v>160919.54</v>
      </c>
      <c r="H439" s="70">
        <f>52800+53402</f>
        <v>106202</v>
      </c>
      <c r="I439" s="70">
        <f>53402+52800</f>
        <v>106202</v>
      </c>
      <c r="J439" s="177"/>
      <c r="K439" s="200"/>
      <c r="L439" s="200"/>
      <c r="M439" s="200"/>
      <c r="N439" s="200"/>
      <c r="O439" s="200"/>
      <c r="P439" s="200"/>
      <c r="Q439" s="200"/>
      <c r="R439" s="200"/>
    </row>
    <row r="440" spans="1:20" s="18" customFormat="1" ht="31.5" customHeight="1">
      <c r="A440" s="42" t="s">
        <v>125</v>
      </c>
      <c r="B440" s="15" t="s">
        <v>94</v>
      </c>
      <c r="C440" s="15" t="s">
        <v>26</v>
      </c>
      <c r="D440" s="15" t="s">
        <v>123</v>
      </c>
      <c r="E440" s="15" t="s">
        <v>226</v>
      </c>
      <c r="F440" s="15"/>
      <c r="G440" s="70">
        <f t="shared" ref="G440:I441" si="113">G441</f>
        <v>888490</v>
      </c>
      <c r="H440" s="70">
        <f t="shared" si="113"/>
        <v>888490</v>
      </c>
      <c r="I440" s="70">
        <f t="shared" si="113"/>
        <v>888490</v>
      </c>
      <c r="J440" s="110">
        <v>40000</v>
      </c>
      <c r="P440" s="17"/>
      <c r="Q440" s="17"/>
      <c r="R440" s="17"/>
      <c r="S440" s="17"/>
      <c r="T440" s="17"/>
    </row>
    <row r="441" spans="1:20" s="18" customFormat="1" ht="25.5">
      <c r="A441" s="16" t="s">
        <v>30</v>
      </c>
      <c r="B441" s="15" t="s">
        <v>94</v>
      </c>
      <c r="C441" s="15" t="s">
        <v>26</v>
      </c>
      <c r="D441" s="15" t="s">
        <v>123</v>
      </c>
      <c r="E441" s="15" t="s">
        <v>226</v>
      </c>
      <c r="F441" s="15" t="s">
        <v>31</v>
      </c>
      <c r="G441" s="70">
        <f t="shared" si="113"/>
        <v>888490</v>
      </c>
      <c r="H441" s="70">
        <f t="shared" si="113"/>
        <v>888490</v>
      </c>
      <c r="I441" s="70">
        <f t="shared" si="113"/>
        <v>888490</v>
      </c>
      <c r="J441" s="110">
        <v>5480300</v>
      </c>
      <c r="P441" s="17"/>
      <c r="Q441" s="17"/>
      <c r="R441" s="17"/>
      <c r="S441" s="17"/>
      <c r="T441" s="17"/>
    </row>
    <row r="442" spans="1:20">
      <c r="A442" s="16" t="s">
        <v>32</v>
      </c>
      <c r="B442" s="15" t="s">
        <v>94</v>
      </c>
      <c r="C442" s="15" t="s">
        <v>26</v>
      </c>
      <c r="D442" s="15" t="s">
        <v>123</v>
      </c>
      <c r="E442" s="15" t="s">
        <v>226</v>
      </c>
      <c r="F442" s="15" t="s">
        <v>33</v>
      </c>
      <c r="G442" s="70">
        <f>'прил 5,'!G503</f>
        <v>888490</v>
      </c>
      <c r="H442" s="70">
        <f>'прил 5,'!H503</f>
        <v>888490</v>
      </c>
      <c r="I442" s="70">
        <f>'прил 5,'!I503</f>
        <v>888490</v>
      </c>
      <c r="J442" s="110">
        <v>500000</v>
      </c>
    </row>
    <row r="443" spans="1:20" s="3" customFormat="1" hidden="1">
      <c r="A443" s="16"/>
      <c r="B443" s="14">
        <v>774</v>
      </c>
      <c r="C443" s="15" t="s">
        <v>26</v>
      </c>
      <c r="D443" s="15" t="s">
        <v>28</v>
      </c>
      <c r="E443" s="84"/>
      <c r="F443" s="15"/>
      <c r="G443" s="70">
        <f t="shared" ref="G443:I444" si="114">G444</f>
        <v>0</v>
      </c>
      <c r="H443" s="70">
        <f t="shared" si="114"/>
        <v>0</v>
      </c>
      <c r="I443" s="70">
        <f t="shared" si="114"/>
        <v>0</v>
      </c>
      <c r="J443" s="111"/>
      <c r="P443" s="111"/>
      <c r="Q443" s="111"/>
      <c r="R443" s="111"/>
      <c r="S443" s="111"/>
      <c r="T443" s="111"/>
    </row>
    <row r="444" spans="1:20" s="3" customFormat="1" ht="25.5" hidden="1">
      <c r="A444" s="16" t="s">
        <v>30</v>
      </c>
      <c r="B444" s="14">
        <v>774</v>
      </c>
      <c r="C444" s="15" t="s">
        <v>26</v>
      </c>
      <c r="D444" s="15" t="s">
        <v>28</v>
      </c>
      <c r="E444" s="15" t="s">
        <v>550</v>
      </c>
      <c r="F444" s="15" t="s">
        <v>31</v>
      </c>
      <c r="G444" s="70">
        <f t="shared" si="114"/>
        <v>0</v>
      </c>
      <c r="H444" s="87">
        <f t="shared" si="114"/>
        <v>0</v>
      </c>
      <c r="I444" s="87">
        <f t="shared" si="114"/>
        <v>0</v>
      </c>
      <c r="J444" s="111"/>
      <c r="P444" s="111"/>
      <c r="Q444" s="111"/>
      <c r="R444" s="111"/>
      <c r="S444" s="111"/>
      <c r="T444" s="111"/>
    </row>
    <row r="445" spans="1:20" s="3" customFormat="1" hidden="1">
      <c r="A445" s="16" t="s">
        <v>32</v>
      </c>
      <c r="B445" s="14">
        <v>774</v>
      </c>
      <c r="C445" s="15" t="s">
        <v>26</v>
      </c>
      <c r="D445" s="15" t="s">
        <v>28</v>
      </c>
      <c r="E445" s="15" t="s">
        <v>550</v>
      </c>
      <c r="F445" s="15" t="s">
        <v>33</v>
      </c>
      <c r="G445" s="70">
        <f>'прил 5,'!G631</f>
        <v>0</v>
      </c>
      <c r="H445" s="70">
        <f>'прил 5,'!H631</f>
        <v>0</v>
      </c>
      <c r="I445" s="70">
        <f>'прил 5,'!I631</f>
        <v>0</v>
      </c>
      <c r="J445" s="111"/>
      <c r="P445" s="111"/>
      <c r="Q445" s="111"/>
      <c r="R445" s="111"/>
      <c r="S445" s="111"/>
      <c r="T445" s="111"/>
    </row>
    <row r="446" spans="1:20" s="18" customFormat="1" ht="63.75" hidden="1">
      <c r="A446" s="16" t="s">
        <v>121</v>
      </c>
      <c r="B446" s="15" t="s">
        <v>94</v>
      </c>
      <c r="C446" s="15" t="s">
        <v>26</v>
      </c>
      <c r="D446" s="15" t="s">
        <v>28</v>
      </c>
      <c r="E446" s="15" t="s">
        <v>387</v>
      </c>
      <c r="F446" s="15"/>
      <c r="G446" s="70">
        <f t="shared" ref="G446:I447" si="115">G447</f>
        <v>0</v>
      </c>
      <c r="H446" s="87">
        <f t="shared" si="115"/>
        <v>0</v>
      </c>
      <c r="I446" s="87">
        <f t="shared" si="115"/>
        <v>0</v>
      </c>
      <c r="J446" s="17">
        <v>12965665</v>
      </c>
      <c r="P446" s="17"/>
      <c r="Q446" s="17"/>
      <c r="R446" s="17"/>
      <c r="S446" s="17"/>
      <c r="T446" s="17"/>
    </row>
    <row r="447" spans="1:20" s="18" customFormat="1" ht="25.5" hidden="1">
      <c r="A447" s="16" t="s">
        <v>30</v>
      </c>
      <c r="B447" s="15" t="s">
        <v>94</v>
      </c>
      <c r="C447" s="15" t="s">
        <v>26</v>
      </c>
      <c r="D447" s="15" t="s">
        <v>28</v>
      </c>
      <c r="E447" s="15" t="s">
        <v>387</v>
      </c>
      <c r="F447" s="15" t="s">
        <v>31</v>
      </c>
      <c r="G447" s="70">
        <f t="shared" si="115"/>
        <v>0</v>
      </c>
      <c r="H447" s="87">
        <f t="shared" si="115"/>
        <v>0</v>
      </c>
      <c r="I447" s="87">
        <f t="shared" si="115"/>
        <v>0</v>
      </c>
      <c r="J447" s="17">
        <v>685206</v>
      </c>
      <c r="P447" s="17"/>
      <c r="Q447" s="17"/>
      <c r="R447" s="17"/>
      <c r="S447" s="17"/>
      <c r="T447" s="17"/>
    </row>
    <row r="448" spans="1:20" s="18" customFormat="1" hidden="1">
      <c r="A448" s="16" t="s">
        <v>32</v>
      </c>
      <c r="B448" s="15" t="s">
        <v>94</v>
      </c>
      <c r="C448" s="15" t="s">
        <v>26</v>
      </c>
      <c r="D448" s="15" t="s">
        <v>28</v>
      </c>
      <c r="E448" s="15" t="s">
        <v>387</v>
      </c>
      <c r="F448" s="15" t="s">
        <v>33</v>
      </c>
      <c r="G448" s="70"/>
      <c r="H448" s="87"/>
      <c r="I448" s="87"/>
      <c r="J448" s="17">
        <v>649200</v>
      </c>
      <c r="P448" s="17"/>
      <c r="Q448" s="17"/>
      <c r="R448" s="17"/>
      <c r="S448" s="17"/>
      <c r="T448" s="17"/>
    </row>
    <row r="449" spans="1:20" s="3" customFormat="1" hidden="1">
      <c r="A449" s="16" t="s">
        <v>429</v>
      </c>
      <c r="B449" s="14">
        <v>774</v>
      </c>
      <c r="C449" s="15" t="s">
        <v>26</v>
      </c>
      <c r="D449" s="15" t="s">
        <v>28</v>
      </c>
      <c r="E449" s="15" t="s">
        <v>549</v>
      </c>
      <c r="F449" s="15"/>
      <c r="G449" s="70">
        <f>G450</f>
        <v>1803468</v>
      </c>
      <c r="H449" s="70">
        <f>H450</f>
        <v>0</v>
      </c>
      <c r="I449" s="70">
        <f>I450</f>
        <v>0</v>
      </c>
      <c r="P449" s="111"/>
      <c r="Q449" s="111"/>
      <c r="R449" s="111"/>
      <c r="S449" s="111"/>
      <c r="T449" s="111"/>
    </row>
    <row r="450" spans="1:20" s="3" customFormat="1" hidden="1">
      <c r="A450" s="16" t="s">
        <v>32</v>
      </c>
      <c r="B450" s="14">
        <v>774</v>
      </c>
      <c r="C450" s="15" t="s">
        <v>26</v>
      </c>
      <c r="D450" s="15" t="s">
        <v>28</v>
      </c>
      <c r="E450" s="15" t="s">
        <v>549</v>
      </c>
      <c r="F450" s="15" t="s">
        <v>33</v>
      </c>
      <c r="G450" s="70">
        <f>'прил 5,'!G613</f>
        <v>1803468</v>
      </c>
      <c r="H450" s="70"/>
      <c r="I450" s="70"/>
      <c r="P450" s="111"/>
      <c r="Q450" s="111"/>
      <c r="R450" s="111"/>
      <c r="S450" s="111"/>
      <c r="T450" s="111"/>
    </row>
    <row r="451" spans="1:20" ht="54.75" customHeight="1">
      <c r="A451" s="16" t="s">
        <v>692</v>
      </c>
      <c r="B451" s="15" t="s">
        <v>94</v>
      </c>
      <c r="C451" s="15" t="s">
        <v>26</v>
      </c>
      <c r="D451" s="15" t="s">
        <v>28</v>
      </c>
      <c r="E451" s="15" t="s">
        <v>647</v>
      </c>
      <c r="F451" s="15"/>
      <c r="G451" s="70">
        <f t="shared" ref="G451:I452" si="116">G452</f>
        <v>30279350</v>
      </c>
      <c r="H451" s="70">
        <f t="shared" si="116"/>
        <v>30279350</v>
      </c>
      <c r="I451" s="70">
        <f t="shared" si="116"/>
        <v>31162470</v>
      </c>
      <c r="J451" s="1"/>
    </row>
    <row r="452" spans="1:20" ht="25.5">
      <c r="A452" s="16" t="s">
        <v>30</v>
      </c>
      <c r="B452" s="15" t="s">
        <v>94</v>
      </c>
      <c r="C452" s="15" t="s">
        <v>26</v>
      </c>
      <c r="D452" s="15" t="s">
        <v>28</v>
      </c>
      <c r="E452" s="15" t="s">
        <v>647</v>
      </c>
      <c r="F452" s="15" t="s">
        <v>31</v>
      </c>
      <c r="G452" s="70">
        <f>G453</f>
        <v>30279350</v>
      </c>
      <c r="H452" s="70">
        <f t="shared" si="116"/>
        <v>30279350</v>
      </c>
      <c r="I452" s="70">
        <f t="shared" si="116"/>
        <v>31162470</v>
      </c>
      <c r="J452" s="1"/>
    </row>
    <row r="453" spans="1:20">
      <c r="A453" s="16" t="s">
        <v>32</v>
      </c>
      <c r="B453" s="15" t="s">
        <v>94</v>
      </c>
      <c r="C453" s="15" t="s">
        <v>26</v>
      </c>
      <c r="D453" s="15" t="s">
        <v>28</v>
      </c>
      <c r="E453" s="15" t="s">
        <v>647</v>
      </c>
      <c r="F453" s="15" t="s">
        <v>33</v>
      </c>
      <c r="G453" s="70">
        <f>'прил 5,'!G643</f>
        <v>30279350</v>
      </c>
      <c r="H453" s="70">
        <f>'прил 5,'!H643</f>
        <v>30279350</v>
      </c>
      <c r="I453" s="70">
        <f>'прил 5,'!I643</f>
        <v>31162470</v>
      </c>
      <c r="J453" s="1"/>
    </row>
    <row r="454" spans="1:20" ht="63" hidden="1" customHeight="1">
      <c r="A454" s="16" t="s">
        <v>414</v>
      </c>
      <c r="B454" s="15" t="s">
        <v>94</v>
      </c>
      <c r="C454" s="15" t="s">
        <v>26</v>
      </c>
      <c r="D454" s="15" t="s">
        <v>28</v>
      </c>
      <c r="E454" s="15" t="s">
        <v>777</v>
      </c>
      <c r="F454" s="15"/>
      <c r="G454" s="70">
        <f t="shared" ref="G454:I454" si="117">G455</f>
        <v>0</v>
      </c>
      <c r="H454" s="70">
        <f t="shared" si="117"/>
        <v>0</v>
      </c>
      <c r="I454" s="70">
        <f t="shared" si="117"/>
        <v>0</v>
      </c>
      <c r="J454" s="1"/>
    </row>
    <row r="455" spans="1:20" ht="25.5" hidden="1">
      <c r="A455" s="16" t="s">
        <v>30</v>
      </c>
      <c r="B455" s="15" t="s">
        <v>94</v>
      </c>
      <c r="C455" s="15" t="s">
        <v>26</v>
      </c>
      <c r="D455" s="15" t="s">
        <v>28</v>
      </c>
      <c r="E455" s="15" t="s">
        <v>777</v>
      </c>
      <c r="F455" s="15" t="s">
        <v>31</v>
      </c>
      <c r="G455" s="70">
        <f>G456</f>
        <v>0</v>
      </c>
      <c r="H455" s="70">
        <f>H456</f>
        <v>0</v>
      </c>
      <c r="I455" s="70">
        <f>I456</f>
        <v>0</v>
      </c>
      <c r="J455" s="1"/>
    </row>
    <row r="456" spans="1:20" hidden="1">
      <c r="A456" s="16" t="s">
        <v>32</v>
      </c>
      <c r="B456" s="15" t="s">
        <v>94</v>
      </c>
      <c r="C456" s="15" t="s">
        <v>26</v>
      </c>
      <c r="D456" s="15" t="s">
        <v>28</v>
      </c>
      <c r="E456" s="15" t="s">
        <v>777</v>
      </c>
      <c r="F456" s="15" t="s">
        <v>33</v>
      </c>
      <c r="G456" s="70"/>
      <c r="H456" s="70"/>
      <c r="I456" s="70"/>
      <c r="J456" s="1"/>
    </row>
    <row r="457" spans="1:20" s="28" customFormat="1" ht="54.75" customHeight="1">
      <c r="A457" s="13" t="s">
        <v>154</v>
      </c>
      <c r="B457" s="15" t="s">
        <v>94</v>
      </c>
      <c r="C457" s="15" t="s">
        <v>69</v>
      </c>
      <c r="D457" s="15" t="s">
        <v>54</v>
      </c>
      <c r="E457" s="15" t="s">
        <v>437</v>
      </c>
      <c r="F457" s="39"/>
      <c r="G457" s="70">
        <f t="shared" ref="G457:I458" si="118">G458</f>
        <v>12066889.92</v>
      </c>
      <c r="H457" s="70">
        <f t="shared" si="118"/>
        <v>8040737.3899999997</v>
      </c>
      <c r="I457" s="70">
        <f t="shared" si="118"/>
        <v>8417019.6300000008</v>
      </c>
      <c r="J457" s="109">
        <v>9188400</v>
      </c>
      <c r="P457" s="109"/>
      <c r="Q457" s="109"/>
      <c r="R457" s="109"/>
      <c r="S457" s="109"/>
      <c r="T457" s="109"/>
    </row>
    <row r="458" spans="1:20" s="28" customFormat="1" ht="25.5">
      <c r="A458" s="16" t="s">
        <v>30</v>
      </c>
      <c r="B458" s="15" t="s">
        <v>94</v>
      </c>
      <c r="C458" s="15" t="s">
        <v>69</v>
      </c>
      <c r="D458" s="15" t="s">
        <v>54</v>
      </c>
      <c r="E458" s="15" t="s">
        <v>437</v>
      </c>
      <c r="F458" s="15" t="s">
        <v>31</v>
      </c>
      <c r="G458" s="70">
        <f t="shared" si="118"/>
        <v>12066889.92</v>
      </c>
      <c r="H458" s="70">
        <f t="shared" si="118"/>
        <v>8040737.3899999997</v>
      </c>
      <c r="I458" s="70">
        <f t="shared" si="118"/>
        <v>8417019.6300000008</v>
      </c>
      <c r="J458" s="109">
        <f>SUM(J354:J457)</f>
        <v>951066568</v>
      </c>
      <c r="P458" s="109"/>
      <c r="Q458" s="109"/>
      <c r="R458" s="109"/>
      <c r="S458" s="109"/>
      <c r="T458" s="109"/>
    </row>
    <row r="459" spans="1:20">
      <c r="A459" s="16" t="s">
        <v>32</v>
      </c>
      <c r="B459" s="15" t="s">
        <v>94</v>
      </c>
      <c r="C459" s="15" t="s">
        <v>69</v>
      </c>
      <c r="D459" s="15" t="s">
        <v>54</v>
      </c>
      <c r="E459" s="15" t="s">
        <v>437</v>
      </c>
      <c r="F459" s="15" t="s">
        <v>33</v>
      </c>
      <c r="G459" s="70">
        <f>'прил 5,'!G1030</f>
        <v>12066889.92</v>
      </c>
      <c r="H459" s="70">
        <f>'прил 5,'!H1030</f>
        <v>8040737.3899999997</v>
      </c>
      <c r="I459" s="70">
        <f>'прил 5,'!I1030</f>
        <v>8417019.6300000008</v>
      </c>
    </row>
    <row r="460" spans="1:20" s="28" customFormat="1" ht="54.75" hidden="1" customHeight="1">
      <c r="A460" s="13" t="s">
        <v>589</v>
      </c>
      <c r="B460" s="15" t="s">
        <v>94</v>
      </c>
      <c r="C460" s="15" t="s">
        <v>69</v>
      </c>
      <c r="D460" s="15" t="s">
        <v>54</v>
      </c>
      <c r="E460" s="15" t="s">
        <v>588</v>
      </c>
      <c r="F460" s="39"/>
      <c r="G460" s="70">
        <f t="shared" ref="G460:I461" si="119">G461</f>
        <v>0</v>
      </c>
      <c r="H460" s="70">
        <f t="shared" si="119"/>
        <v>0</v>
      </c>
      <c r="I460" s="70">
        <f t="shared" si="119"/>
        <v>0</v>
      </c>
      <c r="P460" s="109"/>
      <c r="Q460" s="109"/>
      <c r="R460" s="109"/>
      <c r="S460" s="109"/>
      <c r="T460" s="109"/>
    </row>
    <row r="461" spans="1:20" s="28" customFormat="1" ht="33" hidden="1" customHeight="1">
      <c r="A461" s="16" t="s">
        <v>30</v>
      </c>
      <c r="B461" s="15" t="s">
        <v>94</v>
      </c>
      <c r="C461" s="15" t="s">
        <v>69</v>
      </c>
      <c r="D461" s="15" t="s">
        <v>54</v>
      </c>
      <c r="E461" s="15" t="s">
        <v>588</v>
      </c>
      <c r="F461" s="15" t="s">
        <v>31</v>
      </c>
      <c r="G461" s="70">
        <f t="shared" si="119"/>
        <v>0</v>
      </c>
      <c r="H461" s="70">
        <f t="shared" si="119"/>
        <v>0</v>
      </c>
      <c r="I461" s="70">
        <f t="shared" si="119"/>
        <v>0</v>
      </c>
      <c r="P461" s="109"/>
      <c r="Q461" s="109"/>
      <c r="R461" s="109"/>
      <c r="S461" s="109"/>
      <c r="T461" s="109"/>
    </row>
    <row r="462" spans="1:20" hidden="1">
      <c r="A462" s="16" t="s">
        <v>32</v>
      </c>
      <c r="B462" s="15" t="s">
        <v>94</v>
      </c>
      <c r="C462" s="15" t="s">
        <v>69</v>
      </c>
      <c r="D462" s="15" t="s">
        <v>54</v>
      </c>
      <c r="E462" s="15" t="s">
        <v>588</v>
      </c>
      <c r="F462" s="15" t="s">
        <v>33</v>
      </c>
      <c r="G462" s="70"/>
      <c r="H462" s="70">
        <v>0</v>
      </c>
      <c r="I462" s="70">
        <v>0</v>
      </c>
      <c r="J462" s="1"/>
    </row>
    <row r="463" spans="1:20" s="3" customFormat="1" ht="45" hidden="1" customHeight="1">
      <c r="A463" s="16" t="s">
        <v>742</v>
      </c>
      <c r="B463" s="14">
        <v>774</v>
      </c>
      <c r="C463" s="15" t="s">
        <v>26</v>
      </c>
      <c r="D463" s="15" t="s">
        <v>19</v>
      </c>
      <c r="E463" s="15" t="s">
        <v>728</v>
      </c>
      <c r="F463" s="15"/>
      <c r="G463" s="70">
        <f>G464</f>
        <v>0</v>
      </c>
      <c r="H463" s="70">
        <f>H464</f>
        <v>0</v>
      </c>
      <c r="I463" s="70">
        <f>I464</f>
        <v>0</v>
      </c>
      <c r="P463" s="111"/>
      <c r="Q463" s="111"/>
      <c r="R463" s="111"/>
      <c r="S463" s="111"/>
      <c r="T463" s="111"/>
    </row>
    <row r="464" spans="1:20" s="3" customFormat="1" hidden="1">
      <c r="A464" s="16" t="s">
        <v>32</v>
      </c>
      <c r="B464" s="14">
        <v>774</v>
      </c>
      <c r="C464" s="15" t="s">
        <v>26</v>
      </c>
      <c r="D464" s="15" t="s">
        <v>19</v>
      </c>
      <c r="E464" s="15" t="s">
        <v>728</v>
      </c>
      <c r="F464" s="15" t="s">
        <v>33</v>
      </c>
      <c r="G464" s="70">
        <f>'прил 5,'!G508</f>
        <v>0</v>
      </c>
      <c r="H464" s="70">
        <f>'прил 5,'!H508</f>
        <v>0</v>
      </c>
      <c r="I464" s="70">
        <f>'прил 5,'!I508</f>
        <v>0</v>
      </c>
      <c r="P464" s="111"/>
      <c r="Q464" s="111"/>
      <c r="R464" s="111"/>
      <c r="S464" s="111"/>
      <c r="T464" s="111"/>
    </row>
    <row r="465" spans="1:20" s="18" customFormat="1" ht="45.75" hidden="1" customHeight="1">
      <c r="A465" s="42"/>
      <c r="B465" s="15"/>
      <c r="C465" s="15"/>
      <c r="D465" s="15"/>
      <c r="E465" s="15"/>
      <c r="F465" s="15"/>
      <c r="G465" s="70"/>
      <c r="H465" s="70"/>
      <c r="I465" s="70"/>
      <c r="P465" s="17"/>
      <c r="Q465" s="17"/>
      <c r="R465" s="17"/>
      <c r="S465" s="17"/>
      <c r="T465" s="17"/>
    </row>
    <row r="466" spans="1:20" s="18" customFormat="1" hidden="1">
      <c r="A466" s="16"/>
      <c r="B466" s="15"/>
      <c r="C466" s="15"/>
      <c r="D466" s="15"/>
      <c r="E466" s="15"/>
      <c r="F466" s="15"/>
      <c r="G466" s="70"/>
      <c r="H466" s="70"/>
      <c r="I466" s="70"/>
      <c r="P466" s="17"/>
      <c r="Q466" s="17"/>
      <c r="R466" s="17"/>
      <c r="S466" s="17"/>
      <c r="T466" s="17"/>
    </row>
    <row r="467" spans="1:20" hidden="1">
      <c r="A467" s="16"/>
      <c r="B467" s="15"/>
      <c r="C467" s="15"/>
      <c r="D467" s="15"/>
      <c r="E467" s="15"/>
      <c r="F467" s="15"/>
      <c r="G467" s="70"/>
      <c r="H467" s="70"/>
      <c r="I467" s="70"/>
      <c r="J467" s="1"/>
    </row>
    <row r="468" spans="1:20" s="18" customFormat="1" ht="42.75" hidden="1" customHeight="1">
      <c r="A468" s="42"/>
      <c r="B468" s="15"/>
      <c r="C468" s="15"/>
      <c r="D468" s="15"/>
      <c r="E468" s="15"/>
      <c r="F468" s="15"/>
      <c r="G468" s="70"/>
      <c r="H468" s="70"/>
      <c r="I468" s="70"/>
      <c r="P468" s="17"/>
      <c r="Q468" s="17"/>
      <c r="R468" s="17"/>
      <c r="S468" s="17"/>
      <c r="T468" s="17"/>
    </row>
    <row r="469" spans="1:20" s="18" customFormat="1" hidden="1">
      <c r="A469" s="16"/>
      <c r="B469" s="15"/>
      <c r="C469" s="15"/>
      <c r="D469" s="15"/>
      <c r="E469" s="15"/>
      <c r="F469" s="15"/>
      <c r="G469" s="70"/>
      <c r="H469" s="70"/>
      <c r="I469" s="70"/>
      <c r="P469" s="17"/>
      <c r="Q469" s="17"/>
      <c r="R469" s="17"/>
      <c r="S469" s="17"/>
      <c r="T469" s="17"/>
    </row>
    <row r="470" spans="1:20" hidden="1">
      <c r="A470" s="16"/>
      <c r="B470" s="15"/>
      <c r="C470" s="15"/>
      <c r="D470" s="15"/>
      <c r="E470" s="15"/>
      <c r="F470" s="15"/>
      <c r="G470" s="70"/>
      <c r="H470" s="70"/>
      <c r="I470" s="70"/>
      <c r="J470" s="1"/>
    </row>
    <row r="471" spans="1:20" s="3" customFormat="1" ht="42.75" customHeight="1">
      <c r="A471" s="16" t="s">
        <v>741</v>
      </c>
      <c r="B471" s="14">
        <v>774</v>
      </c>
      <c r="C471" s="15" t="s">
        <v>26</v>
      </c>
      <c r="D471" s="15" t="s">
        <v>19</v>
      </c>
      <c r="E471" s="15" t="s">
        <v>728</v>
      </c>
      <c r="F471" s="15"/>
      <c r="G471" s="70">
        <f>G472</f>
        <v>101833</v>
      </c>
      <c r="H471" s="70">
        <f t="shared" ref="H471:I471" si="120">H472</f>
        <v>0</v>
      </c>
      <c r="I471" s="70">
        <f t="shared" si="120"/>
        <v>0</v>
      </c>
      <c r="P471" s="111"/>
      <c r="Q471" s="111"/>
      <c r="R471" s="111"/>
      <c r="S471" s="111"/>
      <c r="T471" s="111"/>
    </row>
    <row r="472" spans="1:20" s="18" customFormat="1" ht="89.25">
      <c r="A472" s="80" t="s">
        <v>372</v>
      </c>
      <c r="B472" s="15" t="s">
        <v>94</v>
      </c>
      <c r="C472" s="15" t="s">
        <v>26</v>
      </c>
      <c r="D472" s="15" t="s">
        <v>28</v>
      </c>
      <c r="E472" s="15" t="s">
        <v>666</v>
      </c>
      <c r="F472" s="15"/>
      <c r="G472" s="70">
        <f t="shared" ref="G472:I473" si="121">G473</f>
        <v>101833</v>
      </c>
      <c r="H472" s="70">
        <f t="shared" si="121"/>
        <v>0</v>
      </c>
      <c r="I472" s="70">
        <f t="shared" si="121"/>
        <v>0</v>
      </c>
      <c r="P472" s="17"/>
      <c r="Q472" s="17"/>
      <c r="R472" s="17"/>
      <c r="S472" s="17"/>
      <c r="T472" s="17"/>
    </row>
    <row r="473" spans="1:20" s="18" customFormat="1" ht="25.5">
      <c r="A473" s="16" t="s">
        <v>30</v>
      </c>
      <c r="B473" s="15" t="s">
        <v>94</v>
      </c>
      <c r="C473" s="15" t="s">
        <v>26</v>
      </c>
      <c r="D473" s="15" t="s">
        <v>28</v>
      </c>
      <c r="E473" s="15" t="s">
        <v>666</v>
      </c>
      <c r="F473" s="15" t="s">
        <v>31</v>
      </c>
      <c r="G473" s="70">
        <f t="shared" si="121"/>
        <v>101833</v>
      </c>
      <c r="H473" s="70">
        <f t="shared" si="121"/>
        <v>0</v>
      </c>
      <c r="I473" s="70">
        <f t="shared" si="121"/>
        <v>0</v>
      </c>
      <c r="P473" s="17"/>
      <c r="Q473" s="17"/>
      <c r="R473" s="17"/>
      <c r="S473" s="17"/>
      <c r="T473" s="17"/>
    </row>
    <row r="474" spans="1:20" s="18" customFormat="1">
      <c r="A474" s="16" t="s">
        <v>32</v>
      </c>
      <c r="B474" s="15" t="s">
        <v>94</v>
      </c>
      <c r="C474" s="15" t="s">
        <v>26</v>
      </c>
      <c r="D474" s="15" t="s">
        <v>28</v>
      </c>
      <c r="E474" s="15" t="s">
        <v>666</v>
      </c>
      <c r="F474" s="15" t="s">
        <v>33</v>
      </c>
      <c r="G474" s="70">
        <f>'прил 5,'!G628</f>
        <v>101833</v>
      </c>
      <c r="H474" s="70">
        <f>'прил 5,'!H628</f>
        <v>0</v>
      </c>
      <c r="I474" s="70">
        <f>'прил 5,'!I628</f>
        <v>0</v>
      </c>
      <c r="P474" s="17"/>
      <c r="Q474" s="17"/>
      <c r="R474" s="17"/>
      <c r="S474" s="17"/>
      <c r="T474" s="17"/>
    </row>
    <row r="475" spans="1:20" s="3" customFormat="1" ht="63.75" hidden="1">
      <c r="A475" s="16" t="s">
        <v>892</v>
      </c>
      <c r="B475" s="14">
        <v>774</v>
      </c>
      <c r="C475" s="15" t="s">
        <v>26</v>
      </c>
      <c r="D475" s="15" t="s">
        <v>28</v>
      </c>
      <c r="E475" s="15" t="s">
        <v>778</v>
      </c>
      <c r="F475" s="15"/>
      <c r="G475" s="70">
        <f>G477</f>
        <v>0</v>
      </c>
      <c r="H475" s="70">
        <f t="shared" ref="H475:I475" si="122">H477</f>
        <v>0</v>
      </c>
      <c r="I475" s="70">
        <f t="shared" si="122"/>
        <v>0</v>
      </c>
      <c r="P475" s="111"/>
      <c r="Q475" s="111"/>
      <c r="R475" s="111"/>
      <c r="S475" s="111"/>
      <c r="T475" s="111"/>
    </row>
    <row r="476" spans="1:20" ht="25.5" hidden="1">
      <c r="A476" s="16" t="s">
        <v>30</v>
      </c>
      <c r="B476" s="15" t="s">
        <v>94</v>
      </c>
      <c r="C476" s="15" t="s">
        <v>26</v>
      </c>
      <c r="D476" s="15" t="s">
        <v>28</v>
      </c>
      <c r="E476" s="15" t="s">
        <v>778</v>
      </c>
      <c r="F476" s="15" t="s">
        <v>31</v>
      </c>
      <c r="G476" s="70">
        <f>G477</f>
        <v>0</v>
      </c>
      <c r="H476" s="70">
        <f t="shared" ref="H476:I476" si="123">H477</f>
        <v>0</v>
      </c>
      <c r="I476" s="70">
        <f t="shared" si="123"/>
        <v>0</v>
      </c>
      <c r="J476" s="1"/>
    </row>
    <row r="477" spans="1:20" s="3" customFormat="1" hidden="1">
      <c r="A477" s="16" t="s">
        <v>32</v>
      </c>
      <c r="B477" s="14">
        <v>774</v>
      </c>
      <c r="C477" s="15" t="s">
        <v>26</v>
      </c>
      <c r="D477" s="15" t="s">
        <v>28</v>
      </c>
      <c r="E477" s="15" t="s">
        <v>778</v>
      </c>
      <c r="F477" s="15" t="s">
        <v>33</v>
      </c>
      <c r="G477" s="164"/>
      <c r="H477" s="70"/>
      <c r="I477" s="70"/>
      <c r="P477" s="111"/>
      <c r="Q477" s="111"/>
      <c r="R477" s="111"/>
      <c r="S477" s="111"/>
      <c r="T477" s="111"/>
    </row>
    <row r="478" spans="1:20" s="3" customFormat="1" ht="25.5" hidden="1">
      <c r="A478" s="16" t="s">
        <v>675</v>
      </c>
      <c r="B478" s="14">
        <v>774</v>
      </c>
      <c r="C478" s="15" t="s">
        <v>26</v>
      </c>
      <c r="D478" s="15" t="s">
        <v>70</v>
      </c>
      <c r="E478" s="84" t="s">
        <v>720</v>
      </c>
      <c r="F478" s="15"/>
      <c r="G478" s="70">
        <f t="shared" ref="G478:I479" si="124">G479</f>
        <v>0</v>
      </c>
      <c r="H478" s="70">
        <f t="shared" si="124"/>
        <v>0</v>
      </c>
      <c r="I478" s="70">
        <f t="shared" si="124"/>
        <v>0</v>
      </c>
      <c r="P478" s="111"/>
      <c r="Q478" s="111"/>
      <c r="R478" s="111"/>
      <c r="S478" s="111"/>
      <c r="T478" s="111"/>
    </row>
    <row r="479" spans="1:20" s="3" customFormat="1" ht="25.5" hidden="1">
      <c r="A479" s="16" t="s">
        <v>30</v>
      </c>
      <c r="B479" s="14">
        <v>774</v>
      </c>
      <c r="C479" s="15" t="s">
        <v>26</v>
      </c>
      <c r="D479" s="15" t="s">
        <v>70</v>
      </c>
      <c r="E479" s="84" t="s">
        <v>720</v>
      </c>
      <c r="F479" s="15" t="s">
        <v>31</v>
      </c>
      <c r="G479" s="70">
        <f t="shared" si="124"/>
        <v>0</v>
      </c>
      <c r="H479" s="70">
        <f t="shared" si="124"/>
        <v>0</v>
      </c>
      <c r="I479" s="70">
        <f t="shared" si="124"/>
        <v>0</v>
      </c>
      <c r="P479" s="111"/>
      <c r="Q479" s="111"/>
      <c r="R479" s="111"/>
      <c r="S479" s="111"/>
      <c r="T479" s="111"/>
    </row>
    <row r="480" spans="1:20" s="3" customFormat="1" hidden="1">
      <c r="A480" s="16" t="s">
        <v>32</v>
      </c>
      <c r="B480" s="14">
        <v>774</v>
      </c>
      <c r="C480" s="15" t="s">
        <v>26</v>
      </c>
      <c r="D480" s="15" t="s">
        <v>70</v>
      </c>
      <c r="E480" s="84" t="s">
        <v>720</v>
      </c>
      <c r="F480" s="15" t="s">
        <v>33</v>
      </c>
      <c r="G480" s="70">
        <f>'прил 5,'!G826</f>
        <v>0</v>
      </c>
      <c r="H480" s="70">
        <v>0</v>
      </c>
      <c r="I480" s="70">
        <v>0</v>
      </c>
      <c r="P480" s="111"/>
      <c r="Q480" s="111"/>
      <c r="R480" s="111"/>
      <c r="S480" s="111"/>
      <c r="T480" s="111"/>
    </row>
    <row r="481" spans="1:20" ht="39.75" customHeight="1">
      <c r="A481" s="16" t="s">
        <v>635</v>
      </c>
      <c r="B481" s="14">
        <v>774</v>
      </c>
      <c r="C481" s="15" t="s">
        <v>26</v>
      </c>
      <c r="D481" s="15" t="s">
        <v>70</v>
      </c>
      <c r="E481" s="15" t="s">
        <v>649</v>
      </c>
      <c r="F481" s="15"/>
      <c r="G481" s="70">
        <f>G482+G486</f>
        <v>3245713.93</v>
      </c>
      <c r="H481" s="70">
        <f t="shared" ref="H481:O481" si="125">H482+H486</f>
        <v>3265100.28</v>
      </c>
      <c r="I481" s="70">
        <f t="shared" si="125"/>
        <v>3321435.53</v>
      </c>
      <c r="J481" s="70">
        <f t="shared" si="125"/>
        <v>0</v>
      </c>
      <c r="K481" s="70">
        <f t="shared" si="125"/>
        <v>0</v>
      </c>
      <c r="L481" s="70">
        <f t="shared" si="125"/>
        <v>0</v>
      </c>
      <c r="M481" s="70">
        <f t="shared" si="125"/>
        <v>0</v>
      </c>
      <c r="N481" s="70">
        <f t="shared" si="125"/>
        <v>0</v>
      </c>
      <c r="O481" s="70">
        <f t="shared" si="125"/>
        <v>0</v>
      </c>
    </row>
    <row r="482" spans="1:20" ht="34.5" customHeight="1">
      <c r="A482" s="16" t="s">
        <v>30</v>
      </c>
      <c r="B482" s="14">
        <v>774</v>
      </c>
      <c r="C482" s="15" t="s">
        <v>26</v>
      </c>
      <c r="D482" s="15" t="s">
        <v>70</v>
      </c>
      <c r="E482" s="15" t="s">
        <v>649</v>
      </c>
      <c r="F482" s="15" t="s">
        <v>31</v>
      </c>
      <c r="G482" s="70">
        <f>G483+G484+G485</f>
        <v>3171860.29</v>
      </c>
      <c r="H482" s="70">
        <f t="shared" ref="H482:I482" si="126">H483+H484+H485</f>
        <v>3190448.78</v>
      </c>
      <c r="I482" s="70">
        <f t="shared" si="126"/>
        <v>3245644.28</v>
      </c>
      <c r="J482" s="1"/>
    </row>
    <row r="483" spans="1:20" ht="15" customHeight="1">
      <c r="A483" s="16" t="s">
        <v>32</v>
      </c>
      <c r="B483" s="14">
        <v>774</v>
      </c>
      <c r="C483" s="15" t="s">
        <v>26</v>
      </c>
      <c r="D483" s="15" t="s">
        <v>70</v>
      </c>
      <c r="E483" s="15" t="s">
        <v>649</v>
      </c>
      <c r="F483" s="15" t="s">
        <v>33</v>
      </c>
      <c r="G483" s="70">
        <f>'прил 5,'!G838</f>
        <v>3024153.01</v>
      </c>
      <c r="H483" s="70">
        <f>'прил 5,'!H838</f>
        <v>3041145.78</v>
      </c>
      <c r="I483" s="70">
        <f>'прил 5,'!I838</f>
        <v>3094061.78</v>
      </c>
      <c r="J483" s="1"/>
    </row>
    <row r="484" spans="1:20" ht="15" customHeight="1">
      <c r="A484" s="16" t="s">
        <v>634</v>
      </c>
      <c r="B484" s="14">
        <v>774</v>
      </c>
      <c r="C484" s="15" t="s">
        <v>26</v>
      </c>
      <c r="D484" s="15" t="s">
        <v>70</v>
      </c>
      <c r="E484" s="15" t="s">
        <v>649</v>
      </c>
      <c r="F484" s="15" t="s">
        <v>633</v>
      </c>
      <c r="G484" s="70">
        <f>'прил 5,'!G839</f>
        <v>73853.64</v>
      </c>
      <c r="H484" s="70">
        <f>'прил 5,'!H839</f>
        <v>74651.5</v>
      </c>
      <c r="I484" s="70">
        <f>'прил 5,'!I839</f>
        <v>75791.25</v>
      </c>
      <c r="J484" s="1"/>
    </row>
    <row r="485" spans="1:20" ht="36" customHeight="1">
      <c r="A485" s="16" t="s">
        <v>9</v>
      </c>
      <c r="B485" s="14">
        <v>774</v>
      </c>
      <c r="C485" s="15" t="s">
        <v>26</v>
      </c>
      <c r="D485" s="15" t="s">
        <v>70</v>
      </c>
      <c r="E485" s="15" t="s">
        <v>649</v>
      </c>
      <c r="F485" s="15" t="s">
        <v>8</v>
      </c>
      <c r="G485" s="70">
        <f>'прил 5,'!G840</f>
        <v>73853.64</v>
      </c>
      <c r="H485" s="70">
        <f>'прил 5,'!H840</f>
        <v>74651.5</v>
      </c>
      <c r="I485" s="70">
        <f>'прил 5,'!I840</f>
        <v>75791.25</v>
      </c>
      <c r="J485" s="1"/>
    </row>
    <row r="486" spans="1:20" ht="15" customHeight="1">
      <c r="A486" s="16" t="s">
        <v>63</v>
      </c>
      <c r="B486" s="14">
        <v>774</v>
      </c>
      <c r="C486" s="15" t="s">
        <v>26</v>
      </c>
      <c r="D486" s="15" t="s">
        <v>70</v>
      </c>
      <c r="E486" s="15" t="s">
        <v>649</v>
      </c>
      <c r="F486" s="15" t="s">
        <v>64</v>
      </c>
      <c r="G486" s="70">
        <f>G487</f>
        <v>73853.64</v>
      </c>
      <c r="H486" s="70">
        <f t="shared" ref="H486:I486" si="127">H487</f>
        <v>74651.5</v>
      </c>
      <c r="I486" s="70">
        <f t="shared" si="127"/>
        <v>75791.25</v>
      </c>
      <c r="J486" s="1"/>
    </row>
    <row r="487" spans="1:20" ht="51.75" customHeight="1">
      <c r="A487" s="16" t="s">
        <v>432</v>
      </c>
      <c r="B487" s="14">
        <v>774</v>
      </c>
      <c r="C487" s="15" t="s">
        <v>26</v>
      </c>
      <c r="D487" s="15" t="s">
        <v>70</v>
      </c>
      <c r="E487" s="15" t="s">
        <v>649</v>
      </c>
      <c r="F487" s="15" t="s">
        <v>341</v>
      </c>
      <c r="G487" s="70">
        <f>'прил 5,'!G842</f>
        <v>73853.64</v>
      </c>
      <c r="H487" s="70">
        <f>'прил 5,'!H842</f>
        <v>74651.5</v>
      </c>
      <c r="I487" s="70">
        <f>'прил 5,'!I842</f>
        <v>75791.25</v>
      </c>
      <c r="J487" s="1"/>
    </row>
    <row r="488" spans="1:20" s="3" customFormat="1" ht="78.75" hidden="1" customHeight="1">
      <c r="A488" s="16" t="s">
        <v>739</v>
      </c>
      <c r="B488" s="14">
        <v>774</v>
      </c>
      <c r="C488" s="15" t="s">
        <v>26</v>
      </c>
      <c r="D488" s="15" t="s">
        <v>28</v>
      </c>
      <c r="E488" s="15" t="s">
        <v>709</v>
      </c>
      <c r="F488" s="15"/>
      <c r="G488" s="70">
        <f>G490</f>
        <v>0</v>
      </c>
      <c r="H488" s="70">
        <f>H490</f>
        <v>0</v>
      </c>
      <c r="I488" s="70">
        <f>I490</f>
        <v>0</v>
      </c>
      <c r="P488" s="111"/>
      <c r="Q488" s="111"/>
      <c r="R488" s="111"/>
      <c r="S488" s="111"/>
      <c r="T488" s="111"/>
    </row>
    <row r="489" spans="1:20" ht="25.5" hidden="1">
      <c r="A489" s="16" t="s">
        <v>96</v>
      </c>
      <c r="B489" s="15" t="s">
        <v>94</v>
      </c>
      <c r="C489" s="15" t="s">
        <v>26</v>
      </c>
      <c r="D489" s="15" t="s">
        <v>28</v>
      </c>
      <c r="E489" s="15" t="s">
        <v>709</v>
      </c>
      <c r="F489" s="15" t="s">
        <v>348</v>
      </c>
      <c r="G489" s="70">
        <f>G490</f>
        <v>0</v>
      </c>
      <c r="H489" s="70">
        <f>H490</f>
        <v>0</v>
      </c>
      <c r="I489" s="70">
        <f>I490</f>
        <v>0</v>
      </c>
      <c r="J489" s="1"/>
    </row>
    <row r="490" spans="1:20" s="3" customFormat="1" ht="89.25" hidden="1">
      <c r="A490" s="16" t="s">
        <v>420</v>
      </c>
      <c r="B490" s="14">
        <v>774</v>
      </c>
      <c r="C490" s="15" t="s">
        <v>26</v>
      </c>
      <c r="D490" s="15" t="s">
        <v>28</v>
      </c>
      <c r="E490" s="15" t="s">
        <v>709</v>
      </c>
      <c r="F490" s="15" t="s">
        <v>419</v>
      </c>
      <c r="G490" s="70"/>
      <c r="H490" s="70"/>
      <c r="I490" s="70"/>
      <c r="P490" s="111"/>
      <c r="Q490" s="111"/>
      <c r="R490" s="111"/>
      <c r="S490" s="111"/>
      <c r="T490" s="111"/>
    </row>
    <row r="491" spans="1:20" s="3" customFormat="1" ht="25.5" hidden="1">
      <c r="A491" s="16" t="s">
        <v>711</v>
      </c>
      <c r="B491" s="14">
        <v>774</v>
      </c>
      <c r="C491" s="15" t="s">
        <v>26</v>
      </c>
      <c r="D491" s="15" t="s">
        <v>28</v>
      </c>
      <c r="E491" s="15" t="s">
        <v>710</v>
      </c>
      <c r="F491" s="15"/>
      <c r="G491" s="70">
        <f>G493</f>
        <v>0</v>
      </c>
      <c r="H491" s="70">
        <f>H493</f>
        <v>0</v>
      </c>
      <c r="I491" s="70">
        <f>I493</f>
        <v>0</v>
      </c>
      <c r="P491" s="111"/>
      <c r="Q491" s="111"/>
      <c r="R491" s="111"/>
      <c r="S491" s="111"/>
      <c r="T491" s="111"/>
    </row>
    <row r="492" spans="1:20" ht="25.5" hidden="1">
      <c r="A492" s="16" t="s">
        <v>96</v>
      </c>
      <c r="B492" s="15" t="s">
        <v>94</v>
      </c>
      <c r="C492" s="15" t="s">
        <v>26</v>
      </c>
      <c r="D492" s="15" t="s">
        <v>28</v>
      </c>
      <c r="E492" s="15" t="s">
        <v>710</v>
      </c>
      <c r="F492" s="15" t="s">
        <v>348</v>
      </c>
      <c r="G492" s="70">
        <f>G493</f>
        <v>0</v>
      </c>
      <c r="H492" s="70">
        <f>H493</f>
        <v>0</v>
      </c>
      <c r="I492" s="70">
        <f>I493</f>
        <v>0</v>
      </c>
      <c r="J492" s="1"/>
    </row>
    <row r="493" spans="1:20" s="3" customFormat="1" ht="89.25" hidden="1">
      <c r="A493" s="16" t="s">
        <v>420</v>
      </c>
      <c r="B493" s="14">
        <v>774</v>
      </c>
      <c r="C493" s="15" t="s">
        <v>26</v>
      </c>
      <c r="D493" s="15" t="s">
        <v>28</v>
      </c>
      <c r="E493" s="15" t="s">
        <v>710</v>
      </c>
      <c r="F493" s="15" t="s">
        <v>419</v>
      </c>
      <c r="G493" s="70"/>
      <c r="H493" s="70"/>
      <c r="I493" s="70"/>
      <c r="P493" s="111"/>
      <c r="Q493" s="111"/>
      <c r="R493" s="111"/>
      <c r="S493" s="111"/>
      <c r="T493" s="111"/>
    </row>
    <row r="494" spans="1:20" s="18" customFormat="1" ht="53.25" hidden="1" customHeight="1">
      <c r="A494" s="16" t="s">
        <v>651</v>
      </c>
      <c r="B494" s="15" t="s">
        <v>94</v>
      </c>
      <c r="C494" s="15" t="s">
        <v>26</v>
      </c>
      <c r="D494" s="15" t="s">
        <v>70</v>
      </c>
      <c r="E494" s="15" t="s">
        <v>650</v>
      </c>
      <c r="F494" s="15"/>
      <c r="G494" s="70">
        <f t="shared" ref="G494:I495" si="128">G495</f>
        <v>0</v>
      </c>
      <c r="H494" s="70">
        <f t="shared" si="128"/>
        <v>0</v>
      </c>
      <c r="I494" s="70">
        <f t="shared" si="128"/>
        <v>0</v>
      </c>
      <c r="P494" s="17"/>
      <c r="Q494" s="17"/>
      <c r="R494" s="17"/>
      <c r="S494" s="17"/>
      <c r="T494" s="17"/>
    </row>
    <row r="495" spans="1:20" s="18" customFormat="1" ht="25.5" hidden="1">
      <c r="A495" s="16" t="s">
        <v>30</v>
      </c>
      <c r="B495" s="15" t="s">
        <v>94</v>
      </c>
      <c r="C495" s="15" t="s">
        <v>26</v>
      </c>
      <c r="D495" s="15" t="s">
        <v>70</v>
      </c>
      <c r="E495" s="15" t="s">
        <v>650</v>
      </c>
      <c r="F495" s="15" t="s">
        <v>31</v>
      </c>
      <c r="G495" s="70">
        <f t="shared" si="128"/>
        <v>0</v>
      </c>
      <c r="H495" s="70">
        <f t="shared" si="128"/>
        <v>0</v>
      </c>
      <c r="I495" s="70">
        <f t="shared" si="128"/>
        <v>0</v>
      </c>
      <c r="P495" s="17"/>
      <c r="Q495" s="17"/>
      <c r="R495" s="17"/>
      <c r="S495" s="17"/>
      <c r="T495" s="17"/>
    </row>
    <row r="496" spans="1:20" s="18" customFormat="1" hidden="1">
      <c r="A496" s="16" t="s">
        <v>32</v>
      </c>
      <c r="B496" s="15" t="s">
        <v>94</v>
      </c>
      <c r="C496" s="15" t="s">
        <v>26</v>
      </c>
      <c r="D496" s="15" t="s">
        <v>70</v>
      </c>
      <c r="E496" s="15" t="s">
        <v>650</v>
      </c>
      <c r="F496" s="15" t="s">
        <v>33</v>
      </c>
      <c r="G496" s="70">
        <f>'прил 5,'!G835</f>
        <v>0</v>
      </c>
      <c r="H496" s="70"/>
      <c r="I496" s="70"/>
      <c r="P496" s="17"/>
      <c r="Q496" s="17"/>
      <c r="R496" s="17"/>
      <c r="S496" s="17"/>
      <c r="T496" s="17"/>
    </row>
    <row r="497" spans="1:20" s="3" customFormat="1" ht="52.5" hidden="1" customHeight="1">
      <c r="A497" s="16" t="s">
        <v>414</v>
      </c>
      <c r="B497" s="14">
        <v>774</v>
      </c>
      <c r="C497" s="15" t="s">
        <v>26</v>
      </c>
      <c r="D497" s="15" t="s">
        <v>28</v>
      </c>
      <c r="E497" s="15" t="s">
        <v>613</v>
      </c>
      <c r="F497" s="15"/>
      <c r="G497" s="70">
        <f t="shared" ref="G497:I498" si="129">G498</f>
        <v>0</v>
      </c>
      <c r="H497" s="70">
        <f t="shared" si="129"/>
        <v>0</v>
      </c>
      <c r="I497" s="70">
        <f t="shared" si="129"/>
        <v>0</v>
      </c>
      <c r="P497" s="111"/>
      <c r="Q497" s="111"/>
      <c r="R497" s="111"/>
      <c r="S497" s="111"/>
      <c r="T497" s="111"/>
    </row>
    <row r="498" spans="1:20" s="3" customFormat="1" ht="25.5" hidden="1">
      <c r="A498" s="16" t="s">
        <v>30</v>
      </c>
      <c r="B498" s="14">
        <v>774</v>
      </c>
      <c r="C498" s="15" t="s">
        <v>26</v>
      </c>
      <c r="D498" s="15" t="s">
        <v>28</v>
      </c>
      <c r="E498" s="15" t="s">
        <v>613</v>
      </c>
      <c r="F498" s="15" t="s">
        <v>31</v>
      </c>
      <c r="G498" s="70">
        <f t="shared" si="129"/>
        <v>0</v>
      </c>
      <c r="H498" s="70">
        <f t="shared" si="129"/>
        <v>0</v>
      </c>
      <c r="I498" s="70">
        <f t="shared" si="129"/>
        <v>0</v>
      </c>
      <c r="P498" s="111"/>
      <c r="Q498" s="111"/>
      <c r="R498" s="111"/>
      <c r="S498" s="111"/>
      <c r="T498" s="111"/>
    </row>
    <row r="499" spans="1:20" s="3" customFormat="1" hidden="1">
      <c r="A499" s="16" t="s">
        <v>32</v>
      </c>
      <c r="B499" s="14">
        <v>774</v>
      </c>
      <c r="C499" s="15" t="s">
        <v>26</v>
      </c>
      <c r="D499" s="15" t="s">
        <v>28</v>
      </c>
      <c r="E499" s="15" t="s">
        <v>613</v>
      </c>
      <c r="F499" s="15" t="s">
        <v>33</v>
      </c>
      <c r="G499" s="70">
        <f>'прил 5,'!G634</f>
        <v>0</v>
      </c>
      <c r="H499" s="70">
        <v>0</v>
      </c>
      <c r="I499" s="70">
        <v>0</v>
      </c>
      <c r="P499" s="111"/>
      <c r="Q499" s="111"/>
      <c r="R499" s="111"/>
      <c r="S499" s="111"/>
      <c r="T499" s="111"/>
    </row>
    <row r="500" spans="1:20" s="28" customFormat="1" ht="61.5" hidden="1" customHeight="1">
      <c r="A500" s="13" t="s">
        <v>655</v>
      </c>
      <c r="B500" s="15" t="s">
        <v>94</v>
      </c>
      <c r="C500" s="15" t="s">
        <v>69</v>
      </c>
      <c r="D500" s="15" t="s">
        <v>54</v>
      </c>
      <c r="E500" s="15" t="s">
        <v>654</v>
      </c>
      <c r="F500" s="39"/>
      <c r="G500" s="70">
        <f t="shared" ref="G500:I501" si="130">G501</f>
        <v>44005</v>
      </c>
      <c r="H500" s="70">
        <f t="shared" si="130"/>
        <v>0</v>
      </c>
      <c r="I500" s="70">
        <f t="shared" si="130"/>
        <v>0</v>
      </c>
      <c r="P500" s="109"/>
      <c r="Q500" s="109"/>
      <c r="R500" s="109"/>
      <c r="S500" s="109"/>
      <c r="T500" s="109"/>
    </row>
    <row r="501" spans="1:20" s="28" customFormat="1" ht="25.5" hidden="1">
      <c r="A501" s="16" t="s">
        <v>30</v>
      </c>
      <c r="B501" s="15" t="s">
        <v>94</v>
      </c>
      <c r="C501" s="15" t="s">
        <v>69</v>
      </c>
      <c r="D501" s="15" t="s">
        <v>54</v>
      </c>
      <c r="E501" s="15" t="s">
        <v>654</v>
      </c>
      <c r="F501" s="15" t="s">
        <v>31</v>
      </c>
      <c r="G501" s="70">
        <f t="shared" si="130"/>
        <v>44005</v>
      </c>
      <c r="H501" s="70">
        <f t="shared" si="130"/>
        <v>0</v>
      </c>
      <c r="I501" s="70">
        <f t="shared" si="130"/>
        <v>0</v>
      </c>
      <c r="P501" s="109"/>
      <c r="Q501" s="109"/>
      <c r="R501" s="109"/>
      <c r="S501" s="109"/>
      <c r="T501" s="109"/>
    </row>
    <row r="502" spans="1:20" hidden="1">
      <c r="A502" s="16" t="s">
        <v>32</v>
      </c>
      <c r="B502" s="15" t="s">
        <v>94</v>
      </c>
      <c r="C502" s="15" t="s">
        <v>69</v>
      </c>
      <c r="D502" s="15" t="s">
        <v>54</v>
      </c>
      <c r="E502" s="15" t="s">
        <v>654</v>
      </c>
      <c r="F502" s="15" t="s">
        <v>33</v>
      </c>
      <c r="G502" s="70">
        <f>'прил 5,'!G1033</f>
        <v>44005</v>
      </c>
      <c r="H502" s="70">
        <f>'прил 5,'!H1033</f>
        <v>0</v>
      </c>
      <c r="I502" s="70">
        <f>'прил 5,'!I1033</f>
        <v>0</v>
      </c>
      <c r="J502" s="1"/>
    </row>
    <row r="503" spans="1:20" s="28" customFormat="1" ht="61.5" customHeight="1">
      <c r="A503" s="13" t="s">
        <v>696</v>
      </c>
      <c r="B503" s="15" t="s">
        <v>94</v>
      </c>
      <c r="C503" s="15" t="s">
        <v>69</v>
      </c>
      <c r="D503" s="15" t="s">
        <v>54</v>
      </c>
      <c r="E503" s="15" t="s">
        <v>695</v>
      </c>
      <c r="F503" s="39"/>
      <c r="G503" s="70">
        <f t="shared" ref="G503:I504" si="131">G504</f>
        <v>18082205.800000001</v>
      </c>
      <c r="H503" s="70">
        <f t="shared" si="131"/>
        <v>17537287.399999999</v>
      </c>
      <c r="I503" s="70">
        <f t="shared" si="131"/>
        <v>17900152.309999999</v>
      </c>
      <c r="P503" s="109"/>
      <c r="Q503" s="109"/>
      <c r="R503" s="109"/>
      <c r="S503" s="109"/>
      <c r="T503" s="109"/>
    </row>
    <row r="504" spans="1:20" s="28" customFormat="1" ht="25.5">
      <c r="A504" s="16" t="s">
        <v>30</v>
      </c>
      <c r="B504" s="15" t="s">
        <v>94</v>
      </c>
      <c r="C504" s="15" t="s">
        <v>69</v>
      </c>
      <c r="D504" s="15" t="s">
        <v>54</v>
      </c>
      <c r="E504" s="15" t="s">
        <v>695</v>
      </c>
      <c r="F504" s="15" t="s">
        <v>31</v>
      </c>
      <c r="G504" s="70">
        <f t="shared" si="131"/>
        <v>18082205.800000001</v>
      </c>
      <c r="H504" s="70">
        <f t="shared" si="131"/>
        <v>17537287.399999999</v>
      </c>
      <c r="I504" s="70">
        <f t="shared" si="131"/>
        <v>17900152.309999999</v>
      </c>
      <c r="P504" s="109"/>
      <c r="Q504" s="109"/>
      <c r="R504" s="109"/>
      <c r="S504" s="109"/>
      <c r="T504" s="109"/>
    </row>
    <row r="505" spans="1:20">
      <c r="A505" s="16" t="s">
        <v>32</v>
      </c>
      <c r="B505" s="15" t="s">
        <v>94</v>
      </c>
      <c r="C505" s="15" t="s">
        <v>69</v>
      </c>
      <c r="D505" s="15" t="s">
        <v>54</v>
      </c>
      <c r="E505" s="15" t="s">
        <v>695</v>
      </c>
      <c r="F505" s="15" t="s">
        <v>33</v>
      </c>
      <c r="G505" s="70">
        <f>'прил 5,'!G1036</f>
        <v>18082205.800000001</v>
      </c>
      <c r="H505" s="70">
        <f>'прил 5,'!H1036</f>
        <v>17537287.399999999</v>
      </c>
      <c r="I505" s="70">
        <f>'прил 5,'!I1036</f>
        <v>17900152.309999999</v>
      </c>
      <c r="J505" s="1"/>
    </row>
    <row r="506" spans="1:20" s="3" customFormat="1">
      <c r="A506" s="16" t="s">
        <v>888</v>
      </c>
      <c r="B506" s="14">
        <v>774</v>
      </c>
      <c r="C506" s="15" t="s">
        <v>26</v>
      </c>
      <c r="D506" s="15" t="s">
        <v>28</v>
      </c>
      <c r="E506" s="84" t="s">
        <v>940</v>
      </c>
      <c r="F506" s="15"/>
      <c r="G506" s="70">
        <f t="shared" ref="G506:I507" si="132">G507</f>
        <v>0</v>
      </c>
      <c r="H506" s="70">
        <f t="shared" si="132"/>
        <v>556711</v>
      </c>
      <c r="I506" s="70">
        <f t="shared" si="132"/>
        <v>556711</v>
      </c>
      <c r="P506" s="111"/>
      <c r="Q506" s="111"/>
      <c r="R506" s="111"/>
      <c r="S506" s="111"/>
      <c r="T506" s="111"/>
    </row>
    <row r="507" spans="1:20" s="3" customFormat="1" ht="25.5">
      <c r="A507" s="16" t="s">
        <v>30</v>
      </c>
      <c r="B507" s="14">
        <v>774</v>
      </c>
      <c r="C507" s="15" t="s">
        <v>26</v>
      </c>
      <c r="D507" s="15" t="s">
        <v>28</v>
      </c>
      <c r="E507" s="84" t="s">
        <v>940</v>
      </c>
      <c r="F507" s="15" t="s">
        <v>31</v>
      </c>
      <c r="G507" s="70">
        <f t="shared" si="132"/>
        <v>0</v>
      </c>
      <c r="H507" s="70">
        <f t="shared" si="132"/>
        <v>556711</v>
      </c>
      <c r="I507" s="70">
        <f t="shared" si="132"/>
        <v>556711</v>
      </c>
      <c r="P507" s="111"/>
      <c r="Q507" s="111"/>
      <c r="R507" s="111"/>
      <c r="S507" s="111"/>
      <c r="T507" s="111"/>
    </row>
    <row r="508" spans="1:20" s="3" customFormat="1">
      <c r="A508" s="82" t="s">
        <v>32</v>
      </c>
      <c r="B508" s="14">
        <v>774</v>
      </c>
      <c r="C508" s="15" t="s">
        <v>26</v>
      </c>
      <c r="D508" s="15" t="s">
        <v>28</v>
      </c>
      <c r="E508" s="84" t="s">
        <v>940</v>
      </c>
      <c r="F508" s="15" t="s">
        <v>33</v>
      </c>
      <c r="G508" s="70">
        <f>'прил 5,'!G646</f>
        <v>0</v>
      </c>
      <c r="H508" s="70">
        <f>'прил 5,'!H646</f>
        <v>556711</v>
      </c>
      <c r="I508" s="70">
        <f>'прил 5,'!I646</f>
        <v>556711</v>
      </c>
      <c r="P508" s="111"/>
      <c r="Q508" s="111"/>
      <c r="R508" s="111"/>
      <c r="S508" s="111"/>
      <c r="T508" s="111"/>
    </row>
    <row r="509" spans="1:20" ht="46.5" hidden="1" customHeight="1">
      <c r="A509" s="16" t="s">
        <v>719</v>
      </c>
      <c r="B509" s="15" t="s">
        <v>94</v>
      </c>
      <c r="C509" s="15" t="s">
        <v>26</v>
      </c>
      <c r="D509" s="15" t="s">
        <v>28</v>
      </c>
      <c r="E509" s="15" t="s">
        <v>718</v>
      </c>
      <c r="F509" s="15"/>
      <c r="G509" s="70">
        <f t="shared" ref="G509:I509" si="133">G510</f>
        <v>0</v>
      </c>
      <c r="H509" s="70">
        <f t="shared" si="133"/>
        <v>0</v>
      </c>
      <c r="I509" s="70">
        <f t="shared" si="133"/>
        <v>0</v>
      </c>
      <c r="J509" s="1"/>
    </row>
    <row r="510" spans="1:20" ht="39.75" hidden="1" customHeight="1">
      <c r="A510" s="16" t="s">
        <v>96</v>
      </c>
      <c r="B510" s="15" t="s">
        <v>94</v>
      </c>
      <c r="C510" s="15" t="s">
        <v>26</v>
      </c>
      <c r="D510" s="15" t="s">
        <v>28</v>
      </c>
      <c r="E510" s="15" t="s">
        <v>718</v>
      </c>
      <c r="F510" s="15" t="s">
        <v>31</v>
      </c>
      <c r="G510" s="70">
        <f>G511</f>
        <v>0</v>
      </c>
      <c r="H510" s="70">
        <f>H511</f>
        <v>0</v>
      </c>
      <c r="I510" s="70">
        <f>I511</f>
        <v>0</v>
      </c>
      <c r="J510" s="1"/>
    </row>
    <row r="511" spans="1:20" ht="46.5" hidden="1" customHeight="1">
      <c r="A511" s="16" t="s">
        <v>420</v>
      </c>
      <c r="B511" s="15" t="s">
        <v>94</v>
      </c>
      <c r="C511" s="15" t="s">
        <v>26</v>
      </c>
      <c r="D511" s="15" t="s">
        <v>28</v>
      </c>
      <c r="E511" s="15" t="s">
        <v>718</v>
      </c>
      <c r="F511" s="15" t="s">
        <v>33</v>
      </c>
      <c r="G511" s="70">
        <f>'прил 5,'!G649</f>
        <v>0</v>
      </c>
      <c r="H511" s="70">
        <v>0</v>
      </c>
      <c r="I511" s="70">
        <v>0</v>
      </c>
      <c r="J511" s="1"/>
    </row>
    <row r="512" spans="1:20" ht="57" hidden="1" customHeight="1">
      <c r="A512" s="16" t="s">
        <v>694</v>
      </c>
      <c r="B512" s="15" t="s">
        <v>94</v>
      </c>
      <c r="C512" s="15" t="s">
        <v>26</v>
      </c>
      <c r="D512" s="15" t="s">
        <v>28</v>
      </c>
      <c r="E512" s="15" t="s">
        <v>693</v>
      </c>
      <c r="F512" s="15"/>
      <c r="G512" s="70">
        <f t="shared" ref="G512:I512" si="134">G513</f>
        <v>0</v>
      </c>
      <c r="H512" s="70">
        <f t="shared" si="134"/>
        <v>0</v>
      </c>
      <c r="I512" s="70">
        <f t="shared" si="134"/>
        <v>0</v>
      </c>
      <c r="J512" s="1"/>
    </row>
    <row r="513" spans="1:20" ht="25.5" hidden="1">
      <c r="A513" s="16" t="s">
        <v>96</v>
      </c>
      <c r="B513" s="15" t="s">
        <v>94</v>
      </c>
      <c r="C513" s="15" t="s">
        <v>26</v>
      </c>
      <c r="D513" s="15" t="s">
        <v>28</v>
      </c>
      <c r="E513" s="15" t="s">
        <v>693</v>
      </c>
      <c r="F513" s="15" t="s">
        <v>348</v>
      </c>
      <c r="G513" s="70">
        <f>G514</f>
        <v>0</v>
      </c>
      <c r="H513" s="70">
        <f>H514</f>
        <v>0</v>
      </c>
      <c r="I513" s="70">
        <f>I514</f>
        <v>0</v>
      </c>
      <c r="J513" s="1"/>
    </row>
    <row r="514" spans="1:20" ht="89.25" hidden="1">
      <c r="A514" s="16" t="s">
        <v>420</v>
      </c>
      <c r="B514" s="15" t="s">
        <v>94</v>
      </c>
      <c r="C514" s="15" t="s">
        <v>26</v>
      </c>
      <c r="D514" s="15" t="s">
        <v>28</v>
      </c>
      <c r="E514" s="15" t="s">
        <v>693</v>
      </c>
      <c r="F514" s="15" t="s">
        <v>419</v>
      </c>
      <c r="G514" s="70"/>
      <c r="H514" s="70"/>
      <c r="I514" s="70"/>
      <c r="J514" s="1"/>
    </row>
    <row r="515" spans="1:20" s="18" customFormat="1" ht="38.25" hidden="1">
      <c r="A515" s="80" t="s">
        <v>881</v>
      </c>
      <c r="B515" s="15" t="s">
        <v>94</v>
      </c>
      <c r="C515" s="15" t="s">
        <v>26</v>
      </c>
      <c r="D515" s="15" t="s">
        <v>28</v>
      </c>
      <c r="E515" s="15" t="s">
        <v>880</v>
      </c>
      <c r="F515" s="15"/>
      <c r="G515" s="70">
        <f t="shared" ref="G515:I516" si="135">G516</f>
        <v>0</v>
      </c>
      <c r="H515" s="70">
        <f t="shared" si="135"/>
        <v>0</v>
      </c>
      <c r="I515" s="70">
        <f t="shared" si="135"/>
        <v>0</v>
      </c>
      <c r="P515" s="17"/>
      <c r="Q515" s="17"/>
      <c r="R515" s="17"/>
      <c r="S515" s="17"/>
      <c r="T515" s="17"/>
    </row>
    <row r="516" spans="1:20" s="18" customFormat="1" ht="25.5" hidden="1">
      <c r="A516" s="16" t="s">
        <v>36</v>
      </c>
      <c r="B516" s="15" t="s">
        <v>94</v>
      </c>
      <c r="C516" s="15" t="s">
        <v>26</v>
      </c>
      <c r="D516" s="15" t="s">
        <v>28</v>
      </c>
      <c r="E516" s="15" t="s">
        <v>880</v>
      </c>
      <c r="F516" s="15" t="s">
        <v>37</v>
      </c>
      <c r="G516" s="70">
        <f t="shared" si="135"/>
        <v>0</v>
      </c>
      <c r="H516" s="70">
        <f t="shared" si="135"/>
        <v>0</v>
      </c>
      <c r="I516" s="70">
        <f t="shared" si="135"/>
        <v>0</v>
      </c>
      <c r="P516" s="17"/>
      <c r="Q516" s="17"/>
      <c r="R516" s="17"/>
      <c r="S516" s="17"/>
      <c r="T516" s="17"/>
    </row>
    <row r="517" spans="1:20" s="18" customFormat="1" ht="25.5" hidden="1">
      <c r="A517" s="16" t="s">
        <v>38</v>
      </c>
      <c r="B517" s="15" t="s">
        <v>94</v>
      </c>
      <c r="C517" s="15" t="s">
        <v>26</v>
      </c>
      <c r="D517" s="15" t="s">
        <v>28</v>
      </c>
      <c r="E517" s="15" t="s">
        <v>880</v>
      </c>
      <c r="F517" s="15" t="s">
        <v>39</v>
      </c>
      <c r="G517" s="70"/>
      <c r="H517" s="70">
        <f>'прил 5,'!H983</f>
        <v>0</v>
      </c>
      <c r="I517" s="70">
        <f>'прил 5,'!I983</f>
        <v>0</v>
      </c>
      <c r="P517" s="17"/>
      <c r="Q517" s="17"/>
      <c r="R517" s="17"/>
      <c r="S517" s="17"/>
      <c r="T517" s="17"/>
    </row>
    <row r="518" spans="1:20" ht="25.5">
      <c r="A518" s="16" t="s">
        <v>0</v>
      </c>
      <c r="B518" s="14">
        <v>774</v>
      </c>
      <c r="C518" s="15" t="s">
        <v>26</v>
      </c>
      <c r="D518" s="15" t="s">
        <v>28</v>
      </c>
      <c r="E518" s="15" t="s">
        <v>218</v>
      </c>
      <c r="F518" s="15"/>
      <c r="G518" s="8">
        <f>G529+G550+G560+G605+G616+G619+G561+G566+G569+G608+G519+G552+G536+G611+G542+G545+G570+G576+G530+G533+G555+G522+G573+G579+G582+G525+G585+G588+G591+G594+G597+G602+G539</f>
        <v>171387508.94999999</v>
      </c>
      <c r="H518" s="8">
        <f>H529+H550+H560+H605+H616+H619+H561+H566+H569+H608+H519+H552+H536+H611+H542+H545+H570+H576+H530+H533+H555</f>
        <v>60354385.32</v>
      </c>
      <c r="I518" s="8">
        <f>I529+I550+I560+I605+I616+I619+I561+I566+I569+I608+I519+I552+I536+I611+I542+I545+I570+I576+I530+I533+I555</f>
        <v>12025946</v>
      </c>
      <c r="J518" s="1"/>
    </row>
    <row r="519" spans="1:20" ht="31.5" customHeight="1">
      <c r="A519" s="16" t="s">
        <v>954</v>
      </c>
      <c r="B519" s="15" t="s">
        <v>94</v>
      </c>
      <c r="C519" s="15" t="s">
        <v>26</v>
      </c>
      <c r="D519" s="15" t="s">
        <v>28</v>
      </c>
      <c r="E519" s="15" t="s">
        <v>953</v>
      </c>
      <c r="F519" s="15"/>
      <c r="G519" s="70">
        <f t="shared" ref="G519:I520" si="136">G520</f>
        <v>2884872.88</v>
      </c>
      <c r="H519" s="70">
        <f t="shared" si="136"/>
        <v>15540116.210000001</v>
      </c>
      <c r="I519" s="70">
        <f t="shared" si="136"/>
        <v>0</v>
      </c>
      <c r="J519" s="1"/>
    </row>
    <row r="520" spans="1:20" ht="25.5">
      <c r="A520" s="16" t="s">
        <v>30</v>
      </c>
      <c r="B520" s="15" t="s">
        <v>94</v>
      </c>
      <c r="C520" s="15" t="s">
        <v>26</v>
      </c>
      <c r="D520" s="15" t="s">
        <v>28</v>
      </c>
      <c r="E520" s="15" t="s">
        <v>953</v>
      </c>
      <c r="F520" s="15" t="s">
        <v>31</v>
      </c>
      <c r="G520" s="70">
        <f t="shared" si="136"/>
        <v>2884872.88</v>
      </c>
      <c r="H520" s="70">
        <f t="shared" si="136"/>
        <v>15540116.210000001</v>
      </c>
      <c r="I520" s="70">
        <f t="shared" si="136"/>
        <v>0</v>
      </c>
      <c r="J520" s="1"/>
    </row>
    <row r="521" spans="1:20">
      <c r="A521" s="16" t="s">
        <v>32</v>
      </c>
      <c r="B521" s="15" t="s">
        <v>94</v>
      </c>
      <c r="C521" s="15" t="s">
        <v>26</v>
      </c>
      <c r="D521" s="15" t="s">
        <v>28</v>
      </c>
      <c r="E521" s="15" t="s">
        <v>953</v>
      </c>
      <c r="F521" s="15" t="s">
        <v>33</v>
      </c>
      <c r="G521" s="70">
        <f>'прил 5,'!G656</f>
        <v>2884872.88</v>
      </c>
      <c r="H521" s="70">
        <f>'прил 5,'!H656</f>
        <v>15540116.210000001</v>
      </c>
      <c r="I521" s="70">
        <f>'прил 5,'!I656</f>
        <v>0</v>
      </c>
      <c r="J521" s="1"/>
    </row>
    <row r="522" spans="1:20" ht="59.25" customHeight="1">
      <c r="A522" s="16" t="s">
        <v>1056</v>
      </c>
      <c r="B522" s="15" t="s">
        <v>94</v>
      </c>
      <c r="C522" s="15" t="s">
        <v>26</v>
      </c>
      <c r="D522" s="15" t="s">
        <v>28</v>
      </c>
      <c r="E522" s="15" t="s">
        <v>1055</v>
      </c>
      <c r="F522" s="15"/>
      <c r="G522" s="70">
        <f t="shared" ref="G522:I523" si="137">G523</f>
        <v>250000</v>
      </c>
      <c r="H522" s="70">
        <f t="shared" si="137"/>
        <v>0</v>
      </c>
      <c r="I522" s="70">
        <f t="shared" si="137"/>
        <v>0</v>
      </c>
      <c r="J522" s="177"/>
      <c r="K522" s="186"/>
      <c r="L522" s="186"/>
      <c r="M522" s="186"/>
      <c r="N522" s="186"/>
      <c r="O522" s="186"/>
      <c r="P522" s="186"/>
      <c r="Q522" s="186"/>
      <c r="R522" s="186"/>
      <c r="S522" s="1"/>
      <c r="T522" s="1"/>
    </row>
    <row r="523" spans="1:20" ht="25.5">
      <c r="A523" s="16" t="s">
        <v>30</v>
      </c>
      <c r="B523" s="15" t="s">
        <v>94</v>
      </c>
      <c r="C523" s="15" t="s">
        <v>26</v>
      </c>
      <c r="D523" s="15" t="s">
        <v>28</v>
      </c>
      <c r="E523" s="15" t="s">
        <v>1055</v>
      </c>
      <c r="F523" s="15" t="s">
        <v>31</v>
      </c>
      <c r="G523" s="70">
        <f t="shared" si="137"/>
        <v>250000</v>
      </c>
      <c r="H523" s="70">
        <f t="shared" si="137"/>
        <v>0</v>
      </c>
      <c r="I523" s="70">
        <f t="shared" si="137"/>
        <v>0</v>
      </c>
      <c r="J523" s="177"/>
      <c r="K523" s="186"/>
      <c r="L523" s="186"/>
      <c r="M523" s="186"/>
      <c r="N523" s="186"/>
      <c r="O523" s="186"/>
      <c r="P523" s="186"/>
      <c r="Q523" s="186"/>
      <c r="R523" s="186"/>
      <c r="S523" s="1"/>
      <c r="T523" s="1"/>
    </row>
    <row r="524" spans="1:20">
      <c r="A524" s="16" t="s">
        <v>32</v>
      </c>
      <c r="B524" s="15" t="s">
        <v>94</v>
      </c>
      <c r="C524" s="15" t="s">
        <v>26</v>
      </c>
      <c r="D524" s="15" t="s">
        <v>28</v>
      </c>
      <c r="E524" s="15" t="s">
        <v>1055</v>
      </c>
      <c r="F524" s="15" t="s">
        <v>33</v>
      </c>
      <c r="G524" s="70">
        <v>250000</v>
      </c>
      <c r="H524" s="70">
        <v>0</v>
      </c>
      <c r="I524" s="70">
        <v>0</v>
      </c>
      <c r="J524" s="177"/>
      <c r="K524" s="186"/>
      <c r="L524" s="186"/>
      <c r="M524" s="186"/>
      <c r="N524" s="186"/>
      <c r="O524" s="186"/>
      <c r="P524" s="186"/>
      <c r="Q524" s="186"/>
      <c r="R524" s="186"/>
      <c r="S524" s="1"/>
      <c r="T524" s="1"/>
    </row>
    <row r="525" spans="1:20" ht="59.25" customHeight="1">
      <c r="A525" s="82" t="s">
        <v>1079</v>
      </c>
      <c r="B525" s="84" t="s">
        <v>94</v>
      </c>
      <c r="C525" s="84" t="s">
        <v>26</v>
      </c>
      <c r="D525" s="84" t="s">
        <v>28</v>
      </c>
      <c r="E525" s="84" t="s">
        <v>1078</v>
      </c>
      <c r="F525" s="84"/>
      <c r="G525" s="87">
        <f t="shared" ref="G525:I526" si="138">G526</f>
        <v>1737958.8</v>
      </c>
      <c r="H525" s="87">
        <f t="shared" si="138"/>
        <v>0</v>
      </c>
      <c r="I525" s="87">
        <f t="shared" si="138"/>
        <v>0</v>
      </c>
      <c r="J525" s="177"/>
      <c r="K525" s="186"/>
      <c r="L525" s="186"/>
      <c r="M525" s="186"/>
      <c r="N525" s="186"/>
      <c r="O525" s="186"/>
      <c r="P525" s="186"/>
      <c r="Q525" s="186"/>
      <c r="R525" s="186"/>
      <c r="S525" s="1"/>
      <c r="T525" s="1"/>
    </row>
    <row r="526" spans="1:20" ht="25.5">
      <c r="A526" s="82" t="s">
        <v>30</v>
      </c>
      <c r="B526" s="84" t="s">
        <v>94</v>
      </c>
      <c r="C526" s="84" t="s">
        <v>26</v>
      </c>
      <c r="D526" s="84" t="s">
        <v>28</v>
      </c>
      <c r="E526" s="84" t="s">
        <v>1078</v>
      </c>
      <c r="F526" s="84" t="s">
        <v>31</v>
      </c>
      <c r="G526" s="87">
        <f t="shared" si="138"/>
        <v>1737958.8</v>
      </c>
      <c r="H526" s="87">
        <f t="shared" si="138"/>
        <v>0</v>
      </c>
      <c r="I526" s="87">
        <f t="shared" si="138"/>
        <v>0</v>
      </c>
      <c r="J526" s="177"/>
      <c r="K526" s="186"/>
      <c r="L526" s="186"/>
      <c r="M526" s="186"/>
      <c r="N526" s="186"/>
      <c r="O526" s="186"/>
      <c r="P526" s="186"/>
      <c r="Q526" s="186"/>
      <c r="R526" s="186"/>
      <c r="S526" s="1"/>
      <c r="T526" s="1"/>
    </row>
    <row r="527" spans="1:20">
      <c r="A527" s="82" t="s">
        <v>32</v>
      </c>
      <c r="B527" s="84" t="s">
        <v>94</v>
      </c>
      <c r="C527" s="84" t="s">
        <v>26</v>
      </c>
      <c r="D527" s="84" t="s">
        <v>28</v>
      </c>
      <c r="E527" s="84" t="s">
        <v>1078</v>
      </c>
      <c r="F527" s="84" t="s">
        <v>33</v>
      </c>
      <c r="G527" s="87">
        <f>'прил 5,'!G662</f>
        <v>1737958.8</v>
      </c>
      <c r="H527" s="87">
        <v>0</v>
      </c>
      <c r="I527" s="87">
        <v>0</v>
      </c>
      <c r="J527" s="177"/>
      <c r="K527" s="186"/>
      <c r="L527" s="186"/>
      <c r="M527" s="186"/>
      <c r="N527" s="186"/>
      <c r="O527" s="186"/>
      <c r="P527" s="186"/>
      <c r="Q527" s="186"/>
      <c r="R527" s="186"/>
      <c r="S527" s="1"/>
      <c r="T527" s="1"/>
    </row>
    <row r="528" spans="1:20" s="3" customFormat="1" ht="44.25" customHeight="1">
      <c r="A528" s="16" t="s">
        <v>821</v>
      </c>
      <c r="B528" s="14">
        <v>774</v>
      </c>
      <c r="C528" s="15" t="s">
        <v>26</v>
      </c>
      <c r="D528" s="15" t="s">
        <v>19</v>
      </c>
      <c r="E528" s="15" t="s">
        <v>446</v>
      </c>
      <c r="F528" s="15"/>
      <c r="G528" s="70">
        <f>G529</f>
        <v>360000</v>
      </c>
      <c r="H528" s="70">
        <f t="shared" ref="H528:I528" si="139">H529</f>
        <v>1000000</v>
      </c>
      <c r="I528" s="70">
        <f t="shared" si="139"/>
        <v>1000000</v>
      </c>
      <c r="J528" s="111"/>
      <c r="P528" s="111"/>
      <c r="Q528" s="111"/>
      <c r="R528" s="111"/>
      <c r="S528" s="111"/>
      <c r="T528" s="111"/>
    </row>
    <row r="529" spans="1:20" s="3" customFormat="1">
      <c r="A529" s="16" t="s">
        <v>32</v>
      </c>
      <c r="B529" s="14">
        <v>774</v>
      </c>
      <c r="C529" s="15" t="s">
        <v>26</v>
      </c>
      <c r="D529" s="15" t="s">
        <v>19</v>
      </c>
      <c r="E529" s="15" t="s">
        <v>446</v>
      </c>
      <c r="F529" s="15" t="s">
        <v>33</v>
      </c>
      <c r="G529" s="70">
        <f>'прил 5,'!G550+'прил 5,'!G665</f>
        <v>360000</v>
      </c>
      <c r="H529" s="70">
        <f>'прил 5,'!H550+'прил 5,'!H665</f>
        <v>1000000</v>
      </c>
      <c r="I529" s="70">
        <f>'прил 5,'!I550+'прил 5,'!I665</f>
        <v>1000000</v>
      </c>
      <c r="J529" s="111"/>
      <c r="P529" s="111"/>
      <c r="Q529" s="111"/>
      <c r="R529" s="111"/>
      <c r="S529" s="111"/>
      <c r="T529" s="111"/>
    </row>
    <row r="530" spans="1:20" s="3" customFormat="1" ht="38.25">
      <c r="A530" s="16" t="s">
        <v>901</v>
      </c>
      <c r="B530" s="14">
        <v>774</v>
      </c>
      <c r="C530" s="15" t="s">
        <v>26</v>
      </c>
      <c r="D530" s="15" t="s">
        <v>19</v>
      </c>
      <c r="E530" s="15" t="s">
        <v>900</v>
      </c>
      <c r="F530" s="15"/>
      <c r="G530" s="70">
        <f>G531</f>
        <v>0</v>
      </c>
      <c r="H530" s="70">
        <f t="shared" ref="H530:I531" si="140">H531</f>
        <v>0</v>
      </c>
      <c r="I530" s="70">
        <f t="shared" si="140"/>
        <v>0</v>
      </c>
      <c r="J530" s="176"/>
    </row>
    <row r="531" spans="1:20" s="3" customFormat="1" ht="33" customHeight="1">
      <c r="A531" s="16" t="s">
        <v>30</v>
      </c>
      <c r="B531" s="14">
        <v>774</v>
      </c>
      <c r="C531" s="15" t="s">
        <v>26</v>
      </c>
      <c r="D531" s="15" t="s">
        <v>19</v>
      </c>
      <c r="E531" s="15" t="s">
        <v>900</v>
      </c>
      <c r="F531" s="15" t="s">
        <v>31</v>
      </c>
      <c r="G531" s="70">
        <f>G532</f>
        <v>0</v>
      </c>
      <c r="H531" s="70">
        <f t="shared" si="140"/>
        <v>0</v>
      </c>
      <c r="I531" s="70">
        <f t="shared" si="140"/>
        <v>0</v>
      </c>
      <c r="J531" s="176"/>
    </row>
    <row r="532" spans="1:20" s="3" customFormat="1">
      <c r="A532" s="16" t="s">
        <v>32</v>
      </c>
      <c r="B532" s="14">
        <v>774</v>
      </c>
      <c r="C532" s="15" t="s">
        <v>26</v>
      </c>
      <c r="D532" s="15" t="s">
        <v>19</v>
      </c>
      <c r="E532" s="15" t="s">
        <v>900</v>
      </c>
      <c r="F532" s="15" t="s">
        <v>33</v>
      </c>
      <c r="G532" s="70">
        <f>'прил 5,'!G668</f>
        <v>0</v>
      </c>
      <c r="H532" s="70">
        <v>0</v>
      </c>
      <c r="I532" s="70">
        <v>0</v>
      </c>
      <c r="J532" s="176"/>
    </row>
    <row r="533" spans="1:20" s="3" customFormat="1" ht="38.25">
      <c r="A533" s="16" t="s">
        <v>903</v>
      </c>
      <c r="B533" s="14">
        <v>774</v>
      </c>
      <c r="C533" s="15" t="s">
        <v>26</v>
      </c>
      <c r="D533" s="15" t="s">
        <v>19</v>
      </c>
      <c r="E533" s="15" t="s">
        <v>902</v>
      </c>
      <c r="F533" s="15"/>
      <c r="G533" s="70">
        <f>G534</f>
        <v>0</v>
      </c>
      <c r="H533" s="70">
        <f t="shared" ref="H533:I534" si="141">H534</f>
        <v>700000</v>
      </c>
      <c r="I533" s="70">
        <f t="shared" si="141"/>
        <v>0</v>
      </c>
      <c r="J533" s="176"/>
    </row>
    <row r="534" spans="1:20" s="3" customFormat="1" ht="33" customHeight="1">
      <c r="A534" s="16" t="s">
        <v>30</v>
      </c>
      <c r="B534" s="14">
        <v>774</v>
      </c>
      <c r="C534" s="15" t="s">
        <v>26</v>
      </c>
      <c r="D534" s="15" t="s">
        <v>19</v>
      </c>
      <c r="E534" s="15" t="s">
        <v>902</v>
      </c>
      <c r="F534" s="15" t="s">
        <v>31</v>
      </c>
      <c r="G534" s="70">
        <f>G535</f>
        <v>0</v>
      </c>
      <c r="H534" s="70">
        <f t="shared" si="141"/>
        <v>700000</v>
      </c>
      <c r="I534" s="70">
        <f t="shared" si="141"/>
        <v>0</v>
      </c>
      <c r="J534" s="176"/>
    </row>
    <row r="535" spans="1:20" s="3" customFormat="1">
      <c r="A535" s="16" t="s">
        <v>32</v>
      </c>
      <c r="B535" s="14">
        <v>774</v>
      </c>
      <c r="C535" s="15" t="s">
        <v>26</v>
      </c>
      <c r="D535" s="15" t="s">
        <v>19</v>
      </c>
      <c r="E535" s="15" t="s">
        <v>902</v>
      </c>
      <c r="F535" s="15" t="s">
        <v>33</v>
      </c>
      <c r="G535" s="70">
        <v>0</v>
      </c>
      <c r="H535" s="70">
        <v>700000</v>
      </c>
      <c r="I535" s="70"/>
      <c r="J535" s="176"/>
    </row>
    <row r="536" spans="1:20" s="3" customFormat="1" ht="38.25" hidden="1">
      <c r="A536" s="16" t="s">
        <v>822</v>
      </c>
      <c r="B536" s="14">
        <v>774</v>
      </c>
      <c r="C536" s="15" t="s">
        <v>26</v>
      </c>
      <c r="D536" s="15" t="s">
        <v>28</v>
      </c>
      <c r="E536" s="84" t="s">
        <v>771</v>
      </c>
      <c r="F536" s="15"/>
      <c r="G536" s="70">
        <f t="shared" ref="G536:I537" si="142">G537</f>
        <v>0</v>
      </c>
      <c r="H536" s="70">
        <f t="shared" si="142"/>
        <v>0</v>
      </c>
      <c r="I536" s="70">
        <f t="shared" si="142"/>
        <v>0</v>
      </c>
      <c r="P536" s="111"/>
      <c r="Q536" s="111"/>
      <c r="R536" s="111"/>
      <c r="S536" s="111"/>
      <c r="T536" s="111"/>
    </row>
    <row r="537" spans="1:20" s="3" customFormat="1" ht="25.5" hidden="1">
      <c r="A537" s="16" t="s">
        <v>30</v>
      </c>
      <c r="B537" s="14">
        <v>774</v>
      </c>
      <c r="C537" s="15" t="s">
        <v>26</v>
      </c>
      <c r="D537" s="15" t="s">
        <v>28</v>
      </c>
      <c r="E537" s="84" t="s">
        <v>771</v>
      </c>
      <c r="F537" s="15" t="s">
        <v>31</v>
      </c>
      <c r="G537" s="70">
        <f t="shared" si="142"/>
        <v>0</v>
      </c>
      <c r="H537" s="70">
        <f t="shared" si="142"/>
        <v>0</v>
      </c>
      <c r="I537" s="70">
        <f t="shared" si="142"/>
        <v>0</v>
      </c>
      <c r="P537" s="111"/>
      <c r="Q537" s="111"/>
      <c r="R537" s="111"/>
      <c r="S537" s="111"/>
      <c r="T537" s="111"/>
    </row>
    <row r="538" spans="1:20" s="3" customFormat="1" hidden="1">
      <c r="A538" s="82" t="s">
        <v>32</v>
      </c>
      <c r="B538" s="14">
        <v>774</v>
      </c>
      <c r="C538" s="15" t="s">
        <v>26</v>
      </c>
      <c r="D538" s="15" t="s">
        <v>28</v>
      </c>
      <c r="E538" s="84" t="s">
        <v>771</v>
      </c>
      <c r="F538" s="15" t="s">
        <v>33</v>
      </c>
      <c r="G538" s="70">
        <f>'прил 5,'!G674</f>
        <v>0</v>
      </c>
      <c r="H538" s="70"/>
      <c r="I538" s="70"/>
      <c r="P538" s="111"/>
      <c r="Q538" s="111"/>
      <c r="R538" s="111"/>
      <c r="S538" s="111"/>
      <c r="T538" s="111"/>
    </row>
    <row r="539" spans="1:20" s="18" customFormat="1" ht="25.5">
      <c r="A539" s="82" t="s">
        <v>1132</v>
      </c>
      <c r="B539" s="149">
        <v>774</v>
      </c>
      <c r="C539" s="84" t="s">
        <v>26</v>
      </c>
      <c r="D539" s="84" t="s">
        <v>19</v>
      </c>
      <c r="E539" s="84" t="s">
        <v>1133</v>
      </c>
      <c r="F539" s="84"/>
      <c r="G539" s="87">
        <f t="shared" ref="G539:I540" si="143">G540</f>
        <v>300000</v>
      </c>
      <c r="H539" s="87">
        <f t="shared" si="143"/>
        <v>0</v>
      </c>
      <c r="I539" s="87">
        <f t="shared" si="143"/>
        <v>0</v>
      </c>
      <c r="J539" s="177"/>
      <c r="K539" s="200"/>
      <c r="L539" s="200"/>
      <c r="M539" s="200"/>
      <c r="N539" s="200"/>
      <c r="O539" s="200"/>
      <c r="P539" s="200"/>
      <c r="Q539" s="215"/>
      <c r="R539" s="215"/>
      <c r="S539" s="17"/>
    </row>
    <row r="540" spans="1:20" s="18" customFormat="1" ht="25.5">
      <c r="A540" s="82" t="s">
        <v>30</v>
      </c>
      <c r="B540" s="149">
        <v>774</v>
      </c>
      <c r="C540" s="84" t="s">
        <v>26</v>
      </c>
      <c r="D540" s="84" t="s">
        <v>19</v>
      </c>
      <c r="E540" s="84" t="s">
        <v>1133</v>
      </c>
      <c r="F540" s="84" t="s">
        <v>31</v>
      </c>
      <c r="G540" s="87">
        <f t="shared" si="143"/>
        <v>300000</v>
      </c>
      <c r="H540" s="87">
        <f t="shared" si="143"/>
        <v>0</v>
      </c>
      <c r="I540" s="87">
        <f t="shared" si="143"/>
        <v>0</v>
      </c>
      <c r="J540" s="177"/>
      <c r="K540" s="200"/>
      <c r="L540" s="200"/>
      <c r="M540" s="200"/>
      <c r="N540" s="200"/>
      <c r="O540" s="200"/>
      <c r="P540" s="200"/>
      <c r="Q540" s="215"/>
      <c r="R540" s="215"/>
      <c r="S540" s="17"/>
    </row>
    <row r="541" spans="1:20" s="18" customFormat="1">
      <c r="A541" s="82" t="s">
        <v>32</v>
      </c>
      <c r="B541" s="149">
        <v>774</v>
      </c>
      <c r="C541" s="84" t="s">
        <v>26</v>
      </c>
      <c r="D541" s="84" t="s">
        <v>19</v>
      </c>
      <c r="E541" s="84" t="s">
        <v>1133</v>
      </c>
      <c r="F541" s="84" t="s">
        <v>33</v>
      </c>
      <c r="G541" s="87">
        <f>'прил 5,'!G521</f>
        <v>300000</v>
      </c>
      <c r="H541" s="87"/>
      <c r="I541" s="87"/>
      <c r="J541" s="177"/>
      <c r="K541" s="200"/>
      <c r="L541" s="200"/>
      <c r="M541" s="200"/>
      <c r="N541" s="200"/>
      <c r="O541" s="200"/>
      <c r="P541" s="200"/>
      <c r="Q541" s="215"/>
      <c r="R541" s="215"/>
      <c r="S541" s="17"/>
    </row>
    <row r="542" spans="1:20" s="3" customFormat="1">
      <c r="A542" s="16" t="s">
        <v>885</v>
      </c>
      <c r="B542" s="14">
        <v>774</v>
      </c>
      <c r="C542" s="15" t="s">
        <v>26</v>
      </c>
      <c r="D542" s="15" t="s">
        <v>28</v>
      </c>
      <c r="E542" s="84" t="s">
        <v>884</v>
      </c>
      <c r="F542" s="15"/>
      <c r="G542" s="70">
        <f t="shared" ref="G542:I543" si="144">G543</f>
        <v>2030562.73</v>
      </c>
      <c r="H542" s="70">
        <f t="shared" si="144"/>
        <v>337450.6</v>
      </c>
      <c r="I542" s="70">
        <f t="shared" si="144"/>
        <v>0</v>
      </c>
      <c r="P542" s="111"/>
      <c r="Q542" s="111"/>
      <c r="R542" s="111"/>
      <c r="S542" s="111"/>
      <c r="T542" s="111"/>
    </row>
    <row r="543" spans="1:20" s="3" customFormat="1" ht="25.5">
      <c r="A543" s="16" t="s">
        <v>30</v>
      </c>
      <c r="B543" s="14">
        <v>774</v>
      </c>
      <c r="C543" s="15" t="s">
        <v>26</v>
      </c>
      <c r="D543" s="15" t="s">
        <v>28</v>
      </c>
      <c r="E543" s="84" t="s">
        <v>884</v>
      </c>
      <c r="F543" s="15" t="s">
        <v>31</v>
      </c>
      <c r="G543" s="70">
        <f t="shared" si="144"/>
        <v>2030562.73</v>
      </c>
      <c r="H543" s="70">
        <f t="shared" si="144"/>
        <v>337450.6</v>
      </c>
      <c r="I543" s="70">
        <f t="shared" si="144"/>
        <v>0</v>
      </c>
      <c r="P543" s="111"/>
      <c r="Q543" s="111"/>
      <c r="R543" s="111"/>
      <c r="S543" s="111"/>
      <c r="T543" s="111"/>
    </row>
    <row r="544" spans="1:20" s="3" customFormat="1">
      <c r="A544" s="82" t="s">
        <v>32</v>
      </c>
      <c r="B544" s="14">
        <v>774</v>
      </c>
      <c r="C544" s="15" t="s">
        <v>26</v>
      </c>
      <c r="D544" s="15" t="s">
        <v>28</v>
      </c>
      <c r="E544" s="84" t="s">
        <v>884</v>
      </c>
      <c r="F544" s="15" t="s">
        <v>33</v>
      </c>
      <c r="G544" s="70">
        <f>'прил 5,'!G686</f>
        <v>2030562.73</v>
      </c>
      <c r="H544" s="70">
        <f>'прил 5,'!H686</f>
        <v>337450.6</v>
      </c>
      <c r="I544" s="70">
        <f>'прил 5,'!I686</f>
        <v>0</v>
      </c>
      <c r="P544" s="111"/>
      <c r="Q544" s="111"/>
      <c r="R544" s="111"/>
      <c r="S544" s="111"/>
      <c r="T544" s="111"/>
    </row>
    <row r="545" spans="1:20" s="3" customFormat="1">
      <c r="A545" s="16" t="s">
        <v>887</v>
      </c>
      <c r="B545" s="14">
        <v>774</v>
      </c>
      <c r="C545" s="15" t="s">
        <v>26</v>
      </c>
      <c r="D545" s="15" t="s">
        <v>28</v>
      </c>
      <c r="E545" s="84" t="s">
        <v>886</v>
      </c>
      <c r="F545" s="15"/>
      <c r="G545" s="70">
        <f t="shared" ref="G545:I546" si="145">G546</f>
        <v>500000</v>
      </c>
      <c r="H545" s="70">
        <f t="shared" si="145"/>
        <v>500000</v>
      </c>
      <c r="I545" s="70">
        <f t="shared" si="145"/>
        <v>500000</v>
      </c>
      <c r="P545" s="111"/>
      <c r="Q545" s="111"/>
      <c r="R545" s="111"/>
      <c r="S545" s="111"/>
      <c r="T545" s="111"/>
    </row>
    <row r="546" spans="1:20" s="3" customFormat="1" ht="25.5">
      <c r="A546" s="16" t="s">
        <v>30</v>
      </c>
      <c r="B546" s="14">
        <v>774</v>
      </c>
      <c r="C546" s="15" t="s">
        <v>26</v>
      </c>
      <c r="D546" s="15" t="s">
        <v>28</v>
      </c>
      <c r="E546" s="84" t="s">
        <v>886</v>
      </c>
      <c r="F546" s="15" t="s">
        <v>31</v>
      </c>
      <c r="G546" s="70">
        <f t="shared" si="145"/>
        <v>500000</v>
      </c>
      <c r="H546" s="70">
        <f t="shared" si="145"/>
        <v>500000</v>
      </c>
      <c r="I546" s="70">
        <f t="shared" si="145"/>
        <v>500000</v>
      </c>
      <c r="P546" s="111"/>
      <c r="Q546" s="111"/>
      <c r="R546" s="111"/>
      <c r="S546" s="111"/>
      <c r="T546" s="111"/>
    </row>
    <row r="547" spans="1:20" s="3" customFormat="1">
      <c r="A547" s="82" t="s">
        <v>32</v>
      </c>
      <c r="B547" s="14">
        <v>774</v>
      </c>
      <c r="C547" s="15" t="s">
        <v>26</v>
      </c>
      <c r="D547" s="15" t="s">
        <v>28</v>
      </c>
      <c r="E547" s="84" t="s">
        <v>886</v>
      </c>
      <c r="F547" s="15" t="s">
        <v>33</v>
      </c>
      <c r="G547" s="70">
        <f>'прил 5,'!G689</f>
        <v>500000</v>
      </c>
      <c r="H547" s="70">
        <f>'прил 5,'!H689</f>
        <v>500000</v>
      </c>
      <c r="I547" s="70">
        <f>'прил 5,'!I689</f>
        <v>500000</v>
      </c>
      <c r="P547" s="111"/>
      <c r="Q547" s="111"/>
      <c r="R547" s="111"/>
      <c r="S547" s="111"/>
      <c r="T547" s="111"/>
    </row>
    <row r="548" spans="1:20" s="3" customFormat="1" ht="25.5">
      <c r="A548" s="16" t="s">
        <v>1050</v>
      </c>
      <c r="B548" s="14">
        <v>774</v>
      </c>
      <c r="C548" s="15" t="s">
        <v>26</v>
      </c>
      <c r="D548" s="15" t="s">
        <v>28</v>
      </c>
      <c r="E548" s="15" t="s">
        <v>219</v>
      </c>
      <c r="F548" s="15"/>
      <c r="G548" s="70">
        <f t="shared" ref="G548:I549" si="146">G549</f>
        <v>2944255.42</v>
      </c>
      <c r="H548" s="70">
        <f t="shared" si="146"/>
        <v>2383020</v>
      </c>
      <c r="I548" s="70">
        <f t="shared" si="146"/>
        <v>0</v>
      </c>
      <c r="J548" s="111"/>
      <c r="P548" s="111"/>
      <c r="Q548" s="111"/>
      <c r="R548" s="111"/>
      <c r="S548" s="111"/>
      <c r="T548" s="111"/>
    </row>
    <row r="549" spans="1:20" s="3" customFormat="1" ht="25.5">
      <c r="A549" s="16" t="s">
        <v>30</v>
      </c>
      <c r="B549" s="14">
        <v>774</v>
      </c>
      <c r="C549" s="15" t="s">
        <v>26</v>
      </c>
      <c r="D549" s="15" t="s">
        <v>28</v>
      </c>
      <c r="E549" s="15" t="s">
        <v>219</v>
      </c>
      <c r="F549" s="15" t="s">
        <v>31</v>
      </c>
      <c r="G549" s="70">
        <f t="shared" si="146"/>
        <v>2944255.42</v>
      </c>
      <c r="H549" s="70">
        <f t="shared" si="146"/>
        <v>2383020</v>
      </c>
      <c r="I549" s="70">
        <f t="shared" si="146"/>
        <v>0</v>
      </c>
      <c r="J549" s="111"/>
      <c r="P549" s="111"/>
      <c r="Q549" s="111"/>
      <c r="R549" s="111"/>
      <c r="S549" s="111"/>
      <c r="T549" s="111"/>
    </row>
    <row r="550" spans="1:20" s="3" customFormat="1">
      <c r="A550" s="16" t="s">
        <v>32</v>
      </c>
      <c r="B550" s="14">
        <v>774</v>
      </c>
      <c r="C550" s="15" t="s">
        <v>26</v>
      </c>
      <c r="D550" s="15" t="s">
        <v>28</v>
      </c>
      <c r="E550" s="15" t="s">
        <v>219</v>
      </c>
      <c r="F550" s="15" t="s">
        <v>33</v>
      </c>
      <c r="G550" s="70">
        <f>'прил 5,'!G677+'прил 5,'!G524+'прил 5,'!G849</f>
        <v>2944255.42</v>
      </c>
      <c r="H550" s="70">
        <f>'прил 5,'!H677</f>
        <v>2383020</v>
      </c>
      <c r="I550" s="70">
        <f>'прил 5,'!I677</f>
        <v>0</v>
      </c>
      <c r="J550" s="111"/>
      <c r="P550" s="111"/>
      <c r="Q550" s="111"/>
      <c r="R550" s="111"/>
      <c r="S550" s="111"/>
      <c r="T550" s="111"/>
    </row>
    <row r="551" spans="1:20" s="3" customFormat="1" hidden="1">
      <c r="A551" s="16" t="s">
        <v>35</v>
      </c>
      <c r="B551" s="14">
        <v>774</v>
      </c>
      <c r="C551" s="15" t="s">
        <v>26</v>
      </c>
      <c r="D551" s="15" t="s">
        <v>28</v>
      </c>
      <c r="E551" s="15" t="s">
        <v>219</v>
      </c>
      <c r="F551" s="15" t="s">
        <v>52</v>
      </c>
      <c r="G551" s="70"/>
      <c r="H551" s="87"/>
      <c r="I551" s="87"/>
      <c r="J551" s="111"/>
      <c r="P551" s="111"/>
      <c r="Q551" s="111"/>
      <c r="R551" s="111"/>
      <c r="S551" s="111"/>
      <c r="T551" s="111"/>
    </row>
    <row r="552" spans="1:20" s="3" customFormat="1" ht="25.5" hidden="1">
      <c r="A552" s="16" t="s">
        <v>675</v>
      </c>
      <c r="B552" s="14">
        <v>774</v>
      </c>
      <c r="C552" s="15" t="s">
        <v>26</v>
      </c>
      <c r="D552" s="15" t="s">
        <v>70</v>
      </c>
      <c r="E552" s="84" t="s">
        <v>727</v>
      </c>
      <c r="F552" s="15"/>
      <c r="G552" s="70">
        <f t="shared" ref="G552:I553" si="147">G553</f>
        <v>0</v>
      </c>
      <c r="H552" s="70">
        <f t="shared" si="147"/>
        <v>0</v>
      </c>
      <c r="I552" s="70">
        <f t="shared" si="147"/>
        <v>0</v>
      </c>
      <c r="P552" s="111"/>
      <c r="Q552" s="111"/>
      <c r="R552" s="111"/>
      <c r="S552" s="111"/>
      <c r="T552" s="111"/>
    </row>
    <row r="553" spans="1:20" s="3" customFormat="1" ht="25.5" hidden="1">
      <c r="A553" s="16" t="s">
        <v>30</v>
      </c>
      <c r="B553" s="14">
        <v>774</v>
      </c>
      <c r="C553" s="15" t="s">
        <v>26</v>
      </c>
      <c r="D553" s="15" t="s">
        <v>70</v>
      </c>
      <c r="E553" s="84" t="s">
        <v>727</v>
      </c>
      <c r="F553" s="15" t="s">
        <v>31</v>
      </c>
      <c r="G553" s="70">
        <f t="shared" si="147"/>
        <v>0</v>
      </c>
      <c r="H553" s="70">
        <f t="shared" si="147"/>
        <v>0</v>
      </c>
      <c r="I553" s="70">
        <f t="shared" si="147"/>
        <v>0</v>
      </c>
      <c r="P553" s="111"/>
      <c r="Q553" s="111"/>
      <c r="R553" s="111"/>
      <c r="S553" s="111"/>
      <c r="T553" s="111"/>
    </row>
    <row r="554" spans="1:20" s="3" customFormat="1" hidden="1">
      <c r="A554" s="16" t="s">
        <v>32</v>
      </c>
      <c r="B554" s="14">
        <v>774</v>
      </c>
      <c r="C554" s="15" t="s">
        <v>26</v>
      </c>
      <c r="D554" s="15" t="s">
        <v>70</v>
      </c>
      <c r="E554" s="84" t="s">
        <v>727</v>
      </c>
      <c r="F554" s="15" t="s">
        <v>33</v>
      </c>
      <c r="G554" s="70">
        <f>'прил 5,'!G864</f>
        <v>0</v>
      </c>
      <c r="H554" s="70"/>
      <c r="I554" s="70"/>
      <c r="P554" s="111"/>
      <c r="Q554" s="111"/>
      <c r="R554" s="111"/>
      <c r="S554" s="111"/>
      <c r="T554" s="111"/>
    </row>
    <row r="555" spans="1:20" s="3" customFormat="1" ht="25.5">
      <c r="A555" s="16" t="s">
        <v>1013</v>
      </c>
      <c r="B555" s="14">
        <v>774</v>
      </c>
      <c r="C555" s="15" t="s">
        <v>26</v>
      </c>
      <c r="D555" s="15" t="s">
        <v>28</v>
      </c>
      <c r="E555" s="84" t="s">
        <v>1011</v>
      </c>
      <c r="F555" s="15"/>
      <c r="G555" s="70">
        <f t="shared" ref="G555:I556" si="148">G556</f>
        <v>2326156.15</v>
      </c>
      <c r="H555" s="70">
        <f t="shared" si="148"/>
        <v>1375565</v>
      </c>
      <c r="I555" s="70">
        <f t="shared" si="148"/>
        <v>3832815</v>
      </c>
      <c r="J555" s="177"/>
      <c r="K555" s="199"/>
      <c r="L555" s="199"/>
      <c r="M555" s="199"/>
      <c r="N555" s="199"/>
      <c r="O555" s="199"/>
      <c r="P555" s="199"/>
      <c r="Q555" s="199"/>
      <c r="R555" s="199"/>
    </row>
    <row r="556" spans="1:20" s="3" customFormat="1" ht="25.5">
      <c r="A556" s="16" t="s">
        <v>30</v>
      </c>
      <c r="B556" s="14">
        <v>774</v>
      </c>
      <c r="C556" s="15" t="s">
        <v>26</v>
      </c>
      <c r="D556" s="15" t="s">
        <v>28</v>
      </c>
      <c r="E556" s="84" t="s">
        <v>1011</v>
      </c>
      <c r="F556" s="15" t="s">
        <v>31</v>
      </c>
      <c r="G556" s="70">
        <f t="shared" si="148"/>
        <v>2326156.15</v>
      </c>
      <c r="H556" s="70">
        <f t="shared" si="148"/>
        <v>1375565</v>
      </c>
      <c r="I556" s="70">
        <f t="shared" si="148"/>
        <v>3832815</v>
      </c>
      <c r="J556" s="177"/>
      <c r="K556" s="199"/>
      <c r="L556" s="199"/>
      <c r="M556" s="199"/>
      <c r="N556" s="199"/>
      <c r="O556" s="199"/>
      <c r="P556" s="199"/>
      <c r="Q556" s="199"/>
      <c r="R556" s="199"/>
    </row>
    <row r="557" spans="1:20" s="3" customFormat="1">
      <c r="A557" s="82" t="s">
        <v>32</v>
      </c>
      <c r="B557" s="14">
        <v>774</v>
      </c>
      <c r="C557" s="15" t="s">
        <v>26</v>
      </c>
      <c r="D557" s="15" t="s">
        <v>28</v>
      </c>
      <c r="E557" s="84" t="s">
        <v>1011</v>
      </c>
      <c r="F557" s="15" t="s">
        <v>33</v>
      </c>
      <c r="G557" s="70">
        <f>'прил 5,'!G680+'прил 5,'!G852+'прил 5,'!G527</f>
        <v>2326156.15</v>
      </c>
      <c r="H557" s="70">
        <f>'прил 5,'!H680+'прил 5,'!H852</f>
        <v>1375565</v>
      </c>
      <c r="I557" s="70">
        <f>'прил 5,'!I680+'прил 5,'!I852</f>
        <v>3832815</v>
      </c>
      <c r="J557" s="177"/>
      <c r="K557" s="199"/>
      <c r="L557" s="199"/>
      <c r="M557" s="199"/>
      <c r="N557" s="199"/>
      <c r="O557" s="199"/>
      <c r="P557" s="199"/>
      <c r="Q557" s="199"/>
      <c r="R557" s="199"/>
    </row>
    <row r="558" spans="1:20" s="3" customFormat="1" ht="25.5">
      <c r="A558" s="16" t="s">
        <v>294</v>
      </c>
      <c r="B558" s="14">
        <v>774</v>
      </c>
      <c r="C558" s="15" t="s">
        <v>26</v>
      </c>
      <c r="D558" s="15" t="s">
        <v>28</v>
      </c>
      <c r="E558" s="15" t="s">
        <v>293</v>
      </c>
      <c r="F558" s="15"/>
      <c r="G558" s="70">
        <f t="shared" ref="G558:I559" si="149">G559</f>
        <v>2146368.09</v>
      </c>
      <c r="H558" s="70">
        <f t="shared" si="149"/>
        <v>2317566</v>
      </c>
      <c r="I558" s="70">
        <f t="shared" si="149"/>
        <v>2717566</v>
      </c>
      <c r="J558" s="111"/>
      <c r="P558" s="111"/>
      <c r="Q558" s="111"/>
      <c r="R558" s="111"/>
      <c r="S558" s="111"/>
      <c r="T558" s="111"/>
    </row>
    <row r="559" spans="1:20" s="3" customFormat="1" ht="25.5">
      <c r="A559" s="16" t="s">
        <v>30</v>
      </c>
      <c r="B559" s="14">
        <v>774</v>
      </c>
      <c r="C559" s="15" t="s">
        <v>26</v>
      </c>
      <c r="D559" s="15" t="s">
        <v>28</v>
      </c>
      <c r="E559" s="15" t="s">
        <v>293</v>
      </c>
      <c r="F559" s="15" t="s">
        <v>31</v>
      </c>
      <c r="G559" s="70">
        <f t="shared" si="149"/>
        <v>2146368.09</v>
      </c>
      <c r="H559" s="70">
        <f t="shared" si="149"/>
        <v>2317566</v>
      </c>
      <c r="I559" s="70">
        <f t="shared" si="149"/>
        <v>2717566</v>
      </c>
      <c r="J559" s="111"/>
      <c r="P559" s="111"/>
      <c r="Q559" s="111"/>
      <c r="R559" s="111"/>
      <c r="S559" s="111"/>
      <c r="T559" s="111"/>
    </row>
    <row r="560" spans="1:20" s="3" customFormat="1">
      <c r="A560" s="16" t="s">
        <v>32</v>
      </c>
      <c r="B560" s="14">
        <v>774</v>
      </c>
      <c r="C560" s="15" t="s">
        <v>26</v>
      </c>
      <c r="D560" s="15" t="s">
        <v>28</v>
      </c>
      <c r="E560" s="15" t="s">
        <v>293</v>
      </c>
      <c r="F560" s="15" t="s">
        <v>33</v>
      </c>
      <c r="G560" s="70">
        <f>'прил 5,'!G533+'прил 5,'!G734+'прил 5,'!G861+'прил 5,'!G855</f>
        <v>2146368.09</v>
      </c>
      <c r="H560" s="70">
        <f>'прил 5,'!H533+'прил 5,'!H734+'прил 5,'!H861+'прил 5,'!H855</f>
        <v>2317566</v>
      </c>
      <c r="I560" s="70">
        <f>'прил 5,'!I533+'прил 5,'!I734+'прил 5,'!I861+'прил 5,'!I855</f>
        <v>2717566</v>
      </c>
      <c r="J560" s="111"/>
      <c r="P560" s="111"/>
      <c r="Q560" s="111"/>
      <c r="R560" s="111"/>
      <c r="S560" s="111"/>
      <c r="T560" s="111"/>
    </row>
    <row r="561" spans="1:20" s="3" customFormat="1" ht="46.5" hidden="1" customHeight="1">
      <c r="A561" s="16" t="s">
        <v>748</v>
      </c>
      <c r="B561" s="14">
        <v>774</v>
      </c>
      <c r="C561" s="15" t="s">
        <v>26</v>
      </c>
      <c r="D561" s="15" t="s">
        <v>28</v>
      </c>
      <c r="E561" s="84" t="s">
        <v>735</v>
      </c>
      <c r="F561" s="15"/>
      <c r="G561" s="70">
        <f t="shared" ref="G561:I562" si="150">G562</f>
        <v>0</v>
      </c>
      <c r="H561" s="70">
        <f t="shared" si="150"/>
        <v>0</v>
      </c>
      <c r="I561" s="70">
        <f t="shared" si="150"/>
        <v>0</v>
      </c>
      <c r="P561" s="111"/>
      <c r="Q561" s="111"/>
      <c r="R561" s="111"/>
      <c r="S561" s="111"/>
      <c r="T561" s="111"/>
    </row>
    <row r="562" spans="1:20" s="3" customFormat="1" ht="25.5" hidden="1">
      <c r="A562" s="16" t="s">
        <v>30</v>
      </c>
      <c r="B562" s="14">
        <v>774</v>
      </c>
      <c r="C562" s="15" t="s">
        <v>26</v>
      </c>
      <c r="D562" s="15" t="s">
        <v>28</v>
      </c>
      <c r="E562" s="15" t="s">
        <v>735</v>
      </c>
      <c r="F562" s="15" t="s">
        <v>31</v>
      </c>
      <c r="G562" s="70">
        <f t="shared" si="150"/>
        <v>0</v>
      </c>
      <c r="H562" s="70">
        <f t="shared" si="150"/>
        <v>0</v>
      </c>
      <c r="I562" s="70">
        <f t="shared" si="150"/>
        <v>0</v>
      </c>
      <c r="P562" s="111"/>
      <c r="Q562" s="111"/>
      <c r="R562" s="111"/>
      <c r="S562" s="111"/>
      <c r="T562" s="111"/>
    </row>
    <row r="563" spans="1:20" s="3" customFormat="1" hidden="1">
      <c r="A563" s="16" t="s">
        <v>32</v>
      </c>
      <c r="B563" s="14">
        <v>774</v>
      </c>
      <c r="C563" s="15" t="s">
        <v>26</v>
      </c>
      <c r="D563" s="15" t="s">
        <v>28</v>
      </c>
      <c r="E563" s="15" t="s">
        <v>735</v>
      </c>
      <c r="F563" s="15" t="s">
        <v>33</v>
      </c>
      <c r="G563" s="70">
        <f>'прил 5,'!G547</f>
        <v>0</v>
      </c>
      <c r="H563" s="70">
        <f>'прил 5,'!H695</f>
        <v>0</v>
      </c>
      <c r="I563" s="70">
        <f>'прил 5,'!I695</f>
        <v>0</v>
      </c>
      <c r="P563" s="111"/>
      <c r="Q563" s="111"/>
      <c r="R563" s="111"/>
      <c r="S563" s="111"/>
      <c r="T563" s="111"/>
    </row>
    <row r="564" spans="1:20" s="3" customFormat="1" ht="49.5" customHeight="1">
      <c r="A564" s="16" t="s">
        <v>964</v>
      </c>
      <c r="B564" s="14">
        <v>774</v>
      </c>
      <c r="C564" s="15" t="s">
        <v>26</v>
      </c>
      <c r="D564" s="15" t="s">
        <v>28</v>
      </c>
      <c r="E564" s="84" t="s">
        <v>738</v>
      </c>
      <c r="F564" s="84"/>
      <c r="G564" s="87">
        <f t="shared" ref="G564:I568" si="151">G565</f>
        <v>3461741</v>
      </c>
      <c r="H564" s="87">
        <f t="shared" si="151"/>
        <v>1975565</v>
      </c>
      <c r="I564" s="87">
        <f t="shared" si="151"/>
        <v>2975565</v>
      </c>
      <c r="P564" s="111"/>
      <c r="Q564" s="111"/>
      <c r="R564" s="111"/>
      <c r="S564" s="111"/>
      <c r="T564" s="111"/>
    </row>
    <row r="565" spans="1:20" s="3" customFormat="1" ht="25.5">
      <c r="A565" s="16" t="s">
        <v>30</v>
      </c>
      <c r="B565" s="14">
        <v>774</v>
      </c>
      <c r="C565" s="15" t="s">
        <v>26</v>
      </c>
      <c r="D565" s="15" t="s">
        <v>28</v>
      </c>
      <c r="E565" s="84" t="s">
        <v>738</v>
      </c>
      <c r="F565" s="84" t="s">
        <v>31</v>
      </c>
      <c r="G565" s="87">
        <f t="shared" si="151"/>
        <v>3461741</v>
      </c>
      <c r="H565" s="87">
        <f t="shared" si="151"/>
        <v>1975565</v>
      </c>
      <c r="I565" s="87">
        <f t="shared" si="151"/>
        <v>2975565</v>
      </c>
      <c r="P565" s="111"/>
      <c r="Q565" s="111"/>
      <c r="R565" s="111"/>
      <c r="S565" s="111"/>
      <c r="T565" s="111"/>
    </row>
    <row r="566" spans="1:20" s="3" customFormat="1">
      <c r="A566" s="16" t="s">
        <v>32</v>
      </c>
      <c r="B566" s="14">
        <v>774</v>
      </c>
      <c r="C566" s="15" t="s">
        <v>26</v>
      </c>
      <c r="D566" s="15" t="s">
        <v>28</v>
      </c>
      <c r="E566" s="84" t="s">
        <v>738</v>
      </c>
      <c r="F566" s="84" t="s">
        <v>33</v>
      </c>
      <c r="G566" s="87">
        <f>'прил 5,'!G683+'прил 5,'!G530</f>
        <v>3461741</v>
      </c>
      <c r="H566" s="87">
        <f>'прил 5,'!H683+'прил 5,'!H530</f>
        <v>1975565</v>
      </c>
      <c r="I566" s="87">
        <f>'прил 5,'!I683+'прил 5,'!I530</f>
        <v>2975565</v>
      </c>
      <c r="P566" s="111"/>
      <c r="Q566" s="111"/>
      <c r="R566" s="111"/>
      <c r="S566" s="111"/>
      <c r="T566" s="111"/>
    </row>
    <row r="567" spans="1:20" s="3" customFormat="1" ht="38.25" hidden="1">
      <c r="A567" s="16" t="s">
        <v>639</v>
      </c>
      <c r="B567" s="14">
        <v>774</v>
      </c>
      <c r="C567" s="15" t="s">
        <v>26</v>
      </c>
      <c r="D567" s="15" t="s">
        <v>28</v>
      </c>
      <c r="E567" s="84" t="s">
        <v>638</v>
      </c>
      <c r="F567" s="84"/>
      <c r="G567" s="87">
        <f t="shared" si="151"/>
        <v>0</v>
      </c>
      <c r="H567" s="70">
        <f t="shared" si="151"/>
        <v>0</v>
      </c>
      <c r="I567" s="70">
        <f t="shared" si="151"/>
        <v>0</v>
      </c>
      <c r="P567" s="111"/>
      <c r="Q567" s="111"/>
      <c r="R567" s="111"/>
      <c r="S567" s="111"/>
      <c r="T567" s="111"/>
    </row>
    <row r="568" spans="1:20" s="3" customFormat="1" ht="25.5" hidden="1">
      <c r="A568" s="16" t="s">
        <v>30</v>
      </c>
      <c r="B568" s="14">
        <v>774</v>
      </c>
      <c r="C568" s="15" t="s">
        <v>26</v>
      </c>
      <c r="D568" s="15" t="s">
        <v>28</v>
      </c>
      <c r="E568" s="84" t="s">
        <v>638</v>
      </c>
      <c r="F568" s="84" t="s">
        <v>31</v>
      </c>
      <c r="G568" s="87">
        <f t="shared" si="151"/>
        <v>0</v>
      </c>
      <c r="H568" s="70">
        <f t="shared" si="151"/>
        <v>0</v>
      </c>
      <c r="I568" s="70">
        <f t="shared" si="151"/>
        <v>0</v>
      </c>
      <c r="P568" s="111"/>
      <c r="Q568" s="111"/>
      <c r="R568" s="111"/>
      <c r="S568" s="111"/>
      <c r="T568" s="111"/>
    </row>
    <row r="569" spans="1:20" s="3" customFormat="1" hidden="1">
      <c r="A569" s="16" t="s">
        <v>32</v>
      </c>
      <c r="B569" s="14">
        <v>774</v>
      </c>
      <c r="C569" s="15" t="s">
        <v>26</v>
      </c>
      <c r="D569" s="15" t="s">
        <v>28</v>
      </c>
      <c r="E569" s="84" t="s">
        <v>638</v>
      </c>
      <c r="F569" s="84" t="s">
        <v>33</v>
      </c>
      <c r="G569" s="87">
        <f>'прил 5,'!G698</f>
        <v>0</v>
      </c>
      <c r="H569" s="70"/>
      <c r="I569" s="70"/>
      <c r="P569" s="111"/>
      <c r="Q569" s="111"/>
      <c r="R569" s="111"/>
      <c r="S569" s="111"/>
      <c r="T569" s="111"/>
    </row>
    <row r="570" spans="1:20" s="3" customFormat="1" ht="49.5" customHeight="1">
      <c r="A570" s="16" t="s">
        <v>914</v>
      </c>
      <c r="B570" s="14">
        <v>774</v>
      </c>
      <c r="C570" s="15" t="s">
        <v>26</v>
      </c>
      <c r="D570" s="15" t="s">
        <v>28</v>
      </c>
      <c r="E570" s="84" t="s">
        <v>898</v>
      </c>
      <c r="F570" s="15"/>
      <c r="G570" s="70">
        <f t="shared" ref="G570:I571" si="152">G571</f>
        <v>978810.2</v>
      </c>
      <c r="H570" s="70">
        <f t="shared" si="152"/>
        <v>0</v>
      </c>
      <c r="I570" s="70">
        <f t="shared" si="152"/>
        <v>0</v>
      </c>
      <c r="J570" s="176"/>
    </row>
    <row r="571" spans="1:20" s="3" customFormat="1" ht="25.5">
      <c r="A571" s="16" t="s">
        <v>30</v>
      </c>
      <c r="B571" s="14">
        <v>774</v>
      </c>
      <c r="C571" s="15" t="s">
        <v>26</v>
      </c>
      <c r="D571" s="15" t="s">
        <v>28</v>
      </c>
      <c r="E571" s="84" t="s">
        <v>898</v>
      </c>
      <c r="F571" s="15" t="s">
        <v>31</v>
      </c>
      <c r="G571" s="70">
        <f t="shared" si="152"/>
        <v>978810.2</v>
      </c>
      <c r="H571" s="70">
        <f t="shared" si="152"/>
        <v>0</v>
      </c>
      <c r="I571" s="70">
        <f t="shared" si="152"/>
        <v>0</v>
      </c>
      <c r="J571" s="176"/>
    </row>
    <row r="572" spans="1:20" s="3" customFormat="1">
      <c r="A572" s="16" t="s">
        <v>32</v>
      </c>
      <c r="B572" s="14">
        <v>774</v>
      </c>
      <c r="C572" s="15" t="s">
        <v>26</v>
      </c>
      <c r="D572" s="15" t="s">
        <v>28</v>
      </c>
      <c r="E572" s="84" t="s">
        <v>898</v>
      </c>
      <c r="F572" s="15" t="s">
        <v>33</v>
      </c>
      <c r="G572" s="70">
        <f>'прил 5,'!G704</f>
        <v>978810.2</v>
      </c>
      <c r="H572" s="70">
        <v>0</v>
      </c>
      <c r="I572" s="70">
        <v>0</v>
      </c>
      <c r="J572" s="176"/>
    </row>
    <row r="573" spans="1:20" s="3" customFormat="1" ht="49.5" customHeight="1">
      <c r="A573" s="16" t="s">
        <v>1058</v>
      </c>
      <c r="B573" s="14">
        <v>774</v>
      </c>
      <c r="C573" s="15" t="s">
        <v>26</v>
      </c>
      <c r="D573" s="15" t="s">
        <v>28</v>
      </c>
      <c r="E573" s="84" t="s">
        <v>1057</v>
      </c>
      <c r="F573" s="15"/>
      <c r="G573" s="70">
        <f t="shared" ref="G573:I574" si="153">G574</f>
        <v>40000</v>
      </c>
      <c r="H573" s="70">
        <f t="shared" si="153"/>
        <v>0</v>
      </c>
      <c r="I573" s="70">
        <f t="shared" si="153"/>
        <v>0</v>
      </c>
      <c r="J573" s="177"/>
      <c r="K573" s="199"/>
      <c r="L573" s="199"/>
      <c r="M573" s="199"/>
      <c r="N573" s="199"/>
      <c r="O573" s="199"/>
      <c r="P573" s="199"/>
      <c r="Q573" s="199"/>
      <c r="R573" s="199"/>
    </row>
    <row r="574" spans="1:20" s="3" customFormat="1" ht="25.5">
      <c r="A574" s="16" t="s">
        <v>30</v>
      </c>
      <c r="B574" s="14">
        <v>774</v>
      </c>
      <c r="C574" s="15" t="s">
        <v>26</v>
      </c>
      <c r="D574" s="15" t="s">
        <v>28</v>
      </c>
      <c r="E574" s="84" t="s">
        <v>1057</v>
      </c>
      <c r="F574" s="15" t="s">
        <v>31</v>
      </c>
      <c r="G574" s="70">
        <f t="shared" si="153"/>
        <v>40000</v>
      </c>
      <c r="H574" s="70">
        <f t="shared" si="153"/>
        <v>0</v>
      </c>
      <c r="I574" s="70">
        <f t="shared" si="153"/>
        <v>0</v>
      </c>
      <c r="J574" s="177"/>
      <c r="K574" s="199"/>
      <c r="L574" s="199"/>
      <c r="M574" s="199"/>
      <c r="N574" s="199"/>
      <c r="O574" s="199"/>
      <c r="P574" s="199"/>
      <c r="Q574" s="199"/>
      <c r="R574" s="199"/>
    </row>
    <row r="575" spans="1:20" s="3" customFormat="1">
      <c r="A575" s="16" t="s">
        <v>32</v>
      </c>
      <c r="B575" s="14">
        <v>774</v>
      </c>
      <c r="C575" s="15" t="s">
        <v>26</v>
      </c>
      <c r="D575" s="15" t="s">
        <v>28</v>
      </c>
      <c r="E575" s="84" t="s">
        <v>1057</v>
      </c>
      <c r="F575" s="15" t="s">
        <v>33</v>
      </c>
      <c r="G575" s="70">
        <v>40000</v>
      </c>
      <c r="H575" s="70">
        <v>0</v>
      </c>
      <c r="I575" s="70">
        <v>0</v>
      </c>
      <c r="J575" s="177"/>
      <c r="K575" s="199"/>
      <c r="L575" s="199"/>
      <c r="M575" s="199"/>
      <c r="N575" s="199"/>
      <c r="O575" s="199"/>
      <c r="P575" s="199"/>
      <c r="Q575" s="199"/>
      <c r="R575" s="199"/>
    </row>
    <row r="576" spans="1:20" s="3" customFormat="1" ht="49.5" customHeight="1">
      <c r="A576" s="16" t="s">
        <v>915</v>
      </c>
      <c r="B576" s="14">
        <v>774</v>
      </c>
      <c r="C576" s="15" t="s">
        <v>26</v>
      </c>
      <c r="D576" s="15" t="s">
        <v>28</v>
      </c>
      <c r="E576" s="84" t="s">
        <v>899</v>
      </c>
      <c r="F576" s="15"/>
      <c r="G576" s="70">
        <f t="shared" ref="G576:I577" si="154">G577</f>
        <v>0</v>
      </c>
      <c r="H576" s="70">
        <f t="shared" si="154"/>
        <v>2337991.4</v>
      </c>
      <c r="I576" s="70">
        <f t="shared" si="154"/>
        <v>0</v>
      </c>
      <c r="J576" s="176"/>
    </row>
    <row r="577" spans="1:18" s="3" customFormat="1" ht="25.5">
      <c r="A577" s="16" t="s">
        <v>30</v>
      </c>
      <c r="B577" s="14">
        <v>774</v>
      </c>
      <c r="C577" s="15" t="s">
        <v>26</v>
      </c>
      <c r="D577" s="15" t="s">
        <v>28</v>
      </c>
      <c r="E577" s="84" t="s">
        <v>899</v>
      </c>
      <c r="F577" s="15" t="s">
        <v>31</v>
      </c>
      <c r="G577" s="70">
        <f t="shared" si="154"/>
        <v>0</v>
      </c>
      <c r="H577" s="70">
        <f t="shared" si="154"/>
        <v>2337991.4</v>
      </c>
      <c r="I577" s="70">
        <f t="shared" si="154"/>
        <v>0</v>
      </c>
      <c r="J577" s="176"/>
    </row>
    <row r="578" spans="1:18" s="3" customFormat="1">
      <c r="A578" s="16" t="s">
        <v>32</v>
      </c>
      <c r="B578" s="14">
        <v>774</v>
      </c>
      <c r="C578" s="15" t="s">
        <v>26</v>
      </c>
      <c r="D578" s="15" t="s">
        <v>28</v>
      </c>
      <c r="E578" s="84" t="s">
        <v>899</v>
      </c>
      <c r="F578" s="15" t="s">
        <v>33</v>
      </c>
      <c r="G578" s="70">
        <f>'прил 5,'!G701</f>
        <v>0</v>
      </c>
      <c r="H578" s="70">
        <f>'прил 5,'!H701</f>
        <v>2337991.4</v>
      </c>
      <c r="I578" s="70">
        <f>'прил 5,'!I701</f>
        <v>0</v>
      </c>
      <c r="J578" s="176"/>
    </row>
    <row r="579" spans="1:18" s="3" customFormat="1" ht="49.5" customHeight="1">
      <c r="A579" s="16" t="s">
        <v>1064</v>
      </c>
      <c r="B579" s="14">
        <v>774</v>
      </c>
      <c r="C579" s="15" t="s">
        <v>26</v>
      </c>
      <c r="D579" s="15" t="s">
        <v>28</v>
      </c>
      <c r="E579" s="84" t="s">
        <v>1063</v>
      </c>
      <c r="F579" s="15"/>
      <c r="G579" s="70">
        <f t="shared" ref="G579:I580" si="155">G580</f>
        <v>750000</v>
      </c>
      <c r="H579" s="70">
        <f t="shared" si="155"/>
        <v>0</v>
      </c>
      <c r="I579" s="70">
        <f t="shared" si="155"/>
        <v>0</v>
      </c>
      <c r="J579" s="177"/>
      <c r="K579" s="199"/>
      <c r="L579" s="199"/>
      <c r="M579" s="199"/>
      <c r="N579" s="199"/>
      <c r="O579" s="199"/>
      <c r="P579" s="199"/>
      <c r="Q579" s="199"/>
      <c r="R579" s="199"/>
    </row>
    <row r="580" spans="1:18" s="3" customFormat="1" ht="25.5">
      <c r="A580" s="16" t="s">
        <v>30</v>
      </c>
      <c r="B580" s="14">
        <v>774</v>
      </c>
      <c r="C580" s="15" t="s">
        <v>26</v>
      </c>
      <c r="D580" s="15" t="s">
        <v>28</v>
      </c>
      <c r="E580" s="84" t="s">
        <v>1063</v>
      </c>
      <c r="F580" s="15" t="s">
        <v>31</v>
      </c>
      <c r="G580" s="70">
        <f t="shared" si="155"/>
        <v>750000</v>
      </c>
      <c r="H580" s="70">
        <f t="shared" si="155"/>
        <v>0</v>
      </c>
      <c r="I580" s="70">
        <f t="shared" si="155"/>
        <v>0</v>
      </c>
      <c r="J580" s="177"/>
      <c r="K580" s="199"/>
      <c r="L580" s="199"/>
      <c r="M580" s="199"/>
      <c r="N580" s="199"/>
      <c r="O580" s="199"/>
      <c r="P580" s="199"/>
      <c r="Q580" s="199"/>
      <c r="R580" s="199"/>
    </row>
    <row r="581" spans="1:18" s="3" customFormat="1">
      <c r="A581" s="16" t="s">
        <v>32</v>
      </c>
      <c r="B581" s="14">
        <v>774</v>
      </c>
      <c r="C581" s="15" t="s">
        <v>26</v>
      </c>
      <c r="D581" s="15" t="s">
        <v>28</v>
      </c>
      <c r="E581" s="84" t="s">
        <v>1063</v>
      </c>
      <c r="F581" s="15" t="s">
        <v>33</v>
      </c>
      <c r="G581" s="70">
        <f>'прил 5,'!G707</f>
        <v>750000</v>
      </c>
      <c r="H581" s="70">
        <v>0</v>
      </c>
      <c r="I581" s="70">
        <v>0</v>
      </c>
      <c r="J581" s="177"/>
      <c r="K581" s="199"/>
      <c r="L581" s="199"/>
      <c r="M581" s="199"/>
      <c r="N581" s="199"/>
      <c r="O581" s="199"/>
      <c r="P581" s="199"/>
      <c r="Q581" s="199"/>
      <c r="R581" s="199"/>
    </row>
    <row r="582" spans="1:18" s="3" customFormat="1" ht="49.5" customHeight="1">
      <c r="A582" s="16" t="s">
        <v>1068</v>
      </c>
      <c r="B582" s="14">
        <v>774</v>
      </c>
      <c r="C582" s="15" t="s">
        <v>26</v>
      </c>
      <c r="D582" s="15" t="s">
        <v>28</v>
      </c>
      <c r="E582" s="84" t="s">
        <v>1067</v>
      </c>
      <c r="F582" s="15"/>
      <c r="G582" s="70">
        <f t="shared" ref="G582:I583" si="156">G583</f>
        <v>30000</v>
      </c>
      <c r="H582" s="70">
        <f t="shared" si="156"/>
        <v>0</v>
      </c>
      <c r="I582" s="70">
        <f t="shared" si="156"/>
        <v>0</v>
      </c>
      <c r="J582" s="177"/>
      <c r="K582" s="199"/>
      <c r="L582" s="199"/>
      <c r="M582" s="199"/>
      <c r="N582" s="199"/>
      <c r="O582" s="199"/>
      <c r="P582" s="199"/>
      <c r="Q582" s="199"/>
      <c r="R582" s="199"/>
    </row>
    <row r="583" spans="1:18" s="3" customFormat="1" ht="25.5">
      <c r="A583" s="16" t="s">
        <v>30</v>
      </c>
      <c r="B583" s="14">
        <v>774</v>
      </c>
      <c r="C583" s="15" t="s">
        <v>26</v>
      </c>
      <c r="D583" s="15" t="s">
        <v>28</v>
      </c>
      <c r="E583" s="84" t="s">
        <v>1067</v>
      </c>
      <c r="F583" s="15" t="s">
        <v>31</v>
      </c>
      <c r="G583" s="70">
        <f t="shared" si="156"/>
        <v>30000</v>
      </c>
      <c r="H583" s="70">
        <f t="shared" si="156"/>
        <v>0</v>
      </c>
      <c r="I583" s="70">
        <f t="shared" si="156"/>
        <v>0</v>
      </c>
      <c r="J583" s="177"/>
      <c r="K583" s="199"/>
      <c r="L583" s="199"/>
      <c r="M583" s="199"/>
      <c r="N583" s="199"/>
      <c r="O583" s="199"/>
      <c r="P583" s="199"/>
      <c r="Q583" s="199"/>
      <c r="R583" s="199"/>
    </row>
    <row r="584" spans="1:18" s="3" customFormat="1">
      <c r="A584" s="16" t="s">
        <v>32</v>
      </c>
      <c r="B584" s="14">
        <v>774</v>
      </c>
      <c r="C584" s="15" t="s">
        <v>26</v>
      </c>
      <c r="D584" s="15" t="s">
        <v>28</v>
      </c>
      <c r="E584" s="84" t="s">
        <v>1067</v>
      </c>
      <c r="F584" s="15" t="s">
        <v>33</v>
      </c>
      <c r="G584" s="70">
        <f>'прил 5,'!G710</f>
        <v>30000</v>
      </c>
      <c r="H584" s="70">
        <v>0</v>
      </c>
      <c r="I584" s="70">
        <v>0</v>
      </c>
      <c r="J584" s="177"/>
      <c r="K584" s="199"/>
      <c r="L584" s="199"/>
      <c r="M584" s="199"/>
      <c r="N584" s="199"/>
      <c r="O584" s="199"/>
      <c r="P584" s="199"/>
      <c r="Q584" s="199"/>
      <c r="R584" s="199"/>
    </row>
    <row r="585" spans="1:18" s="151" customFormat="1" ht="61.5" customHeight="1">
      <c r="A585" s="82" t="s">
        <v>1089</v>
      </c>
      <c r="B585" s="149">
        <v>774</v>
      </c>
      <c r="C585" s="84" t="s">
        <v>26</v>
      </c>
      <c r="D585" s="84" t="s">
        <v>28</v>
      </c>
      <c r="E585" s="84" t="s">
        <v>1084</v>
      </c>
      <c r="F585" s="84"/>
      <c r="G585" s="87">
        <f t="shared" ref="G585:I598" si="157">G586</f>
        <v>55000</v>
      </c>
      <c r="H585" s="87">
        <f t="shared" si="157"/>
        <v>0</v>
      </c>
      <c r="I585" s="87">
        <f t="shared" si="157"/>
        <v>0</v>
      </c>
      <c r="J585" s="177"/>
      <c r="K585" s="199"/>
      <c r="L585" s="199"/>
      <c r="M585" s="199"/>
      <c r="N585" s="199"/>
      <c r="O585" s="199"/>
      <c r="P585" s="199"/>
      <c r="Q585" s="199"/>
      <c r="R585" s="199"/>
    </row>
    <row r="586" spans="1:18" s="3" customFormat="1" ht="25.5">
      <c r="A586" s="82" t="s">
        <v>30</v>
      </c>
      <c r="B586" s="149">
        <v>774</v>
      </c>
      <c r="C586" s="84" t="s">
        <v>26</v>
      </c>
      <c r="D586" s="84" t="s">
        <v>28</v>
      </c>
      <c r="E586" s="84" t="s">
        <v>1084</v>
      </c>
      <c r="F586" s="84" t="s">
        <v>31</v>
      </c>
      <c r="G586" s="87">
        <f t="shared" si="157"/>
        <v>55000</v>
      </c>
      <c r="H586" s="87">
        <f t="shared" si="157"/>
        <v>0</v>
      </c>
      <c r="I586" s="87">
        <f t="shared" si="157"/>
        <v>0</v>
      </c>
      <c r="J586" s="177"/>
      <c r="K586" s="199"/>
      <c r="L586" s="199"/>
      <c r="M586" s="199"/>
      <c r="N586" s="199"/>
      <c r="O586" s="199"/>
      <c r="P586" s="199"/>
      <c r="Q586" s="199"/>
      <c r="R586" s="199"/>
    </row>
    <row r="587" spans="1:18" s="3" customFormat="1">
      <c r="A587" s="82" t="s">
        <v>32</v>
      </c>
      <c r="B587" s="149">
        <v>774</v>
      </c>
      <c r="C587" s="84" t="s">
        <v>26</v>
      </c>
      <c r="D587" s="84" t="s">
        <v>28</v>
      </c>
      <c r="E587" s="84" t="s">
        <v>1084</v>
      </c>
      <c r="F587" s="84" t="s">
        <v>33</v>
      </c>
      <c r="G587" s="87">
        <v>55000</v>
      </c>
      <c r="H587" s="87">
        <v>0</v>
      </c>
      <c r="I587" s="87">
        <v>0</v>
      </c>
      <c r="J587" s="177"/>
      <c r="K587" s="199"/>
      <c r="L587" s="199"/>
      <c r="M587" s="199"/>
      <c r="N587" s="199"/>
      <c r="O587" s="199"/>
      <c r="P587" s="199"/>
      <c r="Q587" s="199"/>
      <c r="R587" s="199"/>
    </row>
    <row r="588" spans="1:18" s="3" customFormat="1" ht="37.5" customHeight="1">
      <c r="A588" s="82" t="s">
        <v>1107</v>
      </c>
      <c r="B588" s="149">
        <v>774</v>
      </c>
      <c r="C588" s="84" t="s">
        <v>26</v>
      </c>
      <c r="D588" s="84" t="s">
        <v>28</v>
      </c>
      <c r="E588" s="84" t="s">
        <v>1085</v>
      </c>
      <c r="F588" s="84"/>
      <c r="G588" s="87">
        <f t="shared" si="157"/>
        <v>157081.29</v>
      </c>
      <c r="H588" s="87">
        <f t="shared" si="157"/>
        <v>0</v>
      </c>
      <c r="I588" s="87">
        <f t="shared" si="157"/>
        <v>0</v>
      </c>
      <c r="J588" s="177"/>
      <c r="K588" s="199"/>
      <c r="L588" s="199"/>
      <c r="M588" s="199"/>
      <c r="N588" s="199"/>
      <c r="O588" s="199"/>
      <c r="P588" s="199"/>
      <c r="Q588" s="199"/>
      <c r="R588" s="199"/>
    </row>
    <row r="589" spans="1:18" s="3" customFormat="1" ht="25.5">
      <c r="A589" s="82" t="s">
        <v>30</v>
      </c>
      <c r="B589" s="149">
        <v>774</v>
      </c>
      <c r="C589" s="84" t="s">
        <v>26</v>
      </c>
      <c r="D589" s="84" t="s">
        <v>28</v>
      </c>
      <c r="E589" s="84" t="s">
        <v>1085</v>
      </c>
      <c r="F589" s="84" t="s">
        <v>31</v>
      </c>
      <c r="G589" s="87">
        <f t="shared" si="157"/>
        <v>157081.29</v>
      </c>
      <c r="H589" s="87">
        <f t="shared" si="157"/>
        <v>0</v>
      </c>
      <c r="I589" s="87">
        <f t="shared" si="157"/>
        <v>0</v>
      </c>
      <c r="J589" s="177"/>
      <c r="K589" s="199"/>
      <c r="L589" s="199"/>
      <c r="M589" s="199"/>
      <c r="N589" s="199"/>
      <c r="O589" s="199"/>
      <c r="P589" s="199"/>
      <c r="Q589" s="199"/>
      <c r="R589" s="199"/>
    </row>
    <row r="590" spans="1:18" s="3" customFormat="1">
      <c r="A590" s="82" t="s">
        <v>32</v>
      </c>
      <c r="B590" s="149">
        <v>774</v>
      </c>
      <c r="C590" s="84" t="s">
        <v>26</v>
      </c>
      <c r="D590" s="84" t="s">
        <v>28</v>
      </c>
      <c r="E590" s="84" t="s">
        <v>1085</v>
      </c>
      <c r="F590" s="84" t="s">
        <v>33</v>
      </c>
      <c r="G590" s="87">
        <f>'прил 5,'!G716</f>
        <v>157081.29</v>
      </c>
      <c r="H590" s="87">
        <v>0</v>
      </c>
      <c r="I590" s="87">
        <v>0</v>
      </c>
      <c r="J590" s="177"/>
      <c r="K590" s="199"/>
      <c r="L590" s="199"/>
      <c r="M590" s="199"/>
      <c r="N590" s="199"/>
      <c r="O590" s="199"/>
      <c r="P590" s="199"/>
      <c r="Q590" s="199"/>
      <c r="R590" s="199"/>
    </row>
    <row r="591" spans="1:18" s="3" customFormat="1" ht="36" customHeight="1">
      <c r="A591" s="82" t="s">
        <v>1090</v>
      </c>
      <c r="B591" s="149">
        <v>774</v>
      </c>
      <c r="C591" s="84" t="s">
        <v>26</v>
      </c>
      <c r="D591" s="84" t="s">
        <v>28</v>
      </c>
      <c r="E591" s="84" t="s">
        <v>1086</v>
      </c>
      <c r="F591" s="84"/>
      <c r="G591" s="87">
        <f t="shared" si="157"/>
        <v>102969.74</v>
      </c>
      <c r="H591" s="87">
        <f t="shared" si="157"/>
        <v>0</v>
      </c>
      <c r="I591" s="87">
        <f t="shared" si="157"/>
        <v>0</v>
      </c>
      <c r="J591" s="177"/>
      <c r="K591" s="199"/>
      <c r="L591" s="199"/>
      <c r="M591" s="199"/>
      <c r="N591" s="199"/>
      <c r="O591" s="199"/>
      <c r="P591" s="199"/>
      <c r="Q591" s="199"/>
      <c r="R591" s="199"/>
    </row>
    <row r="592" spans="1:18" s="3" customFormat="1" ht="25.5">
      <c r="A592" s="82" t="s">
        <v>30</v>
      </c>
      <c r="B592" s="149">
        <v>774</v>
      </c>
      <c r="C592" s="84" t="s">
        <v>26</v>
      </c>
      <c r="D592" s="84" t="s">
        <v>28</v>
      </c>
      <c r="E592" s="84" t="s">
        <v>1086</v>
      </c>
      <c r="F592" s="84" t="s">
        <v>31</v>
      </c>
      <c r="G592" s="87">
        <f t="shared" si="157"/>
        <v>102969.74</v>
      </c>
      <c r="H592" s="87">
        <f t="shared" si="157"/>
        <v>0</v>
      </c>
      <c r="I592" s="87">
        <f t="shared" si="157"/>
        <v>0</v>
      </c>
      <c r="J592" s="177"/>
      <c r="K592" s="199"/>
      <c r="L592" s="199"/>
      <c r="M592" s="199"/>
      <c r="N592" s="199"/>
      <c r="O592" s="199"/>
      <c r="P592" s="199"/>
      <c r="Q592" s="199"/>
      <c r="R592" s="199"/>
    </row>
    <row r="593" spans="1:18" s="3" customFormat="1">
      <c r="A593" s="82" t="s">
        <v>32</v>
      </c>
      <c r="B593" s="149">
        <v>774</v>
      </c>
      <c r="C593" s="84" t="s">
        <v>26</v>
      </c>
      <c r="D593" s="84" t="s">
        <v>28</v>
      </c>
      <c r="E593" s="84" t="s">
        <v>1086</v>
      </c>
      <c r="F593" s="84" t="s">
        <v>33</v>
      </c>
      <c r="G593" s="87">
        <v>102969.74</v>
      </c>
      <c r="H593" s="87">
        <v>0</v>
      </c>
      <c r="I593" s="87">
        <v>0</v>
      </c>
      <c r="J593" s="177"/>
      <c r="K593" s="199"/>
      <c r="L593" s="199"/>
      <c r="M593" s="199"/>
      <c r="N593" s="199"/>
      <c r="O593" s="199"/>
      <c r="P593" s="199"/>
      <c r="Q593" s="199"/>
      <c r="R593" s="199"/>
    </row>
    <row r="594" spans="1:18" s="3" customFormat="1" ht="49.5" customHeight="1">
      <c r="A594" s="82" t="s">
        <v>1092</v>
      </c>
      <c r="B594" s="149">
        <v>774</v>
      </c>
      <c r="C594" s="84" t="s">
        <v>26</v>
      </c>
      <c r="D594" s="84" t="s">
        <v>28</v>
      </c>
      <c r="E594" s="84" t="s">
        <v>1087</v>
      </c>
      <c r="F594" s="84"/>
      <c r="G594" s="87">
        <f t="shared" si="157"/>
        <v>181777.27</v>
      </c>
      <c r="H594" s="87">
        <f t="shared" si="157"/>
        <v>0</v>
      </c>
      <c r="I594" s="87">
        <f t="shared" si="157"/>
        <v>0</v>
      </c>
      <c r="J594" s="177"/>
      <c r="K594" s="199"/>
      <c r="L594" s="199"/>
      <c r="M594" s="199"/>
      <c r="N594" s="199"/>
      <c r="O594" s="199"/>
      <c r="P594" s="199"/>
      <c r="Q594" s="199"/>
      <c r="R594" s="199"/>
    </row>
    <row r="595" spans="1:18" s="3" customFormat="1" ht="25.5">
      <c r="A595" s="82" t="s">
        <v>30</v>
      </c>
      <c r="B595" s="149">
        <v>774</v>
      </c>
      <c r="C595" s="84" t="s">
        <v>26</v>
      </c>
      <c r="D595" s="84" t="s">
        <v>28</v>
      </c>
      <c r="E595" s="84" t="s">
        <v>1087</v>
      </c>
      <c r="F595" s="84" t="s">
        <v>31</v>
      </c>
      <c r="G595" s="87">
        <f t="shared" si="157"/>
        <v>181777.27</v>
      </c>
      <c r="H595" s="87">
        <f t="shared" si="157"/>
        <v>0</v>
      </c>
      <c r="I595" s="87">
        <f t="shared" si="157"/>
        <v>0</v>
      </c>
      <c r="J595" s="177"/>
      <c r="K595" s="199"/>
      <c r="L595" s="199"/>
      <c r="M595" s="199"/>
      <c r="N595" s="199"/>
      <c r="O595" s="199"/>
      <c r="P595" s="199"/>
      <c r="Q595" s="199"/>
      <c r="R595" s="199"/>
    </row>
    <row r="596" spans="1:18" s="3" customFormat="1">
      <c r="A596" s="82" t="s">
        <v>32</v>
      </c>
      <c r="B596" s="149">
        <v>774</v>
      </c>
      <c r="C596" s="84" t="s">
        <v>26</v>
      </c>
      <c r="D596" s="84" t="s">
        <v>28</v>
      </c>
      <c r="E596" s="84" t="s">
        <v>1087</v>
      </c>
      <c r="F596" s="84" t="s">
        <v>33</v>
      </c>
      <c r="G596" s="87">
        <v>181777.27</v>
      </c>
      <c r="H596" s="87">
        <v>0</v>
      </c>
      <c r="I596" s="87">
        <v>0</v>
      </c>
      <c r="J596" s="177"/>
      <c r="K596" s="199"/>
      <c r="L596" s="199"/>
      <c r="M596" s="199"/>
      <c r="N596" s="199"/>
      <c r="O596" s="199"/>
      <c r="P596" s="199"/>
      <c r="Q596" s="199"/>
      <c r="R596" s="199"/>
    </row>
    <row r="597" spans="1:18" s="3" customFormat="1" ht="39.75" customHeight="1">
      <c r="A597" s="82" t="s">
        <v>1091</v>
      </c>
      <c r="B597" s="149">
        <v>774</v>
      </c>
      <c r="C597" s="84" t="s">
        <v>26</v>
      </c>
      <c r="D597" s="84" t="s">
        <v>28</v>
      </c>
      <c r="E597" s="84" t="s">
        <v>1088</v>
      </c>
      <c r="F597" s="84"/>
      <c r="G597" s="87">
        <f t="shared" si="157"/>
        <v>0</v>
      </c>
      <c r="H597" s="87">
        <f t="shared" si="157"/>
        <v>0</v>
      </c>
      <c r="I597" s="87">
        <f t="shared" si="157"/>
        <v>0</v>
      </c>
      <c r="J597" s="177"/>
      <c r="K597" s="199"/>
      <c r="L597" s="199"/>
      <c r="M597" s="199"/>
      <c r="N597" s="199"/>
      <c r="O597" s="199"/>
      <c r="P597" s="199"/>
      <c r="Q597" s="199"/>
      <c r="R597" s="199"/>
    </row>
    <row r="598" spans="1:18" s="3" customFormat="1" ht="25.5">
      <c r="A598" s="82" t="s">
        <v>30</v>
      </c>
      <c r="B598" s="149">
        <v>774</v>
      </c>
      <c r="C598" s="84" t="s">
        <v>26</v>
      </c>
      <c r="D598" s="84" t="s">
        <v>28</v>
      </c>
      <c r="E598" s="84" t="s">
        <v>1088</v>
      </c>
      <c r="F598" s="84" t="s">
        <v>31</v>
      </c>
      <c r="G598" s="87">
        <f t="shared" si="157"/>
        <v>0</v>
      </c>
      <c r="H598" s="87">
        <f t="shared" si="157"/>
        <v>0</v>
      </c>
      <c r="I598" s="87">
        <f t="shared" si="157"/>
        <v>0</v>
      </c>
      <c r="J598" s="177"/>
      <c r="K598" s="199"/>
      <c r="L598" s="199"/>
      <c r="M598" s="199"/>
      <c r="N598" s="199"/>
      <c r="O598" s="199"/>
      <c r="P598" s="199"/>
      <c r="Q598" s="199"/>
      <c r="R598" s="199"/>
    </row>
    <row r="599" spans="1:18" s="3" customFormat="1">
      <c r="A599" s="82" t="s">
        <v>32</v>
      </c>
      <c r="B599" s="149">
        <v>774</v>
      </c>
      <c r="C599" s="84" t="s">
        <v>26</v>
      </c>
      <c r="D599" s="84" t="s">
        <v>28</v>
      </c>
      <c r="E599" s="84" t="s">
        <v>1088</v>
      </c>
      <c r="F599" s="84" t="s">
        <v>33</v>
      </c>
      <c r="G599" s="87">
        <f>'прил 5,'!G725</f>
        <v>0</v>
      </c>
      <c r="H599" s="87">
        <v>0</v>
      </c>
      <c r="I599" s="87">
        <v>0</v>
      </c>
      <c r="J599" s="177"/>
      <c r="K599" s="199"/>
      <c r="L599" s="199"/>
      <c r="M599" s="199"/>
      <c r="N599" s="199"/>
      <c r="O599" s="199"/>
      <c r="P599" s="199"/>
      <c r="Q599" s="199"/>
      <c r="R599" s="199"/>
    </row>
    <row r="600" spans="1:18" s="3" customFormat="1" ht="38.25" customHeight="1">
      <c r="A600" s="82" t="s">
        <v>1102</v>
      </c>
      <c r="B600" s="149">
        <v>774</v>
      </c>
      <c r="C600" s="84" t="s">
        <v>26</v>
      </c>
      <c r="D600" s="84" t="s">
        <v>28</v>
      </c>
      <c r="E600" s="84" t="s">
        <v>1098</v>
      </c>
      <c r="F600" s="84"/>
      <c r="G600" s="87">
        <f t="shared" ref="G600:I601" si="158">G601</f>
        <v>550308.69999999995</v>
      </c>
      <c r="H600" s="87">
        <f t="shared" si="158"/>
        <v>0</v>
      </c>
      <c r="I600" s="87">
        <f t="shared" si="158"/>
        <v>0</v>
      </c>
      <c r="J600" s="177"/>
      <c r="K600" s="199"/>
      <c r="L600" s="199"/>
      <c r="M600" s="199"/>
      <c r="N600" s="199"/>
      <c r="O600" s="199"/>
      <c r="P600" s="199"/>
      <c r="Q600" s="199"/>
      <c r="R600" s="199"/>
    </row>
    <row r="601" spans="1:18" s="3" customFormat="1" ht="25.5">
      <c r="A601" s="82" t="s">
        <v>30</v>
      </c>
      <c r="B601" s="149">
        <v>774</v>
      </c>
      <c r="C601" s="84" t="s">
        <v>26</v>
      </c>
      <c r="D601" s="84" t="s">
        <v>28</v>
      </c>
      <c r="E601" s="84" t="s">
        <v>1098</v>
      </c>
      <c r="F601" s="84" t="s">
        <v>31</v>
      </c>
      <c r="G601" s="87">
        <f t="shared" si="158"/>
        <v>550308.69999999995</v>
      </c>
      <c r="H601" s="87">
        <f t="shared" si="158"/>
        <v>0</v>
      </c>
      <c r="I601" s="87">
        <f t="shared" si="158"/>
        <v>0</v>
      </c>
      <c r="J601" s="177"/>
      <c r="K601" s="199"/>
      <c r="L601" s="199"/>
      <c r="M601" s="199"/>
      <c r="N601" s="199"/>
      <c r="O601" s="199"/>
      <c r="P601" s="199"/>
      <c r="Q601" s="199"/>
      <c r="R601" s="199"/>
    </row>
    <row r="602" spans="1:18" s="3" customFormat="1">
      <c r="A602" s="82" t="s">
        <v>32</v>
      </c>
      <c r="B602" s="149">
        <v>774</v>
      </c>
      <c r="C602" s="84" t="s">
        <v>26</v>
      </c>
      <c r="D602" s="84" t="s">
        <v>28</v>
      </c>
      <c r="E602" s="84" t="s">
        <v>1098</v>
      </c>
      <c r="F602" s="84" t="s">
        <v>33</v>
      </c>
      <c r="G602" s="87">
        <f>'прил 5,'!G728</f>
        <v>550308.69999999995</v>
      </c>
      <c r="H602" s="87">
        <v>0</v>
      </c>
      <c r="I602" s="87">
        <v>0</v>
      </c>
      <c r="J602" s="177"/>
      <c r="K602" s="199"/>
      <c r="L602" s="199"/>
      <c r="M602" s="199"/>
      <c r="N602" s="199"/>
      <c r="O602" s="199"/>
      <c r="P602" s="199"/>
      <c r="Q602" s="199"/>
      <c r="R602" s="199"/>
    </row>
    <row r="603" spans="1:18" ht="38.25">
      <c r="A603" s="16" t="s">
        <v>413</v>
      </c>
      <c r="B603" s="14">
        <v>774</v>
      </c>
      <c r="C603" s="15" t="s">
        <v>26</v>
      </c>
      <c r="D603" s="15" t="s">
        <v>28</v>
      </c>
      <c r="E603" s="84" t="s">
        <v>828</v>
      </c>
      <c r="F603" s="84"/>
      <c r="G603" s="85">
        <f t="shared" ref="G603:I604" si="159">G604</f>
        <v>0</v>
      </c>
      <c r="H603" s="85">
        <f t="shared" si="159"/>
        <v>1000000</v>
      </c>
      <c r="I603" s="85">
        <f t="shared" si="159"/>
        <v>1000000</v>
      </c>
    </row>
    <row r="604" spans="1:18" ht="25.5">
      <c r="A604" s="16" t="s">
        <v>30</v>
      </c>
      <c r="B604" s="14">
        <v>774</v>
      </c>
      <c r="C604" s="15" t="s">
        <v>26</v>
      </c>
      <c r="D604" s="15" t="s">
        <v>28</v>
      </c>
      <c r="E604" s="84" t="s">
        <v>828</v>
      </c>
      <c r="F604" s="84" t="s">
        <v>31</v>
      </c>
      <c r="G604" s="85">
        <f t="shared" si="159"/>
        <v>0</v>
      </c>
      <c r="H604" s="85">
        <f t="shared" si="159"/>
        <v>1000000</v>
      </c>
      <c r="I604" s="85">
        <f t="shared" si="159"/>
        <v>1000000</v>
      </c>
    </row>
    <row r="605" spans="1:18">
      <c r="A605" s="16" t="s">
        <v>32</v>
      </c>
      <c r="B605" s="14">
        <v>774</v>
      </c>
      <c r="C605" s="15" t="s">
        <v>26</v>
      </c>
      <c r="D605" s="15" t="s">
        <v>28</v>
      </c>
      <c r="E605" s="84" t="s">
        <v>828</v>
      </c>
      <c r="F605" s="84" t="s">
        <v>33</v>
      </c>
      <c r="G605" s="85">
        <f>'прил 5,'!G737</f>
        <v>0</v>
      </c>
      <c r="H605" s="85">
        <f>'прил 5,'!H737</f>
        <v>1000000</v>
      </c>
      <c r="I605" s="85">
        <f>'прил 5,'!I737</f>
        <v>1000000</v>
      </c>
    </row>
    <row r="606" spans="1:18">
      <c r="A606" s="16" t="s">
        <v>734</v>
      </c>
      <c r="B606" s="14">
        <v>774</v>
      </c>
      <c r="C606" s="15" t="s">
        <v>26</v>
      </c>
      <c r="D606" s="15" t="s">
        <v>28</v>
      </c>
      <c r="E606" s="84" t="s">
        <v>941</v>
      </c>
      <c r="F606" s="84"/>
      <c r="G606" s="85">
        <f>G607</f>
        <v>149599646.68000001</v>
      </c>
      <c r="H606" s="8">
        <f t="shared" ref="G606:I607" si="160">H607</f>
        <v>30887111.109999999</v>
      </c>
      <c r="I606" s="8">
        <f t="shared" si="160"/>
        <v>0</v>
      </c>
      <c r="J606" s="1"/>
    </row>
    <row r="607" spans="1:18" ht="25.5">
      <c r="A607" s="16" t="s">
        <v>30</v>
      </c>
      <c r="B607" s="14">
        <v>774</v>
      </c>
      <c r="C607" s="15" t="s">
        <v>26</v>
      </c>
      <c r="D607" s="15" t="s">
        <v>28</v>
      </c>
      <c r="E607" s="84" t="s">
        <v>941</v>
      </c>
      <c r="F607" s="84" t="s">
        <v>31</v>
      </c>
      <c r="G607" s="85">
        <f t="shared" si="160"/>
        <v>149599646.68000001</v>
      </c>
      <c r="H607" s="8">
        <f t="shared" si="160"/>
        <v>30887111.109999999</v>
      </c>
      <c r="I607" s="8">
        <f t="shared" si="160"/>
        <v>0</v>
      </c>
      <c r="J607" s="1"/>
    </row>
    <row r="608" spans="1:18">
      <c r="A608" s="16" t="s">
        <v>32</v>
      </c>
      <c r="B608" s="14">
        <v>774</v>
      </c>
      <c r="C608" s="15" t="s">
        <v>26</v>
      </c>
      <c r="D608" s="15" t="s">
        <v>28</v>
      </c>
      <c r="E608" s="84" t="s">
        <v>941</v>
      </c>
      <c r="F608" s="84" t="s">
        <v>33</v>
      </c>
      <c r="G608" s="85">
        <f>'прил 5,'!G740</f>
        <v>149599646.68000001</v>
      </c>
      <c r="H608" s="8">
        <f>'прил 5,'!H740</f>
        <v>30887111.109999999</v>
      </c>
      <c r="I608" s="8">
        <v>0</v>
      </c>
      <c r="J608" s="1"/>
    </row>
    <row r="609" spans="1:20" s="3" customFormat="1" hidden="1">
      <c r="A609" s="16" t="s">
        <v>429</v>
      </c>
      <c r="B609" s="14">
        <v>774</v>
      </c>
      <c r="C609" s="15" t="s">
        <v>26</v>
      </c>
      <c r="D609" s="15" t="s">
        <v>19</v>
      </c>
      <c r="E609" s="84" t="s">
        <v>428</v>
      </c>
      <c r="F609" s="84"/>
      <c r="G609" s="87">
        <f>G610</f>
        <v>0</v>
      </c>
      <c r="H609" s="70">
        <f>H610</f>
        <v>0</v>
      </c>
      <c r="I609" s="70">
        <f>I610</f>
        <v>0</v>
      </c>
      <c r="J609" s="111"/>
      <c r="P609" s="111"/>
      <c r="Q609" s="111"/>
      <c r="R609" s="111"/>
      <c r="S609" s="111"/>
      <c r="T609" s="111"/>
    </row>
    <row r="610" spans="1:20" s="3" customFormat="1" hidden="1">
      <c r="A610" s="16" t="s">
        <v>32</v>
      </c>
      <c r="B610" s="14">
        <v>774</v>
      </c>
      <c r="C610" s="15" t="s">
        <v>26</v>
      </c>
      <c r="D610" s="15" t="s">
        <v>19</v>
      </c>
      <c r="E610" s="84" t="s">
        <v>428</v>
      </c>
      <c r="F610" s="84" t="s">
        <v>33</v>
      </c>
      <c r="G610" s="87"/>
      <c r="H610" s="70">
        <f>'прил 5,'!H508</f>
        <v>0</v>
      </c>
      <c r="I610" s="70">
        <f>'прил 5,'!I508</f>
        <v>0</v>
      </c>
      <c r="J610" s="111"/>
      <c r="P610" s="111"/>
      <c r="Q610" s="111"/>
      <c r="R610" s="111"/>
      <c r="S610" s="111"/>
      <c r="T610" s="111"/>
    </row>
    <row r="611" spans="1:20" ht="25.5" hidden="1" customHeight="1">
      <c r="A611" s="16" t="s">
        <v>776</v>
      </c>
      <c r="B611" s="14">
        <v>774</v>
      </c>
      <c r="C611" s="15" t="s">
        <v>26</v>
      </c>
      <c r="D611" s="15" t="s">
        <v>19</v>
      </c>
      <c r="E611" s="15" t="s">
        <v>775</v>
      </c>
      <c r="F611" s="14"/>
      <c r="G611" s="70">
        <f t="shared" ref="G611:I612" si="161">G612</f>
        <v>0</v>
      </c>
      <c r="H611" s="70">
        <f t="shared" si="161"/>
        <v>0</v>
      </c>
      <c r="I611" s="70">
        <f t="shared" si="161"/>
        <v>0</v>
      </c>
      <c r="J611" s="1"/>
    </row>
    <row r="612" spans="1:20" ht="25.5" hidden="1" customHeight="1">
      <c r="A612" s="16" t="s">
        <v>30</v>
      </c>
      <c r="B612" s="14">
        <v>774</v>
      </c>
      <c r="C612" s="15" t="s">
        <v>26</v>
      </c>
      <c r="D612" s="15" t="s">
        <v>19</v>
      </c>
      <c r="E612" s="15" t="s">
        <v>775</v>
      </c>
      <c r="F612" s="15" t="s">
        <v>31</v>
      </c>
      <c r="G612" s="70">
        <f t="shared" si="161"/>
        <v>0</v>
      </c>
      <c r="H612" s="70">
        <f t="shared" si="161"/>
        <v>0</v>
      </c>
      <c r="I612" s="70">
        <f t="shared" si="161"/>
        <v>0</v>
      </c>
      <c r="J612" s="1"/>
    </row>
    <row r="613" spans="1:20" ht="25.5" hidden="1" customHeight="1">
      <c r="A613" s="16" t="s">
        <v>32</v>
      </c>
      <c r="B613" s="14">
        <v>774</v>
      </c>
      <c r="C613" s="15" t="s">
        <v>26</v>
      </c>
      <c r="D613" s="15" t="s">
        <v>19</v>
      </c>
      <c r="E613" s="15" t="s">
        <v>775</v>
      </c>
      <c r="F613" s="15" t="s">
        <v>33</v>
      </c>
      <c r="G613" s="70"/>
      <c r="H613" s="70"/>
      <c r="I613" s="70"/>
      <c r="J613" s="1"/>
    </row>
    <row r="614" spans="1:20" s="3" customFormat="1" ht="38.25" hidden="1" customHeight="1">
      <c r="A614" s="16" t="s">
        <v>730</v>
      </c>
      <c r="B614" s="14">
        <v>774</v>
      </c>
      <c r="C614" s="15" t="s">
        <v>26</v>
      </c>
      <c r="D614" s="15" t="s">
        <v>28</v>
      </c>
      <c r="E614" s="84" t="s">
        <v>729</v>
      </c>
      <c r="F614" s="84"/>
      <c r="G614" s="87">
        <f t="shared" ref="G614:I615" si="162">G615</f>
        <v>0</v>
      </c>
      <c r="H614" s="70">
        <f t="shared" si="162"/>
        <v>0</v>
      </c>
      <c r="I614" s="70">
        <f t="shared" si="162"/>
        <v>0</v>
      </c>
      <c r="P614" s="111"/>
      <c r="Q614" s="111"/>
      <c r="R614" s="111"/>
      <c r="S614" s="111"/>
      <c r="T614" s="111"/>
    </row>
    <row r="615" spans="1:20" s="3" customFormat="1" ht="25.5" hidden="1">
      <c r="A615" s="16" t="s">
        <v>30</v>
      </c>
      <c r="B615" s="14">
        <v>774</v>
      </c>
      <c r="C615" s="15" t="s">
        <v>26</v>
      </c>
      <c r="D615" s="15" t="s">
        <v>28</v>
      </c>
      <c r="E615" s="84" t="s">
        <v>729</v>
      </c>
      <c r="F615" s="84" t="s">
        <v>31</v>
      </c>
      <c r="G615" s="87">
        <f t="shared" si="162"/>
        <v>0</v>
      </c>
      <c r="H615" s="70">
        <f t="shared" si="162"/>
        <v>0</v>
      </c>
      <c r="I615" s="70">
        <f t="shared" si="162"/>
        <v>0</v>
      </c>
      <c r="P615" s="111"/>
      <c r="Q615" s="111"/>
      <c r="R615" s="111"/>
      <c r="S615" s="111"/>
      <c r="T615" s="111"/>
    </row>
    <row r="616" spans="1:20" s="3" customFormat="1" hidden="1">
      <c r="A616" s="16" t="s">
        <v>32</v>
      </c>
      <c r="B616" s="14">
        <v>774</v>
      </c>
      <c r="C616" s="15" t="s">
        <v>26</v>
      </c>
      <c r="D616" s="15" t="s">
        <v>28</v>
      </c>
      <c r="E616" s="84" t="s">
        <v>729</v>
      </c>
      <c r="F616" s="84" t="s">
        <v>33</v>
      </c>
      <c r="G616" s="87">
        <f>'прил 5,'!G692</f>
        <v>0</v>
      </c>
      <c r="H616" s="70">
        <v>0</v>
      </c>
      <c r="I616" s="70">
        <v>0</v>
      </c>
      <c r="P616" s="111"/>
      <c r="Q616" s="111"/>
      <c r="R616" s="111"/>
      <c r="S616" s="111"/>
      <c r="T616" s="111"/>
    </row>
    <row r="617" spans="1:20" s="3" customFormat="1" ht="33.75" hidden="1" customHeight="1">
      <c r="A617" s="16" t="s">
        <v>731</v>
      </c>
      <c r="B617" s="14">
        <v>774</v>
      </c>
      <c r="C617" s="15" t="s">
        <v>26</v>
      </c>
      <c r="D617" s="15" t="s">
        <v>19</v>
      </c>
      <c r="E617" s="15" t="s">
        <v>733</v>
      </c>
      <c r="F617" s="15"/>
      <c r="G617" s="70">
        <f>G618</f>
        <v>0</v>
      </c>
      <c r="H617" s="70">
        <f>H619</f>
        <v>0</v>
      </c>
      <c r="I617" s="70">
        <f>I619</f>
        <v>0</v>
      </c>
      <c r="P617" s="111"/>
      <c r="Q617" s="111"/>
      <c r="R617" s="111"/>
      <c r="S617" s="111"/>
      <c r="T617" s="111"/>
    </row>
    <row r="618" spans="1:20" s="3" customFormat="1" ht="33.75" hidden="1" customHeight="1">
      <c r="A618" s="16" t="s">
        <v>30</v>
      </c>
      <c r="B618" s="14"/>
      <c r="C618" s="15"/>
      <c r="D618" s="15"/>
      <c r="E618" s="15" t="s">
        <v>733</v>
      </c>
      <c r="F618" s="15" t="s">
        <v>31</v>
      </c>
      <c r="G618" s="70">
        <f>G619</f>
        <v>0</v>
      </c>
      <c r="H618" s="70"/>
      <c r="I618" s="70"/>
      <c r="P618" s="111"/>
      <c r="Q618" s="111"/>
      <c r="R618" s="111"/>
      <c r="S618" s="111"/>
      <c r="T618" s="111"/>
    </row>
    <row r="619" spans="1:20" s="3" customFormat="1" hidden="1">
      <c r="A619" s="16" t="s">
        <v>32</v>
      </c>
      <c r="B619" s="14">
        <v>774</v>
      </c>
      <c r="C619" s="15" t="s">
        <v>26</v>
      </c>
      <c r="D619" s="15" t="s">
        <v>19</v>
      </c>
      <c r="E619" s="15" t="s">
        <v>733</v>
      </c>
      <c r="F619" s="15" t="s">
        <v>33</v>
      </c>
      <c r="G619" s="70">
        <f>'прил 5,'!G556</f>
        <v>0</v>
      </c>
      <c r="H619" s="70">
        <v>0</v>
      </c>
      <c r="I619" s="70">
        <v>0</v>
      </c>
      <c r="P619" s="111"/>
      <c r="Q619" s="111"/>
      <c r="R619" s="111"/>
      <c r="S619" s="111"/>
      <c r="T619" s="111"/>
    </row>
    <row r="620" spans="1:20" s="18" customFormat="1" ht="21.75" customHeight="1">
      <c r="A620" s="13" t="s">
        <v>119</v>
      </c>
      <c r="B620" s="15" t="s">
        <v>51</v>
      </c>
      <c r="C620" s="15" t="s">
        <v>26</v>
      </c>
      <c r="D620" s="15" t="s">
        <v>26</v>
      </c>
      <c r="E620" s="15" t="s">
        <v>190</v>
      </c>
      <c r="F620" s="15"/>
      <c r="G620" s="70">
        <f>G623+G643+G646+G647+G624+G627+G650+G655+G660+G665+G668+G630</f>
        <v>5072468.2399999993</v>
      </c>
      <c r="H620" s="70">
        <f>H623+H643+H646+H647+H624+H627+H650+H655+H660+H665+H668</f>
        <v>4869412.54</v>
      </c>
      <c r="I620" s="70">
        <f>I623+I643+I646+I647+I624+I627+I650+I655+I660+I665+I668</f>
        <v>4869412.5599999996</v>
      </c>
      <c r="J620" s="17"/>
      <c r="P620" s="17"/>
      <c r="Q620" s="17"/>
      <c r="R620" s="17"/>
      <c r="S620" s="17"/>
      <c r="T620" s="17"/>
    </row>
    <row r="621" spans="1:20" s="18" customFormat="1" ht="45" customHeight="1">
      <c r="A621" s="16" t="s">
        <v>127</v>
      </c>
      <c r="B621" s="15" t="s">
        <v>94</v>
      </c>
      <c r="C621" s="15" t="s">
        <v>26</v>
      </c>
      <c r="D621" s="15" t="s">
        <v>26</v>
      </c>
      <c r="E621" s="15" t="s">
        <v>191</v>
      </c>
      <c r="F621" s="15"/>
      <c r="G621" s="70">
        <f t="shared" ref="G621:I622" si="163">G622</f>
        <v>4369412.5599999996</v>
      </c>
      <c r="H621" s="70">
        <f t="shared" si="163"/>
        <v>4369412.54</v>
      </c>
      <c r="I621" s="70">
        <f t="shared" si="163"/>
        <v>4369412.5599999996</v>
      </c>
      <c r="J621" s="17"/>
      <c r="P621" s="17"/>
      <c r="Q621" s="17"/>
      <c r="R621" s="17"/>
      <c r="S621" s="17"/>
      <c r="T621" s="17"/>
    </row>
    <row r="622" spans="1:20" s="18" customFormat="1" ht="33" customHeight="1">
      <c r="A622" s="16" t="s">
        <v>30</v>
      </c>
      <c r="B622" s="15" t="s">
        <v>94</v>
      </c>
      <c r="C622" s="15" t="s">
        <v>26</v>
      </c>
      <c r="D622" s="15" t="s">
        <v>26</v>
      </c>
      <c r="E622" s="15" t="s">
        <v>191</v>
      </c>
      <c r="F622" s="15" t="s">
        <v>31</v>
      </c>
      <c r="G622" s="70">
        <f t="shared" si="163"/>
        <v>4369412.5599999996</v>
      </c>
      <c r="H622" s="70">
        <f t="shared" si="163"/>
        <v>4369412.54</v>
      </c>
      <c r="I622" s="70">
        <f t="shared" si="163"/>
        <v>4369412.5599999996</v>
      </c>
      <c r="J622" s="17"/>
      <c r="P622" s="17"/>
      <c r="Q622" s="17"/>
      <c r="R622" s="17"/>
      <c r="S622" s="17"/>
      <c r="T622" s="17"/>
    </row>
    <row r="623" spans="1:20" s="18" customFormat="1">
      <c r="A623" s="16" t="s">
        <v>32</v>
      </c>
      <c r="B623" s="15" t="s">
        <v>94</v>
      </c>
      <c r="C623" s="15" t="s">
        <v>26</v>
      </c>
      <c r="D623" s="15" t="s">
        <v>26</v>
      </c>
      <c r="E623" s="15" t="s">
        <v>191</v>
      </c>
      <c r="F623" s="15" t="s">
        <v>33</v>
      </c>
      <c r="G623" s="70">
        <f>'прил 5,'!G932+'прил 5,'!G118</f>
        <v>4369412.5599999996</v>
      </c>
      <c r="H623" s="70">
        <f>'прил 5,'!H932+'прил 5,'!H118</f>
        <v>4369412.54</v>
      </c>
      <c r="I623" s="70">
        <f>'прил 5,'!I932+'прил 5,'!I118</f>
        <v>4369412.5599999996</v>
      </c>
      <c r="J623" s="17"/>
      <c r="P623" s="17"/>
      <c r="Q623" s="17"/>
      <c r="R623" s="17"/>
      <c r="S623" s="17"/>
      <c r="T623" s="17"/>
    </row>
    <row r="624" spans="1:20" s="18" customFormat="1" ht="25.5" hidden="1">
      <c r="A624" s="16" t="s">
        <v>653</v>
      </c>
      <c r="B624" s="15" t="s">
        <v>94</v>
      </c>
      <c r="C624" s="15" t="s">
        <v>26</v>
      </c>
      <c r="D624" s="15" t="s">
        <v>26</v>
      </c>
      <c r="E624" s="15" t="s">
        <v>652</v>
      </c>
      <c r="F624" s="15"/>
      <c r="G624" s="70">
        <f>G625</f>
        <v>0</v>
      </c>
      <c r="H624" s="70">
        <f>H625</f>
        <v>0</v>
      </c>
      <c r="I624" s="70">
        <f>I625</f>
        <v>0</v>
      </c>
      <c r="P624" s="17"/>
      <c r="Q624" s="17"/>
      <c r="R624" s="17"/>
      <c r="S624" s="17"/>
      <c r="T624" s="17"/>
    </row>
    <row r="625" spans="1:20" s="18" customFormat="1" ht="25.5" hidden="1">
      <c r="A625" s="16" t="s">
        <v>30</v>
      </c>
      <c r="B625" s="15" t="s">
        <v>94</v>
      </c>
      <c r="C625" s="15" t="s">
        <v>26</v>
      </c>
      <c r="D625" s="15" t="s">
        <v>26</v>
      </c>
      <c r="E625" s="15" t="s">
        <v>652</v>
      </c>
      <c r="F625" s="15" t="s">
        <v>31</v>
      </c>
      <c r="G625" s="70">
        <f>G626</f>
        <v>0</v>
      </c>
      <c r="H625" s="70"/>
      <c r="I625" s="70"/>
      <c r="P625" s="17"/>
      <c r="Q625" s="17"/>
      <c r="R625" s="17"/>
      <c r="S625" s="17"/>
      <c r="T625" s="17"/>
    </row>
    <row r="626" spans="1:20" s="18" customFormat="1" hidden="1">
      <c r="A626" s="16" t="s">
        <v>32</v>
      </c>
      <c r="B626" s="15" t="s">
        <v>94</v>
      </c>
      <c r="C626" s="15" t="s">
        <v>26</v>
      </c>
      <c r="D626" s="15" t="s">
        <v>26</v>
      </c>
      <c r="E626" s="15" t="s">
        <v>652</v>
      </c>
      <c r="F626" s="15" t="s">
        <v>33</v>
      </c>
      <c r="G626" s="70">
        <f>'прил 5,'!G938</f>
        <v>0</v>
      </c>
      <c r="H626" s="70">
        <f>H627</f>
        <v>0</v>
      </c>
      <c r="I626" s="70">
        <f>I627</f>
        <v>0</v>
      </c>
      <c r="P626" s="17"/>
      <c r="Q626" s="17"/>
      <c r="R626" s="17"/>
      <c r="S626" s="17"/>
      <c r="T626" s="17"/>
    </row>
    <row r="627" spans="1:20" s="3" customFormat="1" ht="25.5" hidden="1">
      <c r="A627" s="16" t="s">
        <v>298</v>
      </c>
      <c r="B627" s="14">
        <v>774</v>
      </c>
      <c r="C627" s="15" t="s">
        <v>26</v>
      </c>
      <c r="D627" s="15" t="s">
        <v>26</v>
      </c>
      <c r="E627" s="15" t="s">
        <v>585</v>
      </c>
      <c r="F627" s="15"/>
      <c r="G627" s="70">
        <f t="shared" ref="G627:I628" si="164">G628</f>
        <v>0</v>
      </c>
      <c r="H627" s="70">
        <f t="shared" si="164"/>
        <v>0</v>
      </c>
      <c r="I627" s="70">
        <f t="shared" si="164"/>
        <v>0</v>
      </c>
      <c r="J627" s="177"/>
      <c r="K627" s="199"/>
      <c r="L627" s="199"/>
      <c r="M627" s="199"/>
      <c r="N627" s="199"/>
      <c r="O627" s="199"/>
      <c r="P627" s="199"/>
      <c r="Q627" s="199"/>
      <c r="R627" s="199"/>
    </row>
    <row r="628" spans="1:20" s="3" customFormat="1" ht="25.5" hidden="1">
      <c r="A628" s="16" t="s">
        <v>30</v>
      </c>
      <c r="B628" s="14">
        <v>774</v>
      </c>
      <c r="C628" s="15" t="s">
        <v>26</v>
      </c>
      <c r="D628" s="15" t="s">
        <v>26</v>
      </c>
      <c r="E628" s="15" t="s">
        <v>585</v>
      </c>
      <c r="F628" s="15" t="s">
        <v>31</v>
      </c>
      <c r="G628" s="70">
        <f t="shared" si="164"/>
        <v>0</v>
      </c>
      <c r="H628" s="70">
        <f t="shared" si="164"/>
        <v>0</v>
      </c>
      <c r="I628" s="70">
        <f t="shared" si="164"/>
        <v>0</v>
      </c>
      <c r="J628" s="177"/>
      <c r="K628" s="199"/>
      <c r="L628" s="199"/>
      <c r="M628" s="199"/>
      <c r="N628" s="199"/>
      <c r="O628" s="199"/>
      <c r="P628" s="199"/>
      <c r="Q628" s="199"/>
      <c r="R628" s="199"/>
    </row>
    <row r="629" spans="1:20" s="3" customFormat="1">
      <c r="A629" s="16" t="s">
        <v>32</v>
      </c>
      <c r="B629" s="14">
        <v>774</v>
      </c>
      <c r="C629" s="15" t="s">
        <v>26</v>
      </c>
      <c r="D629" s="15" t="s">
        <v>26</v>
      </c>
      <c r="E629" s="15" t="s">
        <v>585</v>
      </c>
      <c r="F629" s="15" t="s">
        <v>33</v>
      </c>
      <c r="G629" s="70"/>
      <c r="H629" s="70">
        <v>0</v>
      </c>
      <c r="I629" s="70">
        <v>0</v>
      </c>
      <c r="J629" s="177"/>
      <c r="K629" s="199"/>
      <c r="L629" s="199"/>
      <c r="M629" s="199"/>
      <c r="N629" s="199"/>
      <c r="O629" s="199"/>
      <c r="P629" s="199"/>
      <c r="Q629" s="199"/>
      <c r="R629" s="199"/>
    </row>
    <row r="630" spans="1:20" s="3" customFormat="1" ht="51">
      <c r="A630" s="16" t="s">
        <v>425</v>
      </c>
      <c r="B630" s="14">
        <v>774</v>
      </c>
      <c r="C630" s="15" t="s">
        <v>26</v>
      </c>
      <c r="D630" s="15" t="s">
        <v>26</v>
      </c>
      <c r="E630" s="15" t="s">
        <v>424</v>
      </c>
      <c r="F630" s="15"/>
      <c r="G630" s="70">
        <f t="shared" ref="G630:I631" si="165">G631</f>
        <v>341000</v>
      </c>
      <c r="H630" s="70">
        <f t="shared" si="165"/>
        <v>0</v>
      </c>
      <c r="I630" s="70">
        <f t="shared" si="165"/>
        <v>0</v>
      </c>
      <c r="J630" s="177"/>
      <c r="K630" s="199"/>
      <c r="L630" s="199"/>
      <c r="M630" s="199"/>
      <c r="N630" s="199"/>
      <c r="O630" s="199"/>
      <c r="P630" s="199"/>
      <c r="Q630" s="199"/>
      <c r="R630" s="199"/>
    </row>
    <row r="631" spans="1:20" s="3" customFormat="1" ht="25.5">
      <c r="A631" s="16" t="s">
        <v>30</v>
      </c>
      <c r="B631" s="14">
        <v>774</v>
      </c>
      <c r="C631" s="15" t="s">
        <v>26</v>
      </c>
      <c r="D631" s="15" t="s">
        <v>26</v>
      </c>
      <c r="E631" s="15" t="s">
        <v>424</v>
      </c>
      <c r="F631" s="15" t="s">
        <v>31</v>
      </c>
      <c r="G631" s="70">
        <f t="shared" si="165"/>
        <v>341000</v>
      </c>
      <c r="H631" s="70">
        <f t="shared" si="165"/>
        <v>0</v>
      </c>
      <c r="I631" s="70">
        <f t="shared" si="165"/>
        <v>0</v>
      </c>
      <c r="J631" s="177"/>
      <c r="K631" s="199"/>
      <c r="L631" s="199"/>
      <c r="M631" s="199"/>
      <c r="N631" s="199"/>
      <c r="O631" s="199"/>
      <c r="P631" s="199"/>
      <c r="Q631" s="199"/>
      <c r="R631" s="199"/>
    </row>
    <row r="632" spans="1:20" s="3" customFormat="1">
      <c r="A632" s="16" t="s">
        <v>32</v>
      </c>
      <c r="B632" s="14">
        <v>774</v>
      </c>
      <c r="C632" s="15" t="s">
        <v>26</v>
      </c>
      <c r="D632" s="15" t="s">
        <v>26</v>
      </c>
      <c r="E632" s="15" t="s">
        <v>424</v>
      </c>
      <c r="F632" s="15" t="s">
        <v>33</v>
      </c>
      <c r="G632" s="70">
        <v>341000</v>
      </c>
      <c r="H632" s="70">
        <v>0</v>
      </c>
      <c r="I632" s="70">
        <v>0</v>
      </c>
      <c r="J632" s="177"/>
      <c r="K632" s="199"/>
      <c r="L632" s="199"/>
      <c r="M632" s="199"/>
      <c r="N632" s="199"/>
      <c r="O632" s="199"/>
      <c r="P632" s="199"/>
      <c r="Q632" s="199"/>
      <c r="R632" s="199"/>
    </row>
    <row r="633" spans="1:20" s="18" customFormat="1" ht="75" customHeight="1">
      <c r="A633" s="13" t="s">
        <v>129</v>
      </c>
      <c r="B633" s="15" t="s">
        <v>94</v>
      </c>
      <c r="C633" s="15" t="s">
        <v>26</v>
      </c>
      <c r="D633" s="15" t="s">
        <v>26</v>
      </c>
      <c r="E633" s="15" t="s">
        <v>192</v>
      </c>
      <c r="F633" s="15"/>
      <c r="G633" s="70">
        <f>G634+G640+G636+G639+G642</f>
        <v>362055.67999999999</v>
      </c>
      <c r="H633" s="70">
        <f t="shared" ref="H633:I633" si="166">H634+H640+H636+H639+H642</f>
        <v>500000</v>
      </c>
      <c r="I633" s="70">
        <f t="shared" si="166"/>
        <v>500000</v>
      </c>
      <c r="J633" s="17"/>
      <c r="P633" s="17"/>
      <c r="Q633" s="17"/>
      <c r="R633" s="17"/>
      <c r="S633" s="17"/>
      <c r="T633" s="17"/>
    </row>
    <row r="634" spans="1:20" s="18" customFormat="1" ht="25.5" hidden="1">
      <c r="A634" s="16" t="s">
        <v>36</v>
      </c>
      <c r="B634" s="15" t="s">
        <v>94</v>
      </c>
      <c r="C634" s="15" t="s">
        <v>26</v>
      </c>
      <c r="D634" s="15" t="s">
        <v>26</v>
      </c>
      <c r="E634" s="15" t="s">
        <v>192</v>
      </c>
      <c r="F634" s="15" t="s">
        <v>37</v>
      </c>
      <c r="G634" s="70">
        <f>G635</f>
        <v>0</v>
      </c>
      <c r="H634" s="87">
        <f>H635</f>
        <v>0</v>
      </c>
      <c r="I634" s="87">
        <f>I635</f>
        <v>0</v>
      </c>
      <c r="J634" s="17"/>
      <c r="P634" s="17"/>
      <c r="Q634" s="17"/>
      <c r="R634" s="17"/>
      <c r="S634" s="17"/>
      <c r="T634" s="17"/>
    </row>
    <row r="635" spans="1:20" s="18" customFormat="1" ht="25.5" hidden="1">
      <c r="A635" s="16" t="s">
        <v>38</v>
      </c>
      <c r="B635" s="15" t="s">
        <v>94</v>
      </c>
      <c r="C635" s="15" t="s">
        <v>26</v>
      </c>
      <c r="D635" s="15" t="s">
        <v>26</v>
      </c>
      <c r="E635" s="15" t="s">
        <v>192</v>
      </c>
      <c r="F635" s="15" t="s">
        <v>39</v>
      </c>
      <c r="G635" s="70">
        <f>'прил 5,'!G937</f>
        <v>0</v>
      </c>
      <c r="H635" s="87">
        <f>'прил 5,'!AH937</f>
        <v>0</v>
      </c>
      <c r="I635" s="87">
        <f>'прил 5,'!AI937</f>
        <v>0</v>
      </c>
      <c r="J635" s="17"/>
      <c r="P635" s="17"/>
      <c r="Q635" s="17"/>
      <c r="R635" s="17"/>
      <c r="S635" s="17"/>
      <c r="T635" s="17"/>
    </row>
    <row r="636" spans="1:20" s="18" customFormat="1" ht="14.25" hidden="1" customHeight="1">
      <c r="A636" s="16" t="s">
        <v>148</v>
      </c>
      <c r="B636" s="15" t="s">
        <v>94</v>
      </c>
      <c r="C636" s="15" t="s">
        <v>26</v>
      </c>
      <c r="D636" s="15" t="s">
        <v>26</v>
      </c>
      <c r="E636" s="15" t="s">
        <v>192</v>
      </c>
      <c r="F636" s="15" t="s">
        <v>149</v>
      </c>
      <c r="G636" s="70">
        <f>G637</f>
        <v>0</v>
      </c>
      <c r="H636" s="87">
        <f>H637</f>
        <v>0</v>
      </c>
      <c r="I636" s="87">
        <f>I637</f>
        <v>0</v>
      </c>
      <c r="J636" s="17"/>
      <c r="P636" s="17"/>
      <c r="Q636" s="17"/>
      <c r="R636" s="17"/>
      <c r="S636" s="17"/>
      <c r="T636" s="17"/>
    </row>
    <row r="637" spans="1:20" s="18" customFormat="1" ht="27" hidden="1" customHeight="1">
      <c r="A637" s="16" t="s">
        <v>150</v>
      </c>
      <c r="B637" s="15" t="s">
        <v>94</v>
      </c>
      <c r="C637" s="15" t="s">
        <v>26</v>
      </c>
      <c r="D637" s="15" t="s">
        <v>26</v>
      </c>
      <c r="E637" s="15" t="s">
        <v>192</v>
      </c>
      <c r="F637" s="15" t="s">
        <v>151</v>
      </c>
      <c r="G637" s="70"/>
      <c r="H637" s="87"/>
      <c r="I637" s="87"/>
      <c r="J637" s="17"/>
      <c r="P637" s="17"/>
      <c r="Q637" s="17"/>
      <c r="R637" s="17"/>
      <c r="S637" s="17"/>
      <c r="T637" s="17"/>
    </row>
    <row r="638" spans="1:20" s="18" customFormat="1" hidden="1">
      <c r="A638" s="16" t="s">
        <v>148</v>
      </c>
      <c r="B638" s="15" t="s">
        <v>94</v>
      </c>
      <c r="C638" s="15" t="s">
        <v>26</v>
      </c>
      <c r="D638" s="15" t="s">
        <v>26</v>
      </c>
      <c r="E638" s="15" t="s">
        <v>192</v>
      </c>
      <c r="F638" s="15" t="s">
        <v>149</v>
      </c>
      <c r="G638" s="70">
        <f>G639</f>
        <v>0</v>
      </c>
      <c r="H638" s="87">
        <f>H639</f>
        <v>0</v>
      </c>
      <c r="I638" s="87">
        <f>I639</f>
        <v>0</v>
      </c>
      <c r="J638" s="17"/>
      <c r="P638" s="17"/>
      <c r="Q638" s="17"/>
      <c r="R638" s="17"/>
      <c r="S638" s="17"/>
      <c r="T638" s="17"/>
    </row>
    <row r="639" spans="1:20" s="18" customFormat="1" ht="25.5" hidden="1">
      <c r="A639" s="16" t="s">
        <v>150</v>
      </c>
      <c r="B639" s="15" t="s">
        <v>94</v>
      </c>
      <c r="C639" s="15" t="s">
        <v>26</v>
      </c>
      <c r="D639" s="15" t="s">
        <v>26</v>
      </c>
      <c r="E639" s="15" t="s">
        <v>192</v>
      </c>
      <c r="F639" s="15" t="s">
        <v>151</v>
      </c>
      <c r="G639" s="70">
        <f>'прил 5,'!G939</f>
        <v>0</v>
      </c>
      <c r="H639" s="87">
        <f>'прил 5,'!AH939</f>
        <v>0</v>
      </c>
      <c r="I639" s="87">
        <f>'прил 5,'!AI939</f>
        <v>0</v>
      </c>
      <c r="J639" s="17"/>
      <c r="P639" s="17"/>
      <c r="Q639" s="17"/>
      <c r="R639" s="17"/>
      <c r="S639" s="17"/>
      <c r="T639" s="17"/>
    </row>
    <row r="640" spans="1:20" s="18" customFormat="1" ht="25.5" hidden="1">
      <c r="A640" s="16" t="s">
        <v>30</v>
      </c>
      <c r="B640" s="15" t="s">
        <v>94</v>
      </c>
      <c r="C640" s="15" t="s">
        <v>26</v>
      </c>
      <c r="D640" s="15" t="s">
        <v>26</v>
      </c>
      <c r="E640" s="15" t="s">
        <v>192</v>
      </c>
      <c r="F640" s="15" t="s">
        <v>31</v>
      </c>
      <c r="G640" s="70">
        <f>G641</f>
        <v>0</v>
      </c>
      <c r="H640" s="87">
        <f>H641</f>
        <v>0</v>
      </c>
      <c r="I640" s="87">
        <f>I641</f>
        <v>0</v>
      </c>
      <c r="J640" s="17"/>
      <c r="P640" s="17"/>
      <c r="Q640" s="17"/>
      <c r="R640" s="17"/>
      <c r="S640" s="17"/>
      <c r="T640" s="17"/>
    </row>
    <row r="641" spans="1:20" s="18" customFormat="1" hidden="1">
      <c r="A641" s="16" t="s">
        <v>32</v>
      </c>
      <c r="B641" s="15" t="s">
        <v>94</v>
      </c>
      <c r="C641" s="15" t="s">
        <v>26</v>
      </c>
      <c r="D641" s="15" t="s">
        <v>26</v>
      </c>
      <c r="E641" s="15" t="s">
        <v>192</v>
      </c>
      <c r="F641" s="15" t="s">
        <v>33</v>
      </c>
      <c r="G641" s="70">
        <f>'прил 5,'!G941</f>
        <v>0</v>
      </c>
      <c r="H641" s="87">
        <f>'прил 5,'!AH941</f>
        <v>0</v>
      </c>
      <c r="I641" s="87">
        <f>'прил 5,'!AI941</f>
        <v>0</v>
      </c>
      <c r="J641" s="17"/>
      <c r="P641" s="17"/>
      <c r="Q641" s="17"/>
      <c r="R641" s="17"/>
      <c r="S641" s="17"/>
      <c r="T641" s="17"/>
    </row>
    <row r="642" spans="1:20" s="18" customFormat="1" ht="25.5">
      <c r="A642" s="16" t="s">
        <v>30</v>
      </c>
      <c r="B642" s="15" t="s">
        <v>94</v>
      </c>
      <c r="C642" s="15" t="s">
        <v>26</v>
      </c>
      <c r="D642" s="15" t="s">
        <v>26</v>
      </c>
      <c r="E642" s="15" t="s">
        <v>192</v>
      </c>
      <c r="F642" s="15" t="s">
        <v>31</v>
      </c>
      <c r="G642" s="70">
        <f>G643</f>
        <v>362055.67999999999</v>
      </c>
      <c r="H642" s="70">
        <f t="shared" ref="H642:I642" si="167">H643</f>
        <v>500000</v>
      </c>
      <c r="I642" s="70">
        <f t="shared" si="167"/>
        <v>500000</v>
      </c>
      <c r="J642" s="17"/>
      <c r="P642" s="17"/>
      <c r="Q642" s="17"/>
      <c r="R642" s="17"/>
      <c r="S642" s="17"/>
      <c r="T642" s="17"/>
    </row>
    <row r="643" spans="1:20" s="18" customFormat="1">
      <c r="A643" s="16" t="s">
        <v>32</v>
      </c>
      <c r="B643" s="15" t="s">
        <v>94</v>
      </c>
      <c r="C643" s="15" t="s">
        <v>26</v>
      </c>
      <c r="D643" s="15" t="s">
        <v>26</v>
      </c>
      <c r="E643" s="15" t="s">
        <v>192</v>
      </c>
      <c r="F643" s="15" t="s">
        <v>33</v>
      </c>
      <c r="G643" s="70">
        <f>'прил 5,'!G935+'прил 5,'!G121</f>
        <v>362055.67999999999</v>
      </c>
      <c r="H643" s="70">
        <f>'прил 5,'!H935+'прил 5,'!H121</f>
        <v>500000</v>
      </c>
      <c r="I643" s="70">
        <f>'прил 5,'!I935+'прил 5,'!I121</f>
        <v>500000</v>
      </c>
      <c r="J643" s="17"/>
      <c r="P643" s="17"/>
      <c r="Q643" s="17"/>
      <c r="R643" s="17"/>
      <c r="S643" s="17"/>
      <c r="T643" s="17"/>
    </row>
    <row r="644" spans="1:20" s="3" customFormat="1" ht="38.25" hidden="1">
      <c r="A644" s="145" t="s">
        <v>531</v>
      </c>
      <c r="B644" s="14">
        <v>774</v>
      </c>
      <c r="C644" s="15" t="s">
        <v>26</v>
      </c>
      <c r="D644" s="15" t="s">
        <v>26</v>
      </c>
      <c r="E644" s="15" t="s">
        <v>564</v>
      </c>
      <c r="F644" s="15"/>
      <c r="G644" s="70">
        <f t="shared" ref="G644:I645" si="168">G645</f>
        <v>0</v>
      </c>
      <c r="H644" s="70">
        <f t="shared" si="168"/>
        <v>0</v>
      </c>
      <c r="I644" s="70">
        <f t="shared" si="168"/>
        <v>0</v>
      </c>
      <c r="P644" s="111"/>
      <c r="Q644" s="111"/>
      <c r="R644" s="111"/>
      <c r="S644" s="111"/>
      <c r="T644" s="111"/>
    </row>
    <row r="645" spans="1:20" s="3" customFormat="1" ht="25.5" hidden="1">
      <c r="A645" s="16" t="s">
        <v>30</v>
      </c>
      <c r="B645" s="14">
        <v>774</v>
      </c>
      <c r="C645" s="15" t="s">
        <v>26</v>
      </c>
      <c r="D645" s="15" t="s">
        <v>26</v>
      </c>
      <c r="E645" s="15" t="s">
        <v>564</v>
      </c>
      <c r="F645" s="15" t="s">
        <v>31</v>
      </c>
      <c r="G645" s="70">
        <f t="shared" si="168"/>
        <v>0</v>
      </c>
      <c r="H645" s="70">
        <f t="shared" si="168"/>
        <v>0</v>
      </c>
      <c r="I645" s="70">
        <f t="shared" si="168"/>
        <v>0</v>
      </c>
      <c r="P645" s="111"/>
      <c r="Q645" s="111"/>
      <c r="R645" s="111"/>
      <c r="S645" s="111"/>
      <c r="T645" s="111"/>
    </row>
    <row r="646" spans="1:20" s="3" customFormat="1" hidden="1">
      <c r="A646" s="16" t="s">
        <v>32</v>
      </c>
      <c r="B646" s="14">
        <v>774</v>
      </c>
      <c r="C646" s="15" t="s">
        <v>26</v>
      </c>
      <c r="D646" s="15" t="s">
        <v>26</v>
      </c>
      <c r="E646" s="15" t="s">
        <v>564</v>
      </c>
      <c r="F646" s="15" t="s">
        <v>33</v>
      </c>
      <c r="G646" s="70"/>
      <c r="H646" s="70">
        <v>0</v>
      </c>
      <c r="I646" s="70">
        <v>0</v>
      </c>
      <c r="P646" s="111"/>
      <c r="Q646" s="111"/>
      <c r="R646" s="111"/>
      <c r="S646" s="111"/>
      <c r="T646" s="111"/>
    </row>
    <row r="647" spans="1:20" s="3" customFormat="1" ht="25.5" hidden="1">
      <c r="A647" s="16" t="s">
        <v>298</v>
      </c>
      <c r="B647" s="14">
        <v>774</v>
      </c>
      <c r="C647" s="15" t="s">
        <v>26</v>
      </c>
      <c r="D647" s="15" t="s">
        <v>26</v>
      </c>
      <c r="E647" s="15" t="s">
        <v>585</v>
      </c>
      <c r="F647" s="15"/>
      <c r="G647" s="70">
        <f t="shared" ref="G647:I648" si="169">G648</f>
        <v>0</v>
      </c>
      <c r="H647" s="70">
        <f t="shared" si="169"/>
        <v>0</v>
      </c>
      <c r="I647" s="70">
        <f t="shared" si="169"/>
        <v>0</v>
      </c>
      <c r="P647" s="111"/>
      <c r="Q647" s="111"/>
      <c r="R647" s="111"/>
      <c r="S647" s="111"/>
      <c r="T647" s="111"/>
    </row>
    <row r="648" spans="1:20" s="3" customFormat="1" ht="25.5" hidden="1">
      <c r="A648" s="16" t="s">
        <v>30</v>
      </c>
      <c r="B648" s="14">
        <v>774</v>
      </c>
      <c r="C648" s="15" t="s">
        <v>26</v>
      </c>
      <c r="D648" s="15" t="s">
        <v>26</v>
      </c>
      <c r="E648" s="15" t="s">
        <v>585</v>
      </c>
      <c r="F648" s="15" t="s">
        <v>31</v>
      </c>
      <c r="G648" s="70">
        <f t="shared" si="169"/>
        <v>0</v>
      </c>
      <c r="H648" s="70">
        <f t="shared" si="169"/>
        <v>0</v>
      </c>
      <c r="I648" s="70">
        <f t="shared" si="169"/>
        <v>0</v>
      </c>
      <c r="P648" s="111"/>
      <c r="Q648" s="111"/>
      <c r="R648" s="111"/>
      <c r="S648" s="111"/>
      <c r="T648" s="111"/>
    </row>
    <row r="649" spans="1:20" s="3" customFormat="1" hidden="1">
      <c r="A649" s="16" t="s">
        <v>32</v>
      </c>
      <c r="B649" s="14">
        <v>774</v>
      </c>
      <c r="C649" s="15" t="s">
        <v>26</v>
      </c>
      <c r="D649" s="15" t="s">
        <v>26</v>
      </c>
      <c r="E649" s="15" t="s">
        <v>585</v>
      </c>
      <c r="F649" s="15" t="s">
        <v>33</v>
      </c>
      <c r="G649" s="70"/>
      <c r="H649" s="70">
        <v>0</v>
      </c>
      <c r="I649" s="70">
        <v>0</v>
      </c>
      <c r="P649" s="111"/>
      <c r="Q649" s="111"/>
      <c r="R649" s="111"/>
      <c r="S649" s="111"/>
      <c r="T649" s="111"/>
    </row>
    <row r="650" spans="1:20" s="18" customFormat="1" ht="52.5" hidden="1" customHeight="1">
      <c r="A650" s="135" t="s">
        <v>766</v>
      </c>
      <c r="B650" s="15" t="s">
        <v>94</v>
      </c>
      <c r="C650" s="15" t="s">
        <v>26</v>
      </c>
      <c r="D650" s="15" t="s">
        <v>26</v>
      </c>
      <c r="E650" s="15" t="s">
        <v>765</v>
      </c>
      <c r="F650" s="15"/>
      <c r="G650" s="70">
        <f>G651+G653</f>
        <v>0</v>
      </c>
      <c r="H650" s="70">
        <f>H651+H653</f>
        <v>0</v>
      </c>
      <c r="I650" s="70">
        <f>I651+I653</f>
        <v>0</v>
      </c>
      <c r="P650" s="17"/>
      <c r="Q650" s="17"/>
      <c r="R650" s="17"/>
      <c r="S650" s="17"/>
      <c r="T650" s="17"/>
    </row>
    <row r="651" spans="1:20" s="18" customFormat="1" ht="25.5" hidden="1">
      <c r="A651" s="82" t="s">
        <v>36</v>
      </c>
      <c r="B651" s="15" t="s">
        <v>94</v>
      </c>
      <c r="C651" s="15" t="s">
        <v>26</v>
      </c>
      <c r="D651" s="15" t="s">
        <v>26</v>
      </c>
      <c r="E651" s="15" t="s">
        <v>135</v>
      </c>
      <c r="F651" s="15" t="s">
        <v>37</v>
      </c>
      <c r="G651" s="70">
        <f>G652</f>
        <v>0</v>
      </c>
      <c r="H651" s="70">
        <f>H652</f>
        <v>0</v>
      </c>
      <c r="I651" s="70">
        <f>I652</f>
        <v>0</v>
      </c>
      <c r="P651" s="17"/>
      <c r="Q651" s="17"/>
      <c r="R651" s="17"/>
      <c r="S651" s="17"/>
      <c r="T651" s="17"/>
    </row>
    <row r="652" spans="1:20" s="18" customFormat="1" ht="25.5" hidden="1">
      <c r="A652" s="82" t="s">
        <v>38</v>
      </c>
      <c r="B652" s="15" t="s">
        <v>94</v>
      </c>
      <c r="C652" s="15" t="s">
        <v>26</v>
      </c>
      <c r="D652" s="15" t="s">
        <v>26</v>
      </c>
      <c r="E652" s="15" t="s">
        <v>135</v>
      </c>
      <c r="F652" s="15" t="s">
        <v>39</v>
      </c>
      <c r="G652" s="70"/>
      <c r="H652" s="70"/>
      <c r="I652" s="70"/>
      <c r="P652" s="17"/>
      <c r="Q652" s="17"/>
      <c r="R652" s="17"/>
      <c r="S652" s="17"/>
      <c r="T652" s="17"/>
    </row>
    <row r="653" spans="1:20" s="18" customFormat="1" hidden="1">
      <c r="A653" s="82" t="s">
        <v>63</v>
      </c>
      <c r="B653" s="15" t="s">
        <v>94</v>
      </c>
      <c r="C653" s="15" t="s">
        <v>26</v>
      </c>
      <c r="D653" s="15" t="s">
        <v>26</v>
      </c>
      <c r="E653" s="15" t="s">
        <v>765</v>
      </c>
      <c r="F653" s="15" t="s">
        <v>64</v>
      </c>
      <c r="G653" s="70">
        <f>G654</f>
        <v>0</v>
      </c>
      <c r="H653" s="70">
        <f>H654</f>
        <v>0</v>
      </c>
      <c r="I653" s="70">
        <f>I654</f>
        <v>0</v>
      </c>
      <c r="P653" s="17"/>
      <c r="Q653" s="17"/>
      <c r="R653" s="17"/>
      <c r="S653" s="17"/>
      <c r="T653" s="17"/>
    </row>
    <row r="654" spans="1:20" s="18" customFormat="1" ht="13.5" hidden="1" customHeight="1">
      <c r="A654" s="82" t="s">
        <v>180</v>
      </c>
      <c r="B654" s="15" t="s">
        <v>94</v>
      </c>
      <c r="C654" s="15" t="s">
        <v>26</v>
      </c>
      <c r="D654" s="15" t="s">
        <v>26</v>
      </c>
      <c r="E654" s="15" t="s">
        <v>765</v>
      </c>
      <c r="F654" s="15" t="s">
        <v>181</v>
      </c>
      <c r="G654" s="70">
        <f>'прил 5,'!G953</f>
        <v>0</v>
      </c>
      <c r="H654" s="70"/>
      <c r="I654" s="70"/>
      <c r="P654" s="17"/>
      <c r="Q654" s="17"/>
      <c r="R654" s="17"/>
      <c r="S654" s="17"/>
      <c r="T654" s="17"/>
    </row>
    <row r="655" spans="1:20" s="18" customFormat="1" ht="38.25" hidden="1" customHeight="1">
      <c r="A655" s="135" t="s">
        <v>768</v>
      </c>
      <c r="B655" s="15" t="s">
        <v>94</v>
      </c>
      <c r="C655" s="15" t="s">
        <v>26</v>
      </c>
      <c r="D655" s="15" t="s">
        <v>26</v>
      </c>
      <c r="E655" s="15" t="s">
        <v>767</v>
      </c>
      <c r="F655" s="15"/>
      <c r="G655" s="70">
        <f>G656+G658</f>
        <v>0</v>
      </c>
      <c r="H655" s="70">
        <f>H656+H658</f>
        <v>0</v>
      </c>
      <c r="I655" s="70">
        <f>I656+I658</f>
        <v>0</v>
      </c>
      <c r="P655" s="17"/>
      <c r="Q655" s="17"/>
      <c r="R655" s="17"/>
      <c r="S655" s="17"/>
      <c r="T655" s="17"/>
    </row>
    <row r="656" spans="1:20" s="18" customFormat="1" ht="25.5" hidden="1">
      <c r="A656" s="82" t="s">
        <v>36</v>
      </c>
      <c r="B656" s="15" t="s">
        <v>94</v>
      </c>
      <c r="C656" s="15" t="s">
        <v>26</v>
      </c>
      <c r="D656" s="15" t="s">
        <v>26</v>
      </c>
      <c r="E656" s="15" t="s">
        <v>135</v>
      </c>
      <c r="F656" s="15" t="s">
        <v>37</v>
      </c>
      <c r="G656" s="70">
        <f>G657</f>
        <v>0</v>
      </c>
      <c r="H656" s="70">
        <f>H657</f>
        <v>0</v>
      </c>
      <c r="I656" s="70">
        <f>I657</f>
        <v>0</v>
      </c>
      <c r="P656" s="17"/>
      <c r="Q656" s="17"/>
      <c r="R656" s="17"/>
      <c r="S656" s="17"/>
      <c r="T656" s="17"/>
    </row>
    <row r="657" spans="1:20" s="18" customFormat="1" ht="25.5" hidden="1">
      <c r="A657" s="82" t="s">
        <v>38</v>
      </c>
      <c r="B657" s="15" t="s">
        <v>94</v>
      </c>
      <c r="C657" s="15" t="s">
        <v>26</v>
      </c>
      <c r="D657" s="15" t="s">
        <v>26</v>
      </c>
      <c r="E657" s="15" t="s">
        <v>135</v>
      </c>
      <c r="F657" s="15" t="s">
        <v>39</v>
      </c>
      <c r="G657" s="70"/>
      <c r="H657" s="70"/>
      <c r="I657" s="70"/>
      <c r="P657" s="17"/>
      <c r="Q657" s="17"/>
      <c r="R657" s="17"/>
      <c r="S657" s="17"/>
      <c r="T657" s="17"/>
    </row>
    <row r="658" spans="1:20" s="18" customFormat="1" ht="25.5" hidden="1">
      <c r="A658" s="16" t="s">
        <v>30</v>
      </c>
      <c r="B658" s="15" t="s">
        <v>94</v>
      </c>
      <c r="C658" s="15" t="s">
        <v>26</v>
      </c>
      <c r="D658" s="15" t="s">
        <v>26</v>
      </c>
      <c r="E658" s="15" t="s">
        <v>767</v>
      </c>
      <c r="F658" s="15" t="s">
        <v>31</v>
      </c>
      <c r="G658" s="70">
        <f>G659</f>
        <v>0</v>
      </c>
      <c r="H658" s="70">
        <f>H659</f>
        <v>0</v>
      </c>
      <c r="I658" s="70">
        <f>I659</f>
        <v>0</v>
      </c>
      <c r="P658" s="17"/>
      <c r="Q658" s="17"/>
      <c r="R658" s="17"/>
      <c r="S658" s="17"/>
      <c r="T658" s="17"/>
    </row>
    <row r="659" spans="1:20" s="18" customFormat="1" ht="13.5" hidden="1" customHeight="1">
      <c r="A659" s="16" t="s">
        <v>32</v>
      </c>
      <c r="B659" s="15" t="s">
        <v>94</v>
      </c>
      <c r="C659" s="15" t="s">
        <v>26</v>
      </c>
      <c r="D659" s="15" t="s">
        <v>26</v>
      </c>
      <c r="E659" s="15" t="s">
        <v>767</v>
      </c>
      <c r="F659" s="15" t="s">
        <v>33</v>
      </c>
      <c r="G659" s="70">
        <f>'прил 5,'!G961</f>
        <v>0</v>
      </c>
      <c r="H659" s="70"/>
      <c r="I659" s="70"/>
      <c r="P659" s="17"/>
      <c r="Q659" s="17"/>
      <c r="R659" s="17"/>
      <c r="S659" s="17"/>
      <c r="T659" s="17"/>
    </row>
    <row r="660" spans="1:20" s="18" customFormat="1" ht="56.25" hidden="1" customHeight="1">
      <c r="A660" s="135" t="s">
        <v>770</v>
      </c>
      <c r="B660" s="15" t="s">
        <v>94</v>
      </c>
      <c r="C660" s="15" t="s">
        <v>26</v>
      </c>
      <c r="D660" s="15" t="s">
        <v>26</v>
      </c>
      <c r="E660" s="15" t="s">
        <v>769</v>
      </c>
      <c r="F660" s="15"/>
      <c r="G660" s="70">
        <f>G661+G663</f>
        <v>0</v>
      </c>
      <c r="H660" s="70">
        <f>H661+H663</f>
        <v>0</v>
      </c>
      <c r="I660" s="70">
        <f>I661+I663</f>
        <v>0</v>
      </c>
      <c r="P660" s="17"/>
      <c r="Q660" s="17"/>
      <c r="R660" s="17"/>
      <c r="S660" s="17"/>
      <c r="T660" s="17"/>
    </row>
    <row r="661" spans="1:20" s="18" customFormat="1" ht="25.5" hidden="1">
      <c r="A661" s="82" t="s">
        <v>36</v>
      </c>
      <c r="B661" s="15" t="s">
        <v>94</v>
      </c>
      <c r="C661" s="15" t="s">
        <v>26</v>
      </c>
      <c r="D661" s="15" t="s">
        <v>26</v>
      </c>
      <c r="E661" s="15" t="s">
        <v>135</v>
      </c>
      <c r="F661" s="15" t="s">
        <v>37</v>
      </c>
      <c r="G661" s="70">
        <f>G662</f>
        <v>0</v>
      </c>
      <c r="H661" s="70">
        <f>H662</f>
        <v>0</v>
      </c>
      <c r="I661" s="70">
        <f>I662</f>
        <v>0</v>
      </c>
      <c r="P661" s="17"/>
      <c r="Q661" s="17"/>
      <c r="R661" s="17"/>
      <c r="S661" s="17"/>
      <c r="T661" s="17"/>
    </row>
    <row r="662" spans="1:20" s="18" customFormat="1" ht="25.5" hidden="1">
      <c r="A662" s="82" t="s">
        <v>38</v>
      </c>
      <c r="B662" s="15" t="s">
        <v>94</v>
      </c>
      <c r="C662" s="15" t="s">
        <v>26</v>
      </c>
      <c r="D662" s="15" t="s">
        <v>26</v>
      </c>
      <c r="E662" s="15" t="s">
        <v>135</v>
      </c>
      <c r="F662" s="15" t="s">
        <v>39</v>
      </c>
      <c r="G662" s="70"/>
      <c r="H662" s="70"/>
      <c r="I662" s="70"/>
      <c r="P662" s="17"/>
      <c r="Q662" s="17"/>
      <c r="R662" s="17"/>
      <c r="S662" s="17"/>
      <c r="T662" s="17"/>
    </row>
    <row r="663" spans="1:20" s="18" customFormat="1" hidden="1">
      <c r="A663" s="82" t="s">
        <v>63</v>
      </c>
      <c r="B663" s="15" t="s">
        <v>94</v>
      </c>
      <c r="C663" s="15" t="s">
        <v>26</v>
      </c>
      <c r="D663" s="15" t="s">
        <v>26</v>
      </c>
      <c r="E663" s="15" t="s">
        <v>769</v>
      </c>
      <c r="F663" s="15" t="s">
        <v>64</v>
      </c>
      <c r="G663" s="70">
        <f>G664</f>
        <v>0</v>
      </c>
      <c r="H663" s="70">
        <f>H664</f>
        <v>0</v>
      </c>
      <c r="I663" s="70">
        <f>I664</f>
        <v>0</v>
      </c>
      <c r="P663" s="17"/>
      <c r="Q663" s="17"/>
      <c r="R663" s="17"/>
      <c r="S663" s="17"/>
      <c r="T663" s="17"/>
    </row>
    <row r="664" spans="1:20" s="18" customFormat="1" ht="13.5" hidden="1" customHeight="1">
      <c r="A664" s="82" t="s">
        <v>180</v>
      </c>
      <c r="B664" s="15" t="s">
        <v>94</v>
      </c>
      <c r="C664" s="15" t="s">
        <v>26</v>
      </c>
      <c r="D664" s="15" t="s">
        <v>26</v>
      </c>
      <c r="E664" s="15" t="s">
        <v>769</v>
      </c>
      <c r="F664" s="15" t="s">
        <v>181</v>
      </c>
      <c r="G664" s="70">
        <f>'прил 5,'!G966</f>
        <v>0</v>
      </c>
      <c r="H664" s="70"/>
      <c r="I664" s="70"/>
      <c r="P664" s="17"/>
      <c r="Q664" s="17"/>
      <c r="R664" s="17"/>
      <c r="S664" s="17"/>
      <c r="T664" s="17"/>
    </row>
    <row r="665" spans="1:20" s="18" customFormat="1" ht="61.5" hidden="1" customHeight="1">
      <c r="A665" s="135" t="s">
        <v>425</v>
      </c>
      <c r="B665" s="15" t="s">
        <v>94</v>
      </c>
      <c r="C665" s="15" t="s">
        <v>26</v>
      </c>
      <c r="D665" s="15" t="s">
        <v>26</v>
      </c>
      <c r="E665" s="15" t="s">
        <v>424</v>
      </c>
      <c r="F665" s="15"/>
      <c r="G665" s="70">
        <f>G666</f>
        <v>0</v>
      </c>
      <c r="H665" s="70">
        <f t="shared" ref="H665:I665" si="170">H666</f>
        <v>0</v>
      </c>
      <c r="I665" s="70">
        <f t="shared" si="170"/>
        <v>0</v>
      </c>
      <c r="P665" s="17"/>
      <c r="Q665" s="17"/>
      <c r="R665" s="17"/>
      <c r="S665" s="17"/>
      <c r="T665" s="17"/>
    </row>
    <row r="666" spans="1:20" s="18" customFormat="1" ht="25.5" hidden="1">
      <c r="A666" s="16" t="s">
        <v>30</v>
      </c>
      <c r="B666" s="15" t="s">
        <v>94</v>
      </c>
      <c r="C666" s="15" t="s">
        <v>26</v>
      </c>
      <c r="D666" s="15" t="s">
        <v>26</v>
      </c>
      <c r="E666" s="15" t="s">
        <v>424</v>
      </c>
      <c r="F666" s="15" t="s">
        <v>31</v>
      </c>
      <c r="G666" s="70">
        <f>G667</f>
        <v>0</v>
      </c>
      <c r="H666" s="70">
        <f>H667</f>
        <v>0</v>
      </c>
      <c r="I666" s="70">
        <f>I667</f>
        <v>0</v>
      </c>
      <c r="P666" s="17"/>
      <c r="Q666" s="17"/>
      <c r="R666" s="17"/>
      <c r="S666" s="17"/>
      <c r="T666" s="17"/>
    </row>
    <row r="667" spans="1:20" s="18" customFormat="1" hidden="1">
      <c r="A667" s="16" t="s">
        <v>32</v>
      </c>
      <c r="B667" s="15" t="s">
        <v>94</v>
      </c>
      <c r="C667" s="15" t="s">
        <v>26</v>
      </c>
      <c r="D667" s="15" t="s">
        <v>26</v>
      </c>
      <c r="E667" s="15" t="s">
        <v>424</v>
      </c>
      <c r="F667" s="15" t="s">
        <v>33</v>
      </c>
      <c r="G667" s="70"/>
      <c r="H667" s="70"/>
      <c r="I667" s="70"/>
      <c r="P667" s="17"/>
      <c r="Q667" s="17"/>
      <c r="R667" s="17"/>
      <c r="S667" s="17"/>
      <c r="T667" s="17"/>
    </row>
    <row r="668" spans="1:20" s="18" customFormat="1" ht="61.5" hidden="1" customHeight="1">
      <c r="A668" s="135" t="s">
        <v>920</v>
      </c>
      <c r="B668" s="15" t="s">
        <v>94</v>
      </c>
      <c r="C668" s="15" t="s">
        <v>26</v>
      </c>
      <c r="D668" s="15" t="s">
        <v>26</v>
      </c>
      <c r="E668" s="15" t="s">
        <v>919</v>
      </c>
      <c r="F668" s="15"/>
      <c r="G668" s="70">
        <f>G669</f>
        <v>0</v>
      </c>
      <c r="H668" s="70">
        <f t="shared" ref="H668:I668" si="171">H669</f>
        <v>0</v>
      </c>
      <c r="I668" s="70">
        <f t="shared" si="171"/>
        <v>0</v>
      </c>
      <c r="J668" s="176"/>
    </row>
    <row r="669" spans="1:20" s="18" customFormat="1" hidden="1">
      <c r="A669" s="82" t="s">
        <v>63</v>
      </c>
      <c r="B669" s="15" t="s">
        <v>94</v>
      </c>
      <c r="C669" s="15" t="s">
        <v>26</v>
      </c>
      <c r="D669" s="15" t="s">
        <v>26</v>
      </c>
      <c r="E669" s="15" t="s">
        <v>919</v>
      </c>
      <c r="F669" s="15" t="s">
        <v>64</v>
      </c>
      <c r="G669" s="70">
        <f>G670</f>
        <v>0</v>
      </c>
      <c r="H669" s="70">
        <f>H670</f>
        <v>0</v>
      </c>
      <c r="I669" s="70">
        <f>I670</f>
        <v>0</v>
      </c>
      <c r="J669" s="176"/>
    </row>
    <row r="670" spans="1:20" s="18" customFormat="1" hidden="1">
      <c r="A670" s="82" t="s">
        <v>180</v>
      </c>
      <c r="B670" s="15" t="s">
        <v>94</v>
      </c>
      <c r="C670" s="15" t="s">
        <v>26</v>
      </c>
      <c r="D670" s="15" t="s">
        <v>26</v>
      </c>
      <c r="E670" s="15" t="s">
        <v>919</v>
      </c>
      <c r="F670" s="15" t="s">
        <v>181</v>
      </c>
      <c r="G670" s="70">
        <f>'прил 5,'!G972</f>
        <v>0</v>
      </c>
      <c r="H670" s="70">
        <v>0</v>
      </c>
      <c r="I670" s="70">
        <v>0</v>
      </c>
      <c r="J670" s="176"/>
    </row>
    <row r="671" spans="1:20" s="3" customFormat="1" ht="29.25" customHeight="1">
      <c r="A671" s="16" t="s">
        <v>141</v>
      </c>
      <c r="B671" s="14">
        <v>774</v>
      </c>
      <c r="C671" s="15" t="s">
        <v>26</v>
      </c>
      <c r="D671" s="15" t="s">
        <v>28</v>
      </c>
      <c r="E671" s="15" t="s">
        <v>224</v>
      </c>
      <c r="F671" s="15"/>
      <c r="G671" s="70">
        <f>G672</f>
        <v>550591.55000000005</v>
      </c>
      <c r="H671" s="70">
        <f t="shared" ref="H671:I671" si="172">H672</f>
        <v>557000</v>
      </c>
      <c r="I671" s="70">
        <f t="shared" si="172"/>
        <v>557000</v>
      </c>
      <c r="J671" s="111"/>
      <c r="P671" s="111"/>
      <c r="Q671" s="111"/>
      <c r="R671" s="111"/>
      <c r="S671" s="111"/>
      <c r="T671" s="111"/>
    </row>
    <row r="672" spans="1:20" s="3" customFormat="1" ht="32.25" customHeight="1">
      <c r="A672" s="16" t="s">
        <v>142</v>
      </c>
      <c r="B672" s="14">
        <v>774</v>
      </c>
      <c r="C672" s="15" t="s">
        <v>26</v>
      </c>
      <c r="D672" s="15" t="s">
        <v>28</v>
      </c>
      <c r="E672" s="15" t="s">
        <v>225</v>
      </c>
      <c r="F672" s="15"/>
      <c r="G672" s="87">
        <f>G673</f>
        <v>550591.55000000005</v>
      </c>
      <c r="H672" s="87">
        <f t="shared" ref="H672:I672" si="173">H673</f>
        <v>557000</v>
      </c>
      <c r="I672" s="87">
        <f t="shared" si="173"/>
        <v>557000</v>
      </c>
      <c r="J672" s="111"/>
      <c r="P672" s="111"/>
      <c r="Q672" s="111"/>
      <c r="R672" s="111"/>
      <c r="S672" s="111"/>
      <c r="T672" s="111"/>
    </row>
    <row r="673" spans="1:20" s="18" customFormat="1" ht="25.5">
      <c r="A673" s="16" t="s">
        <v>30</v>
      </c>
      <c r="B673" s="15" t="s">
        <v>94</v>
      </c>
      <c r="C673" s="15" t="s">
        <v>26</v>
      </c>
      <c r="D673" s="15" t="s">
        <v>28</v>
      </c>
      <c r="E673" s="15" t="s">
        <v>225</v>
      </c>
      <c r="F673" s="15" t="s">
        <v>31</v>
      </c>
      <c r="G673" s="87">
        <f>G674</f>
        <v>550591.55000000005</v>
      </c>
      <c r="H673" s="87">
        <f t="shared" ref="H673:O673" si="174">H674</f>
        <v>557000</v>
      </c>
      <c r="I673" s="87">
        <f t="shared" si="174"/>
        <v>557000</v>
      </c>
      <c r="J673" s="87">
        <f t="shared" si="174"/>
        <v>0</v>
      </c>
      <c r="K673" s="87">
        <f t="shared" si="174"/>
        <v>0</v>
      </c>
      <c r="L673" s="87">
        <f t="shared" si="174"/>
        <v>0</v>
      </c>
      <c r="M673" s="87">
        <f t="shared" si="174"/>
        <v>0</v>
      </c>
      <c r="N673" s="87">
        <f t="shared" si="174"/>
        <v>0</v>
      </c>
      <c r="O673" s="87">
        <f t="shared" si="174"/>
        <v>0</v>
      </c>
      <c r="P673" s="17"/>
      <c r="Q673" s="17"/>
      <c r="R673" s="17"/>
      <c r="S673" s="17"/>
      <c r="T673" s="17"/>
    </row>
    <row r="674" spans="1:20" s="18" customFormat="1">
      <c r="A674" s="16" t="s">
        <v>32</v>
      </c>
      <c r="B674" s="15" t="s">
        <v>94</v>
      </c>
      <c r="C674" s="15" t="s">
        <v>26</v>
      </c>
      <c r="D674" s="15" t="s">
        <v>28</v>
      </c>
      <c r="E674" s="15" t="s">
        <v>225</v>
      </c>
      <c r="F674" s="15" t="s">
        <v>33</v>
      </c>
      <c r="G674" s="87">
        <f>'прил 5,'!G744+'прил 5,'!G868</f>
        <v>550591.55000000005</v>
      </c>
      <c r="H674" s="87">
        <f>'прил 5,'!H744+'прил 5,'!H868</f>
        <v>557000</v>
      </c>
      <c r="I674" s="87">
        <f>'прил 5,'!I744+'прил 5,'!I868</f>
        <v>557000</v>
      </c>
      <c r="J674" s="17"/>
      <c r="P674" s="17"/>
      <c r="Q674" s="17"/>
      <c r="R674" s="17"/>
      <c r="S674" s="17"/>
      <c r="T674" s="17"/>
    </row>
    <row r="675" spans="1:20" s="18" customFormat="1" ht="32.25" customHeight="1">
      <c r="A675" s="16" t="s">
        <v>143</v>
      </c>
      <c r="B675" s="15" t="s">
        <v>94</v>
      </c>
      <c r="C675" s="15" t="s">
        <v>26</v>
      </c>
      <c r="D675" s="15" t="s">
        <v>123</v>
      </c>
      <c r="E675" s="15" t="s">
        <v>227</v>
      </c>
      <c r="F675" s="15"/>
      <c r="G675" s="70">
        <f>G676+G692</f>
        <v>14738271</v>
      </c>
      <c r="H675" s="70">
        <f>H676+H692</f>
        <v>14288224</v>
      </c>
      <c r="I675" s="70">
        <f>I676+I692</f>
        <v>14424178</v>
      </c>
      <c r="J675" s="17"/>
      <c r="P675" s="17"/>
      <c r="Q675" s="17"/>
      <c r="R675" s="17"/>
      <c r="S675" s="17"/>
      <c r="T675" s="17"/>
    </row>
    <row r="676" spans="1:20" s="18" customFormat="1" ht="25.5">
      <c r="A676" s="16" t="s">
        <v>76</v>
      </c>
      <c r="B676" s="15" t="s">
        <v>94</v>
      </c>
      <c r="C676" s="15" t="s">
        <v>26</v>
      </c>
      <c r="D676" s="15" t="s">
        <v>123</v>
      </c>
      <c r="E676" s="15" t="s">
        <v>228</v>
      </c>
      <c r="F676" s="15"/>
      <c r="G676" s="87">
        <f>G677+G679+G681</f>
        <v>14738271</v>
      </c>
      <c r="H676" s="87">
        <f t="shared" ref="H676:I676" si="175">H677+H679+H681</f>
        <v>14288224</v>
      </c>
      <c r="I676" s="87">
        <f t="shared" si="175"/>
        <v>14424178</v>
      </c>
      <c r="J676" s="17"/>
      <c r="P676" s="17"/>
      <c r="Q676" s="17"/>
      <c r="R676" s="17"/>
      <c r="S676" s="17"/>
      <c r="T676" s="17"/>
    </row>
    <row r="677" spans="1:20" ht="51">
      <c r="A677" s="16" t="s">
        <v>55</v>
      </c>
      <c r="B677" s="15" t="s">
        <v>94</v>
      </c>
      <c r="C677" s="15" t="s">
        <v>26</v>
      </c>
      <c r="D677" s="15" t="s">
        <v>123</v>
      </c>
      <c r="E677" s="15" t="s">
        <v>228</v>
      </c>
      <c r="F677" s="15" t="s">
        <v>58</v>
      </c>
      <c r="G677" s="87">
        <f>G678</f>
        <v>14267619</v>
      </c>
      <c r="H677" s="87">
        <f t="shared" ref="H677:I677" si="176">H678</f>
        <v>13817572</v>
      </c>
      <c r="I677" s="87">
        <f t="shared" si="176"/>
        <v>13953526</v>
      </c>
    </row>
    <row r="678" spans="1:20" ht="25.5">
      <c r="A678" s="16" t="s">
        <v>56</v>
      </c>
      <c r="B678" s="15" t="s">
        <v>94</v>
      </c>
      <c r="C678" s="15" t="s">
        <v>26</v>
      </c>
      <c r="D678" s="15" t="s">
        <v>123</v>
      </c>
      <c r="E678" s="15" t="s">
        <v>228</v>
      </c>
      <c r="F678" s="15" t="s">
        <v>59</v>
      </c>
      <c r="G678" s="70">
        <f>'прил 5,'!G997</f>
        <v>14267619</v>
      </c>
      <c r="H678" s="70">
        <f>'прил 5,'!H997</f>
        <v>13817572</v>
      </c>
      <c r="I678" s="70">
        <f>'прил 5,'!I997</f>
        <v>13953526</v>
      </c>
    </row>
    <row r="679" spans="1:20" ht="25.5">
      <c r="A679" s="16" t="s">
        <v>36</v>
      </c>
      <c r="B679" s="15" t="s">
        <v>94</v>
      </c>
      <c r="C679" s="15" t="s">
        <v>26</v>
      </c>
      <c r="D679" s="15" t="s">
        <v>123</v>
      </c>
      <c r="E679" s="15" t="s">
        <v>228</v>
      </c>
      <c r="F679" s="15" t="s">
        <v>37</v>
      </c>
      <c r="G679" s="70">
        <f>G680</f>
        <v>470652</v>
      </c>
      <c r="H679" s="70">
        <f t="shared" ref="H679:I679" si="177">H680</f>
        <v>470652</v>
      </c>
      <c r="I679" s="70">
        <f t="shared" si="177"/>
        <v>470652</v>
      </c>
    </row>
    <row r="680" spans="1:20" ht="25.5">
      <c r="A680" s="16" t="s">
        <v>38</v>
      </c>
      <c r="B680" s="15" t="s">
        <v>94</v>
      </c>
      <c r="C680" s="15" t="s">
        <v>26</v>
      </c>
      <c r="D680" s="15" t="s">
        <v>123</v>
      </c>
      <c r="E680" s="15" t="s">
        <v>228</v>
      </c>
      <c r="F680" s="15" t="s">
        <v>39</v>
      </c>
      <c r="G680" s="70">
        <f>'прил 5,'!G999</f>
        <v>470652</v>
      </c>
      <c r="H680" s="70">
        <f>'прил 5,'!H999</f>
        <v>470652</v>
      </c>
      <c r="I680" s="70">
        <f>'прил 5,'!I999</f>
        <v>470652</v>
      </c>
    </row>
    <row r="681" spans="1:20" hidden="1">
      <c r="A681" s="145" t="s">
        <v>63</v>
      </c>
      <c r="B681" s="15" t="s">
        <v>94</v>
      </c>
      <c r="C681" s="15" t="s">
        <v>26</v>
      </c>
      <c r="D681" s="15" t="s">
        <v>123</v>
      </c>
      <c r="E681" s="15" t="s">
        <v>228</v>
      </c>
      <c r="F681" s="15" t="s">
        <v>64</v>
      </c>
      <c r="G681" s="27">
        <f>G683+G682</f>
        <v>0</v>
      </c>
      <c r="H681" s="27">
        <f>H683</f>
        <v>0</v>
      </c>
      <c r="I681" s="27">
        <f>I683</f>
        <v>0</v>
      </c>
      <c r="J681" s="1"/>
    </row>
    <row r="682" spans="1:20" hidden="1">
      <c r="A682" s="16" t="s">
        <v>328</v>
      </c>
      <c r="B682" s="15" t="s">
        <v>94</v>
      </c>
      <c r="C682" s="15" t="s">
        <v>26</v>
      </c>
      <c r="D682" s="15" t="s">
        <v>123</v>
      </c>
      <c r="E682" s="15" t="s">
        <v>228</v>
      </c>
      <c r="F682" s="15" t="s">
        <v>327</v>
      </c>
      <c r="G682" s="27"/>
      <c r="H682" s="27">
        <v>0</v>
      </c>
      <c r="I682" s="27">
        <v>0</v>
      </c>
      <c r="J682" s="1"/>
    </row>
    <row r="683" spans="1:20" hidden="1">
      <c r="A683" s="16" t="s">
        <v>66</v>
      </c>
      <c r="B683" s="15" t="s">
        <v>94</v>
      </c>
      <c r="C683" s="15" t="s">
        <v>26</v>
      </c>
      <c r="D683" s="15" t="s">
        <v>123</v>
      </c>
      <c r="E683" s="15" t="s">
        <v>228</v>
      </c>
      <c r="F683" s="15" t="s">
        <v>67</v>
      </c>
      <c r="G683" s="27"/>
      <c r="H683" s="27">
        <v>0</v>
      </c>
      <c r="I683" s="27">
        <v>0</v>
      </c>
      <c r="J683" s="1"/>
    </row>
    <row r="684" spans="1:20" s="108" customFormat="1" ht="54" hidden="1" customHeight="1">
      <c r="A684" s="107" t="s">
        <v>468</v>
      </c>
      <c r="B684" s="86">
        <v>795</v>
      </c>
      <c r="C684" s="105" t="s">
        <v>173</v>
      </c>
      <c r="D684" s="105" t="s">
        <v>70</v>
      </c>
      <c r="E684" s="105" t="s">
        <v>139</v>
      </c>
      <c r="F684" s="105"/>
      <c r="G684" s="106">
        <f>G688+G685</f>
        <v>0</v>
      </c>
      <c r="H684" s="106">
        <f t="shared" ref="H684:I684" si="178">H688+H685</f>
        <v>0</v>
      </c>
      <c r="I684" s="106">
        <f t="shared" si="178"/>
        <v>0</v>
      </c>
      <c r="J684" s="114">
        <v>634136</v>
      </c>
      <c r="P684" s="114"/>
      <c r="Q684" s="114"/>
      <c r="R684" s="114"/>
      <c r="S684" s="114"/>
      <c r="T684" s="114"/>
    </row>
    <row r="685" spans="1:20" s="22" customFormat="1" ht="36" hidden="1" customHeight="1">
      <c r="A685" s="16" t="s">
        <v>645</v>
      </c>
      <c r="B685" s="14">
        <v>795</v>
      </c>
      <c r="C685" s="15" t="s">
        <v>173</v>
      </c>
      <c r="D685" s="15" t="s">
        <v>70</v>
      </c>
      <c r="E685" s="15" t="s">
        <v>646</v>
      </c>
      <c r="F685" s="36"/>
      <c r="G685" s="70">
        <f>G686</f>
        <v>0</v>
      </c>
      <c r="H685" s="70">
        <f t="shared" ref="H685:I686" si="179">H686</f>
        <v>0</v>
      </c>
      <c r="I685" s="70">
        <f t="shared" si="179"/>
        <v>0</v>
      </c>
      <c r="P685" s="21"/>
      <c r="Q685" s="21"/>
      <c r="R685" s="21"/>
      <c r="S685" s="21"/>
      <c r="T685" s="21"/>
    </row>
    <row r="686" spans="1:20" s="22" customFormat="1" ht="24" hidden="1" customHeight="1">
      <c r="A686" s="16" t="s">
        <v>156</v>
      </c>
      <c r="B686" s="14">
        <v>795</v>
      </c>
      <c r="C686" s="15" t="s">
        <v>173</v>
      </c>
      <c r="D686" s="15" t="s">
        <v>70</v>
      </c>
      <c r="E686" s="15" t="s">
        <v>646</v>
      </c>
      <c r="F686" s="15" t="s">
        <v>157</v>
      </c>
      <c r="G686" s="70">
        <f>G687</f>
        <v>0</v>
      </c>
      <c r="H686" s="70">
        <f t="shared" si="179"/>
        <v>0</v>
      </c>
      <c r="I686" s="70">
        <f t="shared" si="179"/>
        <v>0</v>
      </c>
      <c r="P686" s="21"/>
      <c r="Q686" s="21"/>
      <c r="R686" s="21"/>
      <c r="S686" s="21"/>
      <c r="T686" s="21"/>
    </row>
    <row r="687" spans="1:20" s="22" customFormat="1" ht="24" hidden="1" customHeight="1">
      <c r="A687" s="16" t="s">
        <v>178</v>
      </c>
      <c r="B687" s="14">
        <v>795</v>
      </c>
      <c r="C687" s="15" t="s">
        <v>173</v>
      </c>
      <c r="D687" s="15" t="s">
        <v>70</v>
      </c>
      <c r="E687" s="15" t="s">
        <v>646</v>
      </c>
      <c r="F687" s="15" t="s">
        <v>179</v>
      </c>
      <c r="G687" s="70">
        <v>0</v>
      </c>
      <c r="H687" s="70">
        <v>0</v>
      </c>
      <c r="I687" s="70">
        <v>0</v>
      </c>
      <c r="P687" s="21"/>
      <c r="Q687" s="21"/>
      <c r="R687" s="21"/>
      <c r="S687" s="21"/>
      <c r="T687" s="21"/>
    </row>
    <row r="688" spans="1:20" ht="51.75" hidden="1" customHeight="1">
      <c r="A688" s="16" t="s">
        <v>403</v>
      </c>
      <c r="B688" s="49">
        <v>795</v>
      </c>
      <c r="C688" s="15" t="s">
        <v>173</v>
      </c>
      <c r="D688" s="15" t="s">
        <v>70</v>
      </c>
      <c r="E688" s="15" t="s">
        <v>402</v>
      </c>
      <c r="F688" s="15"/>
      <c r="G688" s="87">
        <f t="shared" ref="G688:I688" si="180">G689</f>
        <v>0</v>
      </c>
      <c r="H688" s="87">
        <f t="shared" si="180"/>
        <v>0</v>
      </c>
      <c r="I688" s="87">
        <f t="shared" si="180"/>
        <v>0</v>
      </c>
    </row>
    <row r="689" spans="1:20" ht="30.75" hidden="1" customHeight="1">
      <c r="A689" s="16" t="s">
        <v>156</v>
      </c>
      <c r="B689" s="14">
        <v>793</v>
      </c>
      <c r="C689" s="15" t="s">
        <v>69</v>
      </c>
      <c r="D689" s="15" t="s">
        <v>70</v>
      </c>
      <c r="E689" s="15" t="s">
        <v>402</v>
      </c>
      <c r="F689" s="15" t="s">
        <v>157</v>
      </c>
      <c r="G689" s="70">
        <f>G690</f>
        <v>0</v>
      </c>
      <c r="H689" s="70">
        <f t="shared" ref="H689:I689" si="181">H690</f>
        <v>0</v>
      </c>
      <c r="I689" s="70">
        <f t="shared" si="181"/>
        <v>0</v>
      </c>
    </row>
    <row r="690" spans="1:20" ht="30.75" hidden="1" customHeight="1">
      <c r="A690" s="16" t="s">
        <v>178</v>
      </c>
      <c r="B690" s="14">
        <v>793</v>
      </c>
      <c r="C690" s="15" t="s">
        <v>69</v>
      </c>
      <c r="D690" s="15" t="s">
        <v>70</v>
      </c>
      <c r="E690" s="15" t="s">
        <v>402</v>
      </c>
      <c r="F690" s="15" t="s">
        <v>179</v>
      </c>
      <c r="G690" s="70">
        <f>'прил 5,'!G2075</f>
        <v>0</v>
      </c>
      <c r="H690" s="70">
        <f>'прил 5,'!H2075</f>
        <v>0</v>
      </c>
      <c r="I690" s="70">
        <f>'прил 5,'!I2075</f>
        <v>0</v>
      </c>
    </row>
    <row r="691" spans="1:20" s="18" customFormat="1" ht="38.25" hidden="1">
      <c r="A691" s="181" t="s">
        <v>881</v>
      </c>
      <c r="B691" s="15" t="s">
        <v>94</v>
      </c>
      <c r="C691" s="15" t="s">
        <v>26</v>
      </c>
      <c r="D691" s="15" t="s">
        <v>123</v>
      </c>
      <c r="E691" s="15" t="s">
        <v>917</v>
      </c>
      <c r="F691" s="15"/>
      <c r="G691" s="70">
        <f t="shared" ref="G691:I691" si="182">G692</f>
        <v>0</v>
      </c>
      <c r="H691" s="70">
        <f t="shared" si="182"/>
        <v>0</v>
      </c>
      <c r="I691" s="70">
        <f t="shared" si="182"/>
        <v>0</v>
      </c>
      <c r="J691" s="176"/>
    </row>
    <row r="692" spans="1:20" s="18" customFormat="1" ht="38.25" hidden="1">
      <c r="A692" s="80" t="s">
        <v>881</v>
      </c>
      <c r="B692" s="15" t="s">
        <v>94</v>
      </c>
      <c r="C692" s="15" t="s">
        <v>26</v>
      </c>
      <c r="D692" s="15" t="s">
        <v>123</v>
      </c>
      <c r="E692" s="15" t="s">
        <v>916</v>
      </c>
      <c r="F692" s="15"/>
      <c r="G692" s="70">
        <f t="shared" ref="G692:I693" si="183">G693</f>
        <v>0</v>
      </c>
      <c r="H692" s="70">
        <f t="shared" si="183"/>
        <v>0</v>
      </c>
      <c r="I692" s="70">
        <f t="shared" si="183"/>
        <v>0</v>
      </c>
      <c r="J692" s="176"/>
    </row>
    <row r="693" spans="1:20" s="18" customFormat="1" hidden="1">
      <c r="A693" s="16" t="s">
        <v>148</v>
      </c>
      <c r="B693" s="15" t="s">
        <v>94</v>
      </c>
      <c r="C693" s="15" t="s">
        <v>26</v>
      </c>
      <c r="D693" s="15" t="s">
        <v>123</v>
      </c>
      <c r="E693" s="15" t="s">
        <v>916</v>
      </c>
      <c r="F693" s="15" t="s">
        <v>149</v>
      </c>
      <c r="G693" s="70">
        <f t="shared" si="183"/>
        <v>0</v>
      </c>
      <c r="H693" s="70">
        <f t="shared" si="183"/>
        <v>0</v>
      </c>
      <c r="I693" s="70">
        <f t="shared" si="183"/>
        <v>0</v>
      </c>
      <c r="J693" s="176"/>
    </row>
    <row r="694" spans="1:20" s="18" customFormat="1" hidden="1">
      <c r="A694" s="16" t="s">
        <v>921</v>
      </c>
      <c r="B694" s="15" t="s">
        <v>94</v>
      </c>
      <c r="C694" s="15" t="s">
        <v>26</v>
      </c>
      <c r="D694" s="15" t="s">
        <v>123</v>
      </c>
      <c r="E694" s="15" t="s">
        <v>916</v>
      </c>
      <c r="F694" s="15" t="s">
        <v>918</v>
      </c>
      <c r="G694" s="70">
        <f>'прил 5,'!G1012</f>
        <v>0</v>
      </c>
      <c r="H694" s="70">
        <f>'прил 5,'!H1012</f>
        <v>0</v>
      </c>
      <c r="I694" s="70">
        <f>'прил 5,'!I1012</f>
        <v>0</v>
      </c>
      <c r="J694" s="176"/>
    </row>
    <row r="695" spans="1:20" ht="33" hidden="1" customHeight="1">
      <c r="A695" s="16" t="s">
        <v>983</v>
      </c>
      <c r="B695" s="15" t="s">
        <v>94</v>
      </c>
      <c r="C695" s="15" t="s">
        <v>26</v>
      </c>
      <c r="D695" s="15" t="s">
        <v>123</v>
      </c>
      <c r="E695" s="15" t="s">
        <v>963</v>
      </c>
      <c r="F695" s="15"/>
      <c r="G695" s="70">
        <f>G696</f>
        <v>0</v>
      </c>
      <c r="H695" s="70">
        <f t="shared" ref="H695:I695" si="184">H696</f>
        <v>0</v>
      </c>
      <c r="I695" s="70">
        <f t="shared" si="184"/>
        <v>0</v>
      </c>
      <c r="J695" s="177"/>
      <c r="K695" s="186"/>
      <c r="L695" s="186"/>
      <c r="M695" s="186"/>
      <c r="N695" s="186"/>
      <c r="O695" s="186"/>
      <c r="P695" s="186"/>
      <c r="Q695" s="186"/>
      <c r="R695" s="186"/>
      <c r="S695" s="1"/>
      <c r="T695" s="1"/>
    </row>
    <row r="696" spans="1:20" ht="24.75" hidden="1" customHeight="1">
      <c r="A696" s="16" t="s">
        <v>36</v>
      </c>
      <c r="B696" s="15" t="s">
        <v>94</v>
      </c>
      <c r="C696" s="15" t="s">
        <v>26</v>
      </c>
      <c r="D696" s="15" t="s">
        <v>123</v>
      </c>
      <c r="E696" s="15" t="s">
        <v>963</v>
      </c>
      <c r="F696" s="15" t="s">
        <v>37</v>
      </c>
      <c r="G696" s="70">
        <f>G697</f>
        <v>0</v>
      </c>
      <c r="H696" s="70">
        <f t="shared" ref="H696:I696" si="185">H697</f>
        <v>0</v>
      </c>
      <c r="I696" s="70">
        <f t="shared" si="185"/>
        <v>0</v>
      </c>
      <c r="J696" s="177"/>
      <c r="K696" s="186"/>
      <c r="L696" s="186"/>
      <c r="M696" s="186"/>
      <c r="N696" s="186"/>
      <c r="O696" s="186"/>
      <c r="P696" s="186"/>
      <c r="Q696" s="186"/>
      <c r="R696" s="186"/>
      <c r="S696" s="1"/>
      <c r="T696" s="1"/>
    </row>
    <row r="697" spans="1:20" ht="42.75" hidden="1" customHeight="1">
      <c r="A697" s="16" t="s">
        <v>38</v>
      </c>
      <c r="B697" s="15" t="s">
        <v>94</v>
      </c>
      <c r="C697" s="15" t="s">
        <v>26</v>
      </c>
      <c r="D697" s="15" t="s">
        <v>123</v>
      </c>
      <c r="E697" s="15" t="s">
        <v>963</v>
      </c>
      <c r="F697" s="15" t="s">
        <v>39</v>
      </c>
      <c r="G697" s="87">
        <f>'прил 5,'!G1015</f>
        <v>0</v>
      </c>
      <c r="H697" s="70">
        <v>0</v>
      </c>
      <c r="I697" s="70">
        <v>0</v>
      </c>
      <c r="J697" s="177"/>
      <c r="K697" s="186"/>
      <c r="L697" s="186"/>
      <c r="M697" s="186"/>
      <c r="N697" s="186"/>
      <c r="O697" s="186"/>
      <c r="P697" s="186"/>
      <c r="Q697" s="186"/>
      <c r="R697" s="186"/>
      <c r="S697" s="1"/>
      <c r="T697" s="1"/>
    </row>
    <row r="698" spans="1:20" s="32" customFormat="1" ht="29.25" customHeight="1">
      <c r="A698" s="237" t="s">
        <v>467</v>
      </c>
      <c r="B698" s="35">
        <v>757</v>
      </c>
      <c r="C698" s="36" t="s">
        <v>44</v>
      </c>
      <c r="D698" s="36" t="s">
        <v>54</v>
      </c>
      <c r="E698" s="36" t="s">
        <v>202</v>
      </c>
      <c r="F698" s="36"/>
      <c r="G698" s="71">
        <f>G699+G704+G707+G715+G711</f>
        <v>911100</v>
      </c>
      <c r="H698" s="71">
        <f t="shared" ref="H698:I698" si="186">H699+H704+H707+H715</f>
        <v>161100</v>
      </c>
      <c r="I698" s="71">
        <f t="shared" si="186"/>
        <v>161100</v>
      </c>
      <c r="J698" s="31"/>
      <c r="P698" s="31"/>
      <c r="Q698" s="31"/>
      <c r="R698" s="31"/>
      <c r="S698" s="31"/>
      <c r="T698" s="31"/>
    </row>
    <row r="699" spans="1:20" s="32" customFormat="1" ht="27.75" customHeight="1">
      <c r="A699" s="30" t="s">
        <v>137</v>
      </c>
      <c r="B699" s="14">
        <v>757</v>
      </c>
      <c r="C699" s="15" t="s">
        <v>44</v>
      </c>
      <c r="D699" s="15" t="s">
        <v>19</v>
      </c>
      <c r="E699" s="15" t="s">
        <v>203</v>
      </c>
      <c r="F699" s="15"/>
      <c r="G699" s="87">
        <f>G702+G700</f>
        <v>161100</v>
      </c>
      <c r="H699" s="87">
        <f t="shared" ref="H699:I699" si="187">H702+H700</f>
        <v>161100</v>
      </c>
      <c r="I699" s="87">
        <f t="shared" si="187"/>
        <v>161100</v>
      </c>
      <c r="J699" s="31"/>
      <c r="P699" s="31"/>
      <c r="Q699" s="31"/>
      <c r="R699" s="31"/>
      <c r="S699" s="31"/>
      <c r="T699" s="31"/>
    </row>
    <row r="700" spans="1:20" ht="29.25" customHeight="1">
      <c r="A700" s="16" t="s">
        <v>36</v>
      </c>
      <c r="B700" s="14">
        <v>757</v>
      </c>
      <c r="C700" s="15" t="s">
        <v>54</v>
      </c>
      <c r="D700" s="15" t="s">
        <v>88</v>
      </c>
      <c r="E700" s="15" t="s">
        <v>203</v>
      </c>
      <c r="F700" s="84" t="s">
        <v>37</v>
      </c>
      <c r="G700" s="87">
        <f>G701</f>
        <v>0</v>
      </c>
      <c r="H700" s="70">
        <f t="shared" ref="H700:I700" si="188">H701</f>
        <v>75000</v>
      </c>
      <c r="I700" s="70">
        <f t="shared" si="188"/>
        <v>75000</v>
      </c>
      <c r="J700" s="1"/>
    </row>
    <row r="701" spans="1:20" ht="38.25" customHeight="1">
      <c r="A701" s="16" t="s">
        <v>38</v>
      </c>
      <c r="B701" s="14">
        <v>757</v>
      </c>
      <c r="C701" s="15" t="s">
        <v>54</v>
      </c>
      <c r="D701" s="15" t="s">
        <v>88</v>
      </c>
      <c r="E701" s="15" t="s">
        <v>203</v>
      </c>
      <c r="F701" s="84" t="s">
        <v>39</v>
      </c>
      <c r="G701" s="8">
        <f>'прил 5,'!G26</f>
        <v>0</v>
      </c>
      <c r="H701" s="8">
        <f>'прил 5,'!H26</f>
        <v>75000</v>
      </c>
      <c r="I701" s="8">
        <f>'прил 5,'!I26</f>
        <v>75000</v>
      </c>
      <c r="J701" s="1"/>
    </row>
    <row r="702" spans="1:20" ht="32.25" customHeight="1">
      <c r="A702" s="16" t="s">
        <v>30</v>
      </c>
      <c r="B702" s="14">
        <v>757</v>
      </c>
      <c r="C702" s="15" t="s">
        <v>44</v>
      </c>
      <c r="D702" s="15" t="s">
        <v>19</v>
      </c>
      <c r="E702" s="15" t="s">
        <v>203</v>
      </c>
      <c r="F702" s="15" t="s">
        <v>31</v>
      </c>
      <c r="G702" s="85">
        <f t="shared" ref="G702:I702" si="189">G703</f>
        <v>161100</v>
      </c>
      <c r="H702" s="85">
        <f t="shared" si="189"/>
        <v>86100</v>
      </c>
      <c r="I702" s="85">
        <f t="shared" si="189"/>
        <v>86100</v>
      </c>
    </row>
    <row r="703" spans="1:20">
      <c r="A703" s="16" t="s">
        <v>32</v>
      </c>
      <c r="B703" s="14">
        <v>757</v>
      </c>
      <c r="C703" s="15" t="s">
        <v>44</v>
      </c>
      <c r="D703" s="15" t="s">
        <v>19</v>
      </c>
      <c r="E703" s="15" t="s">
        <v>203</v>
      </c>
      <c r="F703" s="15" t="s">
        <v>33</v>
      </c>
      <c r="G703" s="85">
        <f>'прил 5,'!G28</f>
        <v>161100</v>
      </c>
      <c r="H703" s="85">
        <f>'прил 5,'!H28</f>
        <v>86100</v>
      </c>
      <c r="I703" s="85">
        <f>'прил 5,'!I28</f>
        <v>86100</v>
      </c>
      <c r="J703" s="2">
        <v>50000</v>
      </c>
    </row>
    <row r="704" spans="1:20" ht="15" hidden="1" customHeight="1">
      <c r="A704" s="145" t="s">
        <v>501</v>
      </c>
      <c r="B704" s="14">
        <v>757</v>
      </c>
      <c r="C704" s="15" t="s">
        <v>54</v>
      </c>
      <c r="D704" s="15" t="s">
        <v>88</v>
      </c>
      <c r="E704" s="84" t="s">
        <v>500</v>
      </c>
      <c r="F704" s="84"/>
      <c r="G704" s="87">
        <f>G705</f>
        <v>0</v>
      </c>
      <c r="H704" s="87">
        <f t="shared" ref="H704:I705" si="190">H705</f>
        <v>0</v>
      </c>
      <c r="I704" s="87">
        <f t="shared" si="190"/>
        <v>0</v>
      </c>
      <c r="J704" s="1"/>
    </row>
    <row r="705" spans="1:20" ht="27.75" hidden="1" customHeight="1">
      <c r="A705" s="16" t="s">
        <v>36</v>
      </c>
      <c r="B705" s="14">
        <v>757</v>
      </c>
      <c r="C705" s="15" t="s">
        <v>54</v>
      </c>
      <c r="D705" s="15" t="s">
        <v>88</v>
      </c>
      <c r="E705" s="84" t="s">
        <v>500</v>
      </c>
      <c r="F705" s="84" t="s">
        <v>37</v>
      </c>
      <c r="G705" s="87">
        <f>G706</f>
        <v>0</v>
      </c>
      <c r="H705" s="87">
        <f t="shared" si="190"/>
        <v>0</v>
      </c>
      <c r="I705" s="87">
        <f t="shared" si="190"/>
        <v>0</v>
      </c>
      <c r="J705" s="1"/>
    </row>
    <row r="706" spans="1:20" ht="30.75" hidden="1" customHeight="1">
      <c r="A706" s="16" t="s">
        <v>38</v>
      </c>
      <c r="B706" s="14">
        <v>757</v>
      </c>
      <c r="C706" s="15" t="s">
        <v>54</v>
      </c>
      <c r="D706" s="15" t="s">
        <v>88</v>
      </c>
      <c r="E706" s="84" t="s">
        <v>500</v>
      </c>
      <c r="F706" s="84" t="s">
        <v>39</v>
      </c>
      <c r="G706" s="87">
        <f>'прил 5,'!G31</f>
        <v>0</v>
      </c>
      <c r="H706" s="87">
        <v>0</v>
      </c>
      <c r="I706" s="87">
        <v>0</v>
      </c>
      <c r="J706" s="1"/>
    </row>
    <row r="707" spans="1:20" s="18" customFormat="1" ht="32.25" hidden="1" customHeight="1">
      <c r="A707" s="16" t="s">
        <v>113</v>
      </c>
      <c r="B707" s="49">
        <v>795</v>
      </c>
      <c r="C707" s="15" t="s">
        <v>54</v>
      </c>
      <c r="D707" s="15" t="s">
        <v>123</v>
      </c>
      <c r="E707" s="15" t="s">
        <v>202</v>
      </c>
      <c r="F707" s="15"/>
      <c r="G707" s="70">
        <f t="shared" ref="G707:I709" si="191">G708</f>
        <v>0</v>
      </c>
      <c r="H707" s="70">
        <f t="shared" si="191"/>
        <v>0</v>
      </c>
      <c r="I707" s="70">
        <f t="shared" si="191"/>
        <v>0</v>
      </c>
      <c r="P707" s="17"/>
      <c r="Q707" s="17"/>
      <c r="R707" s="17"/>
      <c r="S707" s="17"/>
      <c r="T707" s="17"/>
    </row>
    <row r="708" spans="1:20" s="18" customFormat="1" ht="62.25" hidden="1" customHeight="1">
      <c r="A708" s="16" t="s">
        <v>793</v>
      </c>
      <c r="B708" s="49">
        <v>795</v>
      </c>
      <c r="C708" s="15" t="s">
        <v>54</v>
      </c>
      <c r="D708" s="15" t="s">
        <v>123</v>
      </c>
      <c r="E708" s="15" t="s">
        <v>418</v>
      </c>
      <c r="F708" s="15"/>
      <c r="G708" s="70">
        <f t="shared" si="191"/>
        <v>0</v>
      </c>
      <c r="H708" s="70">
        <f t="shared" si="191"/>
        <v>0</v>
      </c>
      <c r="I708" s="70">
        <f t="shared" si="191"/>
        <v>0</v>
      </c>
      <c r="P708" s="17"/>
      <c r="Q708" s="17"/>
      <c r="R708" s="17"/>
      <c r="S708" s="17"/>
      <c r="T708" s="17"/>
    </row>
    <row r="709" spans="1:20" s="18" customFormat="1" ht="39" hidden="1" customHeight="1">
      <c r="A709" s="16" t="s">
        <v>96</v>
      </c>
      <c r="B709" s="49">
        <v>795</v>
      </c>
      <c r="C709" s="15" t="s">
        <v>54</v>
      </c>
      <c r="D709" s="15" t="s">
        <v>123</v>
      </c>
      <c r="E709" s="15" t="s">
        <v>418</v>
      </c>
      <c r="F709" s="15" t="s">
        <v>348</v>
      </c>
      <c r="G709" s="70">
        <f t="shared" si="191"/>
        <v>0</v>
      </c>
      <c r="H709" s="70">
        <f t="shared" si="191"/>
        <v>0</v>
      </c>
      <c r="I709" s="70">
        <f t="shared" si="191"/>
        <v>0</v>
      </c>
      <c r="P709" s="17"/>
      <c r="Q709" s="17"/>
      <c r="R709" s="17"/>
      <c r="S709" s="17"/>
      <c r="T709" s="17"/>
    </row>
    <row r="710" spans="1:20" s="18" customFormat="1" ht="15.75" hidden="1" customHeight="1">
      <c r="A710" s="16" t="s">
        <v>349</v>
      </c>
      <c r="B710" s="49">
        <v>795</v>
      </c>
      <c r="C710" s="15" t="s">
        <v>54</v>
      </c>
      <c r="D710" s="15" t="s">
        <v>123</v>
      </c>
      <c r="E710" s="15" t="s">
        <v>418</v>
      </c>
      <c r="F710" s="15" t="s">
        <v>350</v>
      </c>
      <c r="G710" s="70">
        <f>'прил 5,'!G1924</f>
        <v>0</v>
      </c>
      <c r="H710" s="70">
        <v>0</v>
      </c>
      <c r="I710" s="70">
        <v>0</v>
      </c>
      <c r="P710" s="17"/>
      <c r="Q710" s="17"/>
      <c r="R710" s="17"/>
      <c r="S710" s="17"/>
      <c r="T710" s="17"/>
    </row>
    <row r="711" spans="1:20" s="18" customFormat="1" ht="70.5" customHeight="1">
      <c r="A711" s="16" t="s">
        <v>793</v>
      </c>
      <c r="B711" s="14">
        <v>793</v>
      </c>
      <c r="C711" s="15" t="s">
        <v>54</v>
      </c>
      <c r="D711" s="15" t="s">
        <v>123</v>
      </c>
      <c r="E711" s="15" t="s">
        <v>418</v>
      </c>
      <c r="F711" s="15"/>
      <c r="G711" s="70">
        <f t="shared" ref="G711:I712" si="192">G712</f>
        <v>750000</v>
      </c>
      <c r="H711" s="70">
        <f t="shared" si="192"/>
        <v>0</v>
      </c>
      <c r="I711" s="70">
        <f t="shared" si="192"/>
        <v>0</v>
      </c>
      <c r="J711" s="177"/>
      <c r="K711" s="200"/>
      <c r="L711" s="200"/>
      <c r="M711" s="200"/>
      <c r="N711" s="200"/>
      <c r="O711" s="200"/>
      <c r="P711" s="200"/>
      <c r="Q711" s="200"/>
      <c r="R711" s="200"/>
    </row>
    <row r="712" spans="1:20" s="18" customFormat="1" ht="39" customHeight="1">
      <c r="A712" s="16" t="s">
        <v>96</v>
      </c>
      <c r="B712" s="14">
        <v>793</v>
      </c>
      <c r="C712" s="15" t="s">
        <v>54</v>
      </c>
      <c r="D712" s="15" t="s">
        <v>123</v>
      </c>
      <c r="E712" s="15" t="s">
        <v>418</v>
      </c>
      <c r="F712" s="15" t="s">
        <v>348</v>
      </c>
      <c r="G712" s="70">
        <f t="shared" si="192"/>
        <v>750000</v>
      </c>
      <c r="H712" s="70">
        <f t="shared" si="192"/>
        <v>0</v>
      </c>
      <c r="I712" s="70">
        <f t="shared" si="192"/>
        <v>0</v>
      </c>
      <c r="J712" s="177"/>
      <c r="K712" s="200"/>
      <c r="L712" s="200"/>
      <c r="M712" s="200"/>
      <c r="N712" s="200"/>
      <c r="O712" s="200"/>
      <c r="P712" s="200"/>
      <c r="Q712" s="200"/>
      <c r="R712" s="200"/>
    </row>
    <row r="713" spans="1:20" s="18" customFormat="1" ht="15.75" customHeight="1">
      <c r="A713" s="16" t="s">
        <v>349</v>
      </c>
      <c r="B713" s="14">
        <v>793</v>
      </c>
      <c r="C713" s="15" t="s">
        <v>54</v>
      </c>
      <c r="D713" s="15" t="s">
        <v>123</v>
      </c>
      <c r="E713" s="15" t="s">
        <v>418</v>
      </c>
      <c r="F713" s="15" t="s">
        <v>350</v>
      </c>
      <c r="G713" s="70">
        <v>750000</v>
      </c>
      <c r="H713" s="70">
        <v>0</v>
      </c>
      <c r="I713" s="70">
        <v>0</v>
      </c>
      <c r="J713" s="177"/>
      <c r="K713" s="200"/>
      <c r="L713" s="200"/>
      <c r="M713" s="200"/>
      <c r="N713" s="200"/>
      <c r="O713" s="200"/>
      <c r="P713" s="200"/>
      <c r="Q713" s="200"/>
      <c r="R713" s="200"/>
    </row>
    <row r="714" spans="1:20" s="18" customFormat="1" ht="32.25" hidden="1" customHeight="1">
      <c r="A714" s="16" t="s">
        <v>948</v>
      </c>
      <c r="B714" s="14">
        <v>793</v>
      </c>
      <c r="C714" s="15" t="s">
        <v>54</v>
      </c>
      <c r="D714" s="15" t="s">
        <v>123</v>
      </c>
      <c r="E714" s="15" t="s">
        <v>947</v>
      </c>
      <c r="F714" s="15"/>
      <c r="G714" s="70">
        <f>G715</f>
        <v>0</v>
      </c>
      <c r="H714" s="70">
        <f t="shared" ref="H714:I714" si="193">H715</f>
        <v>0</v>
      </c>
      <c r="I714" s="70">
        <f t="shared" si="193"/>
        <v>0</v>
      </c>
      <c r="J714" s="177"/>
      <c r="K714" s="200"/>
      <c r="L714" s="200"/>
      <c r="M714" s="200"/>
      <c r="N714" s="200"/>
      <c r="O714" s="200"/>
      <c r="P714" s="200"/>
      <c r="Q714" s="200"/>
      <c r="R714" s="200"/>
    </row>
    <row r="715" spans="1:20" s="18" customFormat="1" ht="87" hidden="1" customHeight="1">
      <c r="A715" s="16" t="s">
        <v>949</v>
      </c>
      <c r="B715" s="49">
        <v>795</v>
      </c>
      <c r="C715" s="15" t="s">
        <v>54</v>
      </c>
      <c r="D715" s="15" t="s">
        <v>123</v>
      </c>
      <c r="E715" s="15" t="s">
        <v>950</v>
      </c>
      <c r="F715" s="15"/>
      <c r="G715" s="70">
        <f t="shared" ref="G715:I716" si="194">G716</f>
        <v>0</v>
      </c>
      <c r="H715" s="70">
        <f t="shared" si="194"/>
        <v>0</v>
      </c>
      <c r="I715" s="70">
        <f t="shared" si="194"/>
        <v>0</v>
      </c>
      <c r="P715" s="17"/>
      <c r="Q715" s="17"/>
      <c r="R715" s="17"/>
      <c r="S715" s="17"/>
      <c r="T715" s="17"/>
    </row>
    <row r="716" spans="1:20" s="18" customFormat="1" ht="39" hidden="1" customHeight="1">
      <c r="A716" s="16" t="s">
        <v>96</v>
      </c>
      <c r="B716" s="49">
        <v>795</v>
      </c>
      <c r="C716" s="15" t="s">
        <v>54</v>
      </c>
      <c r="D716" s="15" t="s">
        <v>123</v>
      </c>
      <c r="E716" s="15" t="s">
        <v>950</v>
      </c>
      <c r="F716" s="15" t="s">
        <v>348</v>
      </c>
      <c r="G716" s="70">
        <f t="shared" si="194"/>
        <v>0</v>
      </c>
      <c r="H716" s="70">
        <f t="shared" si="194"/>
        <v>0</v>
      </c>
      <c r="I716" s="70">
        <f t="shared" si="194"/>
        <v>0</v>
      </c>
      <c r="P716" s="17"/>
      <c r="Q716" s="17"/>
      <c r="R716" s="17"/>
      <c r="S716" s="17"/>
      <c r="T716" s="17"/>
    </row>
    <row r="717" spans="1:20" s="18" customFormat="1" ht="15.75" hidden="1" customHeight="1">
      <c r="A717" s="16" t="s">
        <v>349</v>
      </c>
      <c r="B717" s="49">
        <v>795</v>
      </c>
      <c r="C717" s="15" t="s">
        <v>54</v>
      </c>
      <c r="D717" s="15" t="s">
        <v>123</v>
      </c>
      <c r="E717" s="15" t="s">
        <v>950</v>
      </c>
      <c r="F717" s="15" t="s">
        <v>350</v>
      </c>
      <c r="G717" s="70">
        <f>'прил 5,'!G1442</f>
        <v>0</v>
      </c>
      <c r="H717" s="70">
        <f>'прил 5,'!H1442</f>
        <v>0</v>
      </c>
      <c r="I717" s="70">
        <f>'прил 5,'!I1442</f>
        <v>0</v>
      </c>
      <c r="P717" s="17"/>
      <c r="Q717" s="17"/>
      <c r="R717" s="17"/>
      <c r="S717" s="17"/>
      <c r="T717" s="17"/>
    </row>
    <row r="718" spans="1:20" s="22" customFormat="1" ht="54" customHeight="1">
      <c r="A718" s="34" t="s">
        <v>478</v>
      </c>
      <c r="B718" s="19">
        <v>795</v>
      </c>
      <c r="C718" s="36" t="s">
        <v>161</v>
      </c>
      <c r="D718" s="36" t="s">
        <v>173</v>
      </c>
      <c r="E718" s="36" t="s">
        <v>261</v>
      </c>
      <c r="F718" s="36"/>
      <c r="G718" s="71">
        <f>G722+G731+G735+G738+G747+G750+G753+G756+G761+G764+G770+G768+G755+G767+G773+G723+G776+G742+G779+G739+G726</f>
        <v>11019692.26</v>
      </c>
      <c r="H718" s="71">
        <f t="shared" ref="H718:I718" si="195">H722+H731+H735+H738+H747+H750+H753+H756+H761+H764+H770+H768+H755+H767+H773+H723+H776</f>
        <v>2050000</v>
      </c>
      <c r="I718" s="71">
        <f t="shared" si="195"/>
        <v>2050000</v>
      </c>
      <c r="J718" s="21">
        <v>300000</v>
      </c>
      <c r="P718" s="21"/>
      <c r="Q718" s="21"/>
      <c r="R718" s="21"/>
      <c r="S718" s="21"/>
      <c r="T718" s="21"/>
    </row>
    <row r="719" spans="1:20" s="3" customFormat="1" ht="38.25" hidden="1" customHeight="1">
      <c r="A719" s="16" t="s">
        <v>532</v>
      </c>
      <c r="B719" s="49">
        <v>795</v>
      </c>
      <c r="C719" s="15" t="s">
        <v>161</v>
      </c>
      <c r="D719" s="15" t="s">
        <v>173</v>
      </c>
      <c r="E719" s="15" t="s">
        <v>533</v>
      </c>
      <c r="F719" s="15"/>
      <c r="G719" s="70">
        <f>G721</f>
        <v>0</v>
      </c>
      <c r="H719" s="25">
        <v>0</v>
      </c>
      <c r="I719" s="25">
        <v>0</v>
      </c>
      <c r="P719" s="111"/>
      <c r="Q719" s="111"/>
      <c r="R719" s="111"/>
      <c r="S719" s="111"/>
      <c r="T719" s="111"/>
    </row>
    <row r="720" spans="1:20" s="3" customFormat="1" ht="38.25" hidden="1" customHeight="1">
      <c r="A720" s="16"/>
      <c r="B720" s="49"/>
      <c r="C720" s="15"/>
      <c r="D720" s="15"/>
      <c r="E720" s="15"/>
      <c r="F720" s="15"/>
      <c r="G720" s="70"/>
      <c r="H720" s="117"/>
      <c r="I720" s="118"/>
      <c r="P720" s="111"/>
      <c r="Q720" s="111"/>
      <c r="R720" s="111"/>
      <c r="S720" s="111"/>
      <c r="T720" s="111"/>
    </row>
    <row r="721" spans="1:20" s="3" customFormat="1" ht="38.25" hidden="1" customHeight="1">
      <c r="A721" s="16" t="s">
        <v>36</v>
      </c>
      <c r="B721" s="49">
        <v>795</v>
      </c>
      <c r="C721" s="15" t="s">
        <v>161</v>
      </c>
      <c r="D721" s="15" t="s">
        <v>173</v>
      </c>
      <c r="E721" s="15" t="s">
        <v>533</v>
      </c>
      <c r="F721" s="15" t="s">
        <v>37</v>
      </c>
      <c r="G721" s="70">
        <f>G722</f>
        <v>0</v>
      </c>
      <c r="H721" s="25">
        <v>0</v>
      </c>
      <c r="I721" s="25">
        <v>0</v>
      </c>
      <c r="P721" s="111"/>
      <c r="Q721" s="111"/>
      <c r="R721" s="111"/>
      <c r="S721" s="111"/>
      <c r="T721" s="111"/>
    </row>
    <row r="722" spans="1:20" s="3" customFormat="1" ht="38.25" hidden="1" customHeight="1">
      <c r="A722" s="16" t="s">
        <v>38</v>
      </c>
      <c r="B722" s="49">
        <v>795</v>
      </c>
      <c r="C722" s="15" t="s">
        <v>161</v>
      </c>
      <c r="D722" s="15" t="s">
        <v>173</v>
      </c>
      <c r="E722" s="15" t="s">
        <v>533</v>
      </c>
      <c r="F722" s="15" t="s">
        <v>39</v>
      </c>
      <c r="G722" s="70">
        <f>'прил 5,'!G2109</f>
        <v>0</v>
      </c>
      <c r="H722" s="25">
        <v>0</v>
      </c>
      <c r="I722" s="25">
        <v>0</v>
      </c>
      <c r="P722" s="111"/>
      <c r="Q722" s="111"/>
      <c r="R722" s="111"/>
      <c r="S722" s="111"/>
      <c r="T722" s="111"/>
    </row>
    <row r="723" spans="1:20" s="3" customFormat="1" ht="38.25" hidden="1" customHeight="1">
      <c r="A723" s="16" t="s">
        <v>760</v>
      </c>
      <c r="B723" s="49">
        <v>795</v>
      </c>
      <c r="C723" s="15" t="s">
        <v>161</v>
      </c>
      <c r="D723" s="15" t="s">
        <v>173</v>
      </c>
      <c r="E723" s="15" t="s">
        <v>759</v>
      </c>
      <c r="F723" s="15"/>
      <c r="G723" s="70">
        <f t="shared" ref="G723:I724" si="196">G724</f>
        <v>0</v>
      </c>
      <c r="H723" s="70">
        <f t="shared" si="196"/>
        <v>0</v>
      </c>
      <c r="I723" s="70">
        <f t="shared" si="196"/>
        <v>0</v>
      </c>
      <c r="P723" s="111"/>
      <c r="Q723" s="111"/>
      <c r="R723" s="111"/>
      <c r="S723" s="111"/>
      <c r="T723" s="111"/>
    </row>
    <row r="724" spans="1:20" s="3" customFormat="1" ht="38.25" hidden="1" customHeight="1">
      <c r="A724" s="16" t="s">
        <v>36</v>
      </c>
      <c r="B724" s="49">
        <v>795</v>
      </c>
      <c r="C724" s="15" t="s">
        <v>161</v>
      </c>
      <c r="D724" s="15" t="s">
        <v>173</v>
      </c>
      <c r="E724" s="15" t="s">
        <v>759</v>
      </c>
      <c r="F724" s="15" t="s">
        <v>37</v>
      </c>
      <c r="G724" s="70">
        <f t="shared" si="196"/>
        <v>0</v>
      </c>
      <c r="H724" s="70">
        <f t="shared" si="196"/>
        <v>0</v>
      </c>
      <c r="I724" s="70">
        <f t="shared" si="196"/>
        <v>0</v>
      </c>
      <c r="P724" s="111"/>
      <c r="Q724" s="111"/>
      <c r="R724" s="111"/>
      <c r="S724" s="111"/>
      <c r="T724" s="111"/>
    </row>
    <row r="725" spans="1:20" s="3" customFormat="1" ht="38.25" hidden="1" customHeight="1">
      <c r="A725" s="16" t="s">
        <v>38</v>
      </c>
      <c r="B725" s="49">
        <v>795</v>
      </c>
      <c r="C725" s="15" t="s">
        <v>161</v>
      </c>
      <c r="D725" s="15" t="s">
        <v>173</v>
      </c>
      <c r="E725" s="15" t="s">
        <v>759</v>
      </c>
      <c r="F725" s="15" t="s">
        <v>39</v>
      </c>
      <c r="G725" s="70">
        <f>'прил 5,'!G2112</f>
        <v>0</v>
      </c>
      <c r="H725" s="70"/>
      <c r="I725" s="70"/>
      <c r="P725" s="111"/>
      <c r="Q725" s="111"/>
      <c r="R725" s="111"/>
      <c r="S725" s="111"/>
      <c r="T725" s="111"/>
    </row>
    <row r="726" spans="1:20" s="3" customFormat="1" ht="46.5" customHeight="1">
      <c r="A726" s="82" t="s">
        <v>1083</v>
      </c>
      <c r="B726" s="83">
        <v>793</v>
      </c>
      <c r="C726" s="84" t="s">
        <v>161</v>
      </c>
      <c r="D726" s="84" t="s">
        <v>173</v>
      </c>
      <c r="E726" s="84" t="s">
        <v>1082</v>
      </c>
      <c r="F726" s="84"/>
      <c r="G726" s="87">
        <f t="shared" ref="G726:I727" si="197">G727</f>
        <v>8931011.5999999996</v>
      </c>
      <c r="H726" s="87">
        <f t="shared" si="197"/>
        <v>0</v>
      </c>
      <c r="I726" s="87">
        <f t="shared" si="197"/>
        <v>0</v>
      </c>
      <c r="J726" s="177"/>
      <c r="K726" s="199"/>
      <c r="L726" s="199"/>
      <c r="M726" s="199"/>
      <c r="N726" s="199"/>
      <c r="O726" s="199"/>
      <c r="P726" s="199"/>
      <c r="Q726" s="199"/>
      <c r="R726" s="199"/>
    </row>
    <row r="727" spans="1:20" s="3" customFormat="1" ht="38.25" customHeight="1">
      <c r="A727" s="82" t="s">
        <v>36</v>
      </c>
      <c r="B727" s="83">
        <v>793</v>
      </c>
      <c r="C727" s="84" t="s">
        <v>161</v>
      </c>
      <c r="D727" s="84" t="s">
        <v>173</v>
      </c>
      <c r="E727" s="84" t="s">
        <v>1082</v>
      </c>
      <c r="F727" s="84" t="s">
        <v>37</v>
      </c>
      <c r="G727" s="87">
        <f t="shared" si="197"/>
        <v>8931011.5999999996</v>
      </c>
      <c r="H727" s="87">
        <f t="shared" si="197"/>
        <v>0</v>
      </c>
      <c r="I727" s="87">
        <f t="shared" si="197"/>
        <v>0</v>
      </c>
      <c r="J727" s="177"/>
      <c r="K727" s="199"/>
      <c r="L727" s="199"/>
      <c r="M727" s="199"/>
      <c r="N727" s="199"/>
      <c r="O727" s="199"/>
      <c r="P727" s="199"/>
      <c r="Q727" s="199"/>
      <c r="R727" s="199"/>
    </row>
    <row r="728" spans="1:20" s="3" customFormat="1" ht="38.25" customHeight="1">
      <c r="A728" s="82" t="s">
        <v>38</v>
      </c>
      <c r="B728" s="83">
        <v>793</v>
      </c>
      <c r="C728" s="84" t="s">
        <v>161</v>
      </c>
      <c r="D728" s="84" t="s">
        <v>173</v>
      </c>
      <c r="E728" s="84" t="s">
        <v>1082</v>
      </c>
      <c r="F728" s="84" t="s">
        <v>39</v>
      </c>
      <c r="G728" s="87">
        <f>'прил 5,'!G1667</f>
        <v>8931011.5999999996</v>
      </c>
      <c r="H728" s="87"/>
      <c r="I728" s="87"/>
      <c r="J728" s="177"/>
      <c r="K728" s="199"/>
      <c r="L728" s="199"/>
      <c r="M728" s="199"/>
      <c r="N728" s="199"/>
      <c r="O728" s="199"/>
      <c r="P728" s="199"/>
      <c r="Q728" s="199"/>
      <c r="R728" s="199"/>
    </row>
    <row r="729" spans="1:20" s="3" customFormat="1" ht="24.75" customHeight="1">
      <c r="A729" s="16" t="s">
        <v>128</v>
      </c>
      <c r="B729" s="49">
        <v>795</v>
      </c>
      <c r="C729" s="15" t="s">
        <v>161</v>
      </c>
      <c r="D729" s="15" t="s">
        <v>173</v>
      </c>
      <c r="E729" s="15" t="s">
        <v>285</v>
      </c>
      <c r="F729" s="15"/>
      <c r="G729" s="70">
        <f>G731</f>
        <v>50000</v>
      </c>
      <c r="H729" s="87">
        <f>H731</f>
        <v>50000</v>
      </c>
      <c r="I729" s="87">
        <f>I731</f>
        <v>50000</v>
      </c>
      <c r="J729" s="111">
        <v>700000</v>
      </c>
      <c r="P729" s="111"/>
      <c r="Q729" s="111"/>
      <c r="R729" s="111"/>
      <c r="S729" s="111"/>
      <c r="T729" s="111"/>
    </row>
    <row r="730" spans="1:20" s="3" customFormat="1" ht="28.5" customHeight="1">
      <c r="A730" s="16" t="s">
        <v>36</v>
      </c>
      <c r="B730" s="49">
        <v>795</v>
      </c>
      <c r="C730" s="15" t="s">
        <v>161</v>
      </c>
      <c r="D730" s="15" t="s">
        <v>173</v>
      </c>
      <c r="E730" s="15" t="s">
        <v>285</v>
      </c>
      <c r="F730" s="15" t="s">
        <v>37</v>
      </c>
      <c r="G730" s="70">
        <f>G731</f>
        <v>50000</v>
      </c>
      <c r="H730" s="87">
        <f>H731</f>
        <v>50000</v>
      </c>
      <c r="I730" s="87">
        <f>I731</f>
        <v>50000</v>
      </c>
      <c r="J730" s="111">
        <v>30000</v>
      </c>
      <c r="P730" s="111"/>
      <c r="Q730" s="111"/>
      <c r="R730" s="111"/>
      <c r="S730" s="111"/>
      <c r="T730" s="111"/>
    </row>
    <row r="731" spans="1:20" s="3" customFormat="1" ht="29.25" customHeight="1">
      <c r="A731" s="16" t="s">
        <v>38</v>
      </c>
      <c r="B731" s="49">
        <v>795</v>
      </c>
      <c r="C731" s="15" t="s">
        <v>161</v>
      </c>
      <c r="D731" s="15" t="s">
        <v>173</v>
      </c>
      <c r="E731" s="15" t="s">
        <v>285</v>
      </c>
      <c r="F731" s="15" t="s">
        <v>39</v>
      </c>
      <c r="G731" s="70">
        <f>'прил 5,'!G1679</f>
        <v>50000</v>
      </c>
      <c r="H731" s="70">
        <f>'прил 5,'!H1679</f>
        <v>50000</v>
      </c>
      <c r="I731" s="70">
        <f>'прил 5,'!I1679</f>
        <v>50000</v>
      </c>
      <c r="J731" s="111">
        <f>SUM(J718:J730)</f>
        <v>1030000</v>
      </c>
      <c r="P731" s="111"/>
      <c r="Q731" s="111"/>
      <c r="R731" s="111"/>
      <c r="S731" s="111"/>
      <c r="T731" s="111"/>
    </row>
    <row r="732" spans="1:20" s="3" customFormat="1" ht="38.25" customHeight="1">
      <c r="A732" s="16" t="s">
        <v>488</v>
      </c>
      <c r="B732" s="49">
        <v>795</v>
      </c>
      <c r="C732" s="15" t="s">
        <v>161</v>
      </c>
      <c r="D732" s="15" t="s">
        <v>173</v>
      </c>
      <c r="E732" s="15" t="s">
        <v>376</v>
      </c>
      <c r="F732" s="15"/>
      <c r="G732" s="70">
        <f>G734</f>
        <v>426048.26</v>
      </c>
      <c r="H732" s="87">
        <f>H734</f>
        <v>500000</v>
      </c>
      <c r="I732" s="87">
        <f>I734</f>
        <v>500000</v>
      </c>
      <c r="J732" s="111"/>
      <c r="P732" s="111"/>
      <c r="Q732" s="111"/>
      <c r="R732" s="111"/>
      <c r="S732" s="111"/>
      <c r="T732" s="111"/>
    </row>
    <row r="733" spans="1:20" s="3" customFormat="1" ht="38.25" hidden="1" customHeight="1">
      <c r="A733" s="16"/>
      <c r="B733" s="49"/>
      <c r="C733" s="15"/>
      <c r="D733" s="15"/>
      <c r="E733" s="15"/>
      <c r="F733" s="15"/>
      <c r="G733" s="70"/>
      <c r="H733" s="87"/>
      <c r="I733" s="87"/>
      <c r="J733" s="111"/>
      <c r="P733" s="111"/>
      <c r="Q733" s="111"/>
      <c r="R733" s="111"/>
      <c r="S733" s="111"/>
      <c r="T733" s="111"/>
    </row>
    <row r="734" spans="1:20" s="3" customFormat="1" ht="38.25" customHeight="1">
      <c r="A734" s="16" t="s">
        <v>36</v>
      </c>
      <c r="B734" s="49">
        <v>795</v>
      </c>
      <c r="C734" s="15" t="s">
        <v>161</v>
      </c>
      <c r="D734" s="15" t="s">
        <v>173</v>
      </c>
      <c r="E734" s="15" t="s">
        <v>376</v>
      </c>
      <c r="F734" s="15" t="s">
        <v>37</v>
      </c>
      <c r="G734" s="70">
        <f>G735</f>
        <v>426048.26</v>
      </c>
      <c r="H734" s="87">
        <f>H735</f>
        <v>500000</v>
      </c>
      <c r="I734" s="87">
        <f>I735</f>
        <v>500000</v>
      </c>
      <c r="J734" s="111"/>
      <c r="P734" s="111"/>
      <c r="Q734" s="111"/>
      <c r="R734" s="111"/>
      <c r="S734" s="111"/>
      <c r="T734" s="111"/>
    </row>
    <row r="735" spans="1:20" s="3" customFormat="1" ht="38.25" customHeight="1">
      <c r="A735" s="16" t="s">
        <v>38</v>
      </c>
      <c r="B735" s="49">
        <v>795</v>
      </c>
      <c r="C735" s="15" t="s">
        <v>161</v>
      </c>
      <c r="D735" s="15" t="s">
        <v>173</v>
      </c>
      <c r="E735" s="15" t="s">
        <v>376</v>
      </c>
      <c r="F735" s="15" t="s">
        <v>39</v>
      </c>
      <c r="G735" s="70">
        <f>'прил 5,'!G1670</f>
        <v>426048.26</v>
      </c>
      <c r="H735" s="70">
        <f>'прил 5,'!H1670</f>
        <v>500000</v>
      </c>
      <c r="I735" s="70">
        <f>'прил 5,'!I1670</f>
        <v>500000</v>
      </c>
      <c r="J735" s="111"/>
      <c r="P735" s="111"/>
      <c r="Q735" s="111"/>
      <c r="R735" s="111"/>
      <c r="S735" s="111"/>
      <c r="T735" s="111"/>
    </row>
    <row r="736" spans="1:20" s="3" customFormat="1" ht="38.25" customHeight="1">
      <c r="A736" s="16" t="s">
        <v>379</v>
      </c>
      <c r="B736" s="49">
        <v>795</v>
      </c>
      <c r="C736" s="15" t="s">
        <v>161</v>
      </c>
      <c r="D736" s="15" t="s">
        <v>173</v>
      </c>
      <c r="E736" s="15" t="s">
        <v>377</v>
      </c>
      <c r="F736" s="15"/>
      <c r="G736" s="70">
        <f t="shared" ref="G736:I737" si="198">G737</f>
        <v>84300</v>
      </c>
      <c r="H736" s="87">
        <f t="shared" si="198"/>
        <v>1000000</v>
      </c>
      <c r="I736" s="87">
        <f t="shared" si="198"/>
        <v>1000000</v>
      </c>
      <c r="J736" s="111"/>
      <c r="P736" s="111"/>
      <c r="Q736" s="111"/>
      <c r="R736" s="111"/>
      <c r="S736" s="111"/>
      <c r="T736" s="111"/>
    </row>
    <row r="737" spans="1:20" s="3" customFormat="1" ht="38.25" customHeight="1">
      <c r="A737" s="16" t="s">
        <v>36</v>
      </c>
      <c r="B737" s="49">
        <v>795</v>
      </c>
      <c r="C737" s="15" t="s">
        <v>161</v>
      </c>
      <c r="D737" s="15" t="s">
        <v>173</v>
      </c>
      <c r="E737" s="15" t="s">
        <v>377</v>
      </c>
      <c r="F737" s="15" t="s">
        <v>37</v>
      </c>
      <c r="G737" s="70">
        <f t="shared" si="198"/>
        <v>84300</v>
      </c>
      <c r="H737" s="87">
        <f t="shared" si="198"/>
        <v>1000000</v>
      </c>
      <c r="I737" s="87">
        <f t="shared" si="198"/>
        <v>1000000</v>
      </c>
      <c r="J737" s="111"/>
      <c r="P737" s="111"/>
      <c r="Q737" s="111"/>
      <c r="R737" s="111"/>
      <c r="S737" s="111"/>
      <c r="T737" s="111"/>
    </row>
    <row r="738" spans="1:20" s="3" customFormat="1" ht="38.25" customHeight="1">
      <c r="A738" s="16" t="s">
        <v>38</v>
      </c>
      <c r="B738" s="49">
        <v>795</v>
      </c>
      <c r="C738" s="15" t="s">
        <v>161</v>
      </c>
      <c r="D738" s="15" t="s">
        <v>173</v>
      </c>
      <c r="E738" s="15" t="s">
        <v>377</v>
      </c>
      <c r="F738" s="15" t="s">
        <v>39</v>
      </c>
      <c r="G738" s="70">
        <f>'прил 5,'!G1673</f>
        <v>84300</v>
      </c>
      <c r="H738" s="70">
        <f>'прил 5,'!H1673</f>
        <v>1000000</v>
      </c>
      <c r="I738" s="70">
        <f>'прил 5,'!I1673</f>
        <v>1000000</v>
      </c>
      <c r="J738" s="111"/>
      <c r="P738" s="111"/>
      <c r="Q738" s="111"/>
      <c r="R738" s="111"/>
      <c r="S738" s="111"/>
      <c r="T738" s="111"/>
    </row>
    <row r="739" spans="1:20" s="3" customFormat="1" ht="38.25" customHeight="1">
      <c r="A739" s="16" t="s">
        <v>1066</v>
      </c>
      <c r="B739" s="49">
        <v>793</v>
      </c>
      <c r="C739" s="15" t="s">
        <v>161</v>
      </c>
      <c r="D739" s="15" t="s">
        <v>173</v>
      </c>
      <c r="E739" s="15" t="s">
        <v>1065</v>
      </c>
      <c r="F739" s="15"/>
      <c r="G739" s="70">
        <f t="shared" ref="G739:I740" si="199">G740</f>
        <v>1000000</v>
      </c>
      <c r="H739" s="70">
        <f t="shared" si="199"/>
        <v>0</v>
      </c>
      <c r="I739" s="70">
        <f t="shared" si="199"/>
        <v>0</v>
      </c>
      <c r="J739" s="177"/>
      <c r="K739" s="199"/>
      <c r="L739" s="199"/>
      <c r="M739" s="199"/>
      <c r="N739" s="199"/>
      <c r="O739" s="199"/>
      <c r="P739" s="199"/>
      <c r="Q739" s="199"/>
      <c r="R739" s="199"/>
    </row>
    <row r="740" spans="1:20" s="3" customFormat="1" ht="38.25" customHeight="1">
      <c r="A740" s="16" t="s">
        <v>36</v>
      </c>
      <c r="B740" s="49">
        <v>793</v>
      </c>
      <c r="C740" s="15" t="s">
        <v>161</v>
      </c>
      <c r="D740" s="15" t="s">
        <v>173</v>
      </c>
      <c r="E740" s="15" t="s">
        <v>1065</v>
      </c>
      <c r="F740" s="15" t="s">
        <v>37</v>
      </c>
      <c r="G740" s="70">
        <f t="shared" si="199"/>
        <v>1000000</v>
      </c>
      <c r="H740" s="70">
        <f t="shared" si="199"/>
        <v>0</v>
      </c>
      <c r="I740" s="70">
        <f t="shared" si="199"/>
        <v>0</v>
      </c>
      <c r="J740" s="177"/>
      <c r="K740" s="199"/>
      <c r="L740" s="199"/>
      <c r="M740" s="199"/>
      <c r="N740" s="199"/>
      <c r="O740" s="199"/>
      <c r="P740" s="199"/>
      <c r="Q740" s="199"/>
      <c r="R740" s="199"/>
    </row>
    <row r="741" spans="1:20" s="3" customFormat="1" ht="39.75" customHeight="1">
      <c r="A741" s="16" t="s">
        <v>38</v>
      </c>
      <c r="B741" s="49">
        <v>793</v>
      </c>
      <c r="C741" s="15" t="s">
        <v>161</v>
      </c>
      <c r="D741" s="15" t="s">
        <v>173</v>
      </c>
      <c r="E741" s="15" t="s">
        <v>1065</v>
      </c>
      <c r="F741" s="15" t="s">
        <v>39</v>
      </c>
      <c r="G741" s="70">
        <f>'прил 5,'!G1676</f>
        <v>1000000</v>
      </c>
      <c r="H741" s="70"/>
      <c r="I741" s="70"/>
      <c r="J741" s="177"/>
      <c r="K741" s="199"/>
      <c r="L741" s="199"/>
      <c r="M741" s="199"/>
      <c r="N741" s="199"/>
      <c r="O741" s="199"/>
      <c r="P741" s="199"/>
      <c r="Q741" s="199"/>
      <c r="R741" s="199"/>
    </row>
    <row r="742" spans="1:20" s="3" customFormat="1" ht="129.75" hidden="1" customHeight="1">
      <c r="A742" s="16" t="s">
        <v>1020</v>
      </c>
      <c r="B742" s="49">
        <v>793</v>
      </c>
      <c r="C742" s="15" t="s">
        <v>161</v>
      </c>
      <c r="D742" s="15" t="s">
        <v>173</v>
      </c>
      <c r="E742" s="15" t="s">
        <v>1019</v>
      </c>
      <c r="F742" s="15"/>
      <c r="G742" s="70">
        <f>G743</f>
        <v>0</v>
      </c>
      <c r="H742" s="70">
        <f t="shared" ref="H742:I743" si="200">H743</f>
        <v>0</v>
      </c>
      <c r="I742" s="70">
        <f t="shared" si="200"/>
        <v>0</v>
      </c>
      <c r="J742" s="178"/>
      <c r="K742" s="199"/>
      <c r="L742" s="199"/>
      <c r="M742" s="199"/>
      <c r="N742" s="199"/>
      <c r="O742" s="199"/>
      <c r="P742" s="199"/>
      <c r="Q742" s="199"/>
      <c r="R742" s="199"/>
    </row>
    <row r="743" spans="1:20" s="3" customFormat="1" ht="38.25" hidden="1" customHeight="1">
      <c r="A743" s="16" t="s">
        <v>36</v>
      </c>
      <c r="B743" s="49">
        <v>793</v>
      </c>
      <c r="C743" s="15" t="s">
        <v>161</v>
      </c>
      <c r="D743" s="15" t="s">
        <v>173</v>
      </c>
      <c r="E743" s="15" t="s">
        <v>1019</v>
      </c>
      <c r="F743" s="15" t="s">
        <v>157</v>
      </c>
      <c r="G743" s="70">
        <f>G744</f>
        <v>0</v>
      </c>
      <c r="H743" s="70">
        <f t="shared" si="200"/>
        <v>0</v>
      </c>
      <c r="I743" s="70">
        <f t="shared" si="200"/>
        <v>0</v>
      </c>
      <c r="J743" s="178"/>
      <c r="K743" s="199"/>
      <c r="L743" s="199"/>
      <c r="M743" s="199"/>
      <c r="N743" s="199"/>
      <c r="O743" s="199"/>
      <c r="P743" s="199"/>
      <c r="Q743" s="199"/>
      <c r="R743" s="199"/>
    </row>
    <row r="744" spans="1:20" s="3" customFormat="1" ht="38.25" hidden="1" customHeight="1">
      <c r="A744" s="16" t="s">
        <v>38</v>
      </c>
      <c r="B744" s="49">
        <v>793</v>
      </c>
      <c r="C744" s="15" t="s">
        <v>161</v>
      </c>
      <c r="D744" s="15" t="s">
        <v>173</v>
      </c>
      <c r="E744" s="15" t="s">
        <v>1019</v>
      </c>
      <c r="F744" s="15" t="s">
        <v>179</v>
      </c>
      <c r="G744" s="70"/>
      <c r="H744" s="70"/>
      <c r="I744" s="70"/>
      <c r="J744" s="177"/>
      <c r="K744" s="199"/>
      <c r="L744" s="199"/>
      <c r="M744" s="199"/>
      <c r="N744" s="199"/>
      <c r="O744" s="199"/>
      <c r="P744" s="199"/>
      <c r="Q744" s="199"/>
      <c r="R744" s="199"/>
    </row>
    <row r="745" spans="1:20" s="3" customFormat="1" ht="38.25" customHeight="1">
      <c r="A745" s="16" t="s">
        <v>532</v>
      </c>
      <c r="B745" s="49">
        <v>795</v>
      </c>
      <c r="C745" s="15" t="s">
        <v>161</v>
      </c>
      <c r="D745" s="15" t="s">
        <v>173</v>
      </c>
      <c r="E745" s="15" t="s">
        <v>533</v>
      </c>
      <c r="F745" s="15"/>
      <c r="G745" s="70">
        <f>G746</f>
        <v>528332.4</v>
      </c>
      <c r="H745" s="70">
        <f t="shared" ref="H745:I746" si="201">H746</f>
        <v>500000</v>
      </c>
      <c r="I745" s="70">
        <f t="shared" si="201"/>
        <v>500000</v>
      </c>
      <c r="J745" s="111"/>
      <c r="P745" s="111"/>
      <c r="Q745" s="111"/>
      <c r="R745" s="111"/>
      <c r="S745" s="111"/>
      <c r="T745" s="111"/>
    </row>
    <row r="746" spans="1:20" s="3" customFormat="1" ht="38.25" customHeight="1">
      <c r="A746" s="16" t="s">
        <v>36</v>
      </c>
      <c r="B746" s="49">
        <v>795</v>
      </c>
      <c r="C746" s="15" t="s">
        <v>161</v>
      </c>
      <c r="D746" s="15" t="s">
        <v>173</v>
      </c>
      <c r="E746" s="15" t="s">
        <v>533</v>
      </c>
      <c r="F746" s="15" t="s">
        <v>37</v>
      </c>
      <c r="G746" s="70">
        <f>G747</f>
        <v>528332.4</v>
      </c>
      <c r="H746" s="70">
        <f t="shared" si="201"/>
        <v>500000</v>
      </c>
      <c r="I746" s="70">
        <f t="shared" si="201"/>
        <v>500000</v>
      </c>
      <c r="J746" s="111"/>
      <c r="P746" s="111"/>
      <c r="Q746" s="111"/>
      <c r="R746" s="111"/>
      <c r="S746" s="111"/>
      <c r="T746" s="111"/>
    </row>
    <row r="747" spans="1:20" s="3" customFormat="1" ht="38.25" customHeight="1">
      <c r="A747" s="16" t="s">
        <v>38</v>
      </c>
      <c r="B747" s="49">
        <v>795</v>
      </c>
      <c r="C747" s="15" t="s">
        <v>161</v>
      </c>
      <c r="D747" s="15" t="s">
        <v>173</v>
      </c>
      <c r="E747" s="15" t="s">
        <v>533</v>
      </c>
      <c r="F747" s="15" t="s">
        <v>39</v>
      </c>
      <c r="G747" s="70">
        <f>'прил 5,'!G1664+'прил 5,'!G2255</f>
        <v>528332.4</v>
      </c>
      <c r="H747" s="70">
        <f>'прил 5,'!H1664</f>
        <v>500000</v>
      </c>
      <c r="I747" s="70">
        <f>'прил 5,'!I1664</f>
        <v>500000</v>
      </c>
      <c r="J747" s="111"/>
      <c r="P747" s="111"/>
      <c r="Q747" s="111"/>
      <c r="R747" s="111"/>
      <c r="S747" s="111"/>
      <c r="T747" s="111"/>
    </row>
    <row r="748" spans="1:20" s="3" customFormat="1" ht="38.25" hidden="1" customHeight="1">
      <c r="A748" s="16" t="s">
        <v>460</v>
      </c>
      <c r="B748" s="49">
        <v>795</v>
      </c>
      <c r="C748" s="15" t="s">
        <v>161</v>
      </c>
      <c r="D748" s="15" t="s">
        <v>173</v>
      </c>
      <c r="E748" s="15" t="s">
        <v>461</v>
      </c>
      <c r="F748" s="15"/>
      <c r="G748" s="70">
        <f>G749</f>
        <v>0</v>
      </c>
      <c r="H748" s="70">
        <f t="shared" ref="H748:I749" si="202">H749</f>
        <v>0</v>
      </c>
      <c r="I748" s="70">
        <f t="shared" si="202"/>
        <v>0</v>
      </c>
      <c r="J748" s="111"/>
      <c r="P748" s="111"/>
      <c r="Q748" s="111"/>
      <c r="R748" s="111"/>
      <c r="S748" s="111"/>
      <c r="T748" s="111"/>
    </row>
    <row r="749" spans="1:20" s="3" customFormat="1" ht="38.25" hidden="1" customHeight="1">
      <c r="A749" s="16" t="s">
        <v>36</v>
      </c>
      <c r="B749" s="49">
        <v>795</v>
      </c>
      <c r="C749" s="15" t="s">
        <v>161</v>
      </c>
      <c r="D749" s="15" t="s">
        <v>173</v>
      </c>
      <c r="E749" s="15" t="s">
        <v>461</v>
      </c>
      <c r="F749" s="15" t="s">
        <v>37</v>
      </c>
      <c r="G749" s="70">
        <f>G750</f>
        <v>0</v>
      </c>
      <c r="H749" s="70">
        <f t="shared" si="202"/>
        <v>0</v>
      </c>
      <c r="I749" s="70">
        <f t="shared" si="202"/>
        <v>0</v>
      </c>
      <c r="J749" s="111"/>
      <c r="P749" s="111"/>
      <c r="Q749" s="111"/>
      <c r="R749" s="111"/>
      <c r="S749" s="111"/>
      <c r="T749" s="111"/>
    </row>
    <row r="750" spans="1:20" s="3" customFormat="1" ht="38.25" hidden="1" customHeight="1">
      <c r="A750" s="16" t="s">
        <v>38</v>
      </c>
      <c r="B750" s="49">
        <v>795</v>
      </c>
      <c r="C750" s="15" t="s">
        <v>161</v>
      </c>
      <c r="D750" s="15" t="s">
        <v>173</v>
      </c>
      <c r="E750" s="15" t="s">
        <v>461</v>
      </c>
      <c r="F750" s="15" t="s">
        <v>39</v>
      </c>
      <c r="G750" s="70">
        <f>'прил 5,'!G2134</f>
        <v>0</v>
      </c>
      <c r="H750" s="70">
        <f>'прил 5,'!H2139</f>
        <v>0</v>
      </c>
      <c r="I750" s="70">
        <f>'прил 5,'!I2139</f>
        <v>0</v>
      </c>
      <c r="J750" s="111"/>
      <c r="P750" s="111"/>
      <c r="Q750" s="111"/>
      <c r="R750" s="111"/>
      <c r="S750" s="111"/>
      <c r="T750" s="111"/>
    </row>
    <row r="751" spans="1:20" s="3" customFormat="1" ht="38.25" hidden="1" customHeight="1">
      <c r="A751" s="16" t="s">
        <v>532</v>
      </c>
      <c r="B751" s="49">
        <v>795</v>
      </c>
      <c r="C751" s="15" t="s">
        <v>161</v>
      </c>
      <c r="D751" s="15" t="s">
        <v>173</v>
      </c>
      <c r="E751" s="15" t="s">
        <v>561</v>
      </c>
      <c r="F751" s="15"/>
      <c r="G751" s="70">
        <f>G752+G754</f>
        <v>0</v>
      </c>
      <c r="H751" s="70">
        <f t="shared" ref="H751:I752" si="203">H752</f>
        <v>0</v>
      </c>
      <c r="I751" s="70">
        <f t="shared" si="203"/>
        <v>0</v>
      </c>
      <c r="P751" s="111"/>
      <c r="Q751" s="111"/>
      <c r="R751" s="111"/>
      <c r="S751" s="111"/>
      <c r="T751" s="111"/>
    </row>
    <row r="752" spans="1:20" s="3" customFormat="1" ht="38.25" hidden="1" customHeight="1">
      <c r="A752" s="16" t="s">
        <v>36</v>
      </c>
      <c r="B752" s="49">
        <v>795</v>
      </c>
      <c r="C752" s="15" t="s">
        <v>161</v>
      </c>
      <c r="D752" s="15" t="s">
        <v>173</v>
      </c>
      <c r="E752" s="15" t="s">
        <v>561</v>
      </c>
      <c r="F752" s="15" t="s">
        <v>37</v>
      </c>
      <c r="G752" s="70">
        <f>G753</f>
        <v>0</v>
      </c>
      <c r="H752" s="70">
        <f t="shared" si="203"/>
        <v>0</v>
      </c>
      <c r="I752" s="70">
        <f t="shared" si="203"/>
        <v>0</v>
      </c>
      <c r="P752" s="111"/>
      <c r="Q752" s="111"/>
      <c r="R752" s="111"/>
      <c r="S752" s="111"/>
      <c r="T752" s="111"/>
    </row>
    <row r="753" spans="1:20" s="3" customFormat="1" ht="38.25" hidden="1" customHeight="1">
      <c r="A753" s="16" t="s">
        <v>38</v>
      </c>
      <c r="B753" s="49">
        <v>795</v>
      </c>
      <c r="C753" s="15" t="s">
        <v>161</v>
      </c>
      <c r="D753" s="15" t="s">
        <v>173</v>
      </c>
      <c r="E753" s="15" t="s">
        <v>561</v>
      </c>
      <c r="F753" s="15" t="s">
        <v>39</v>
      </c>
      <c r="G753" s="70">
        <f>'прил 5,'!G2127</f>
        <v>0</v>
      </c>
      <c r="H753" s="70">
        <v>0</v>
      </c>
      <c r="I753" s="70">
        <v>0</v>
      </c>
      <c r="P753" s="111"/>
      <c r="Q753" s="111"/>
      <c r="R753" s="111"/>
      <c r="S753" s="111"/>
      <c r="T753" s="111"/>
    </row>
    <row r="754" spans="1:20" s="3" customFormat="1" ht="24.75" hidden="1" customHeight="1">
      <c r="A754" s="16" t="s">
        <v>156</v>
      </c>
      <c r="B754" s="49">
        <v>795</v>
      </c>
      <c r="C754" s="15" t="s">
        <v>161</v>
      </c>
      <c r="D754" s="15" t="s">
        <v>173</v>
      </c>
      <c r="E754" s="15" t="s">
        <v>561</v>
      </c>
      <c r="F754" s="15" t="s">
        <v>157</v>
      </c>
      <c r="G754" s="70">
        <f>G755</f>
        <v>0</v>
      </c>
      <c r="H754" s="70">
        <v>0</v>
      </c>
      <c r="I754" s="70">
        <v>0</v>
      </c>
      <c r="P754" s="111"/>
      <c r="Q754" s="111"/>
      <c r="R754" s="111"/>
      <c r="S754" s="111"/>
      <c r="T754" s="111"/>
    </row>
    <row r="755" spans="1:20" s="3" customFormat="1" ht="21.75" hidden="1" customHeight="1">
      <c r="A755" s="16" t="s">
        <v>170</v>
      </c>
      <c r="B755" s="49">
        <v>795</v>
      </c>
      <c r="C755" s="15" t="s">
        <v>161</v>
      </c>
      <c r="D755" s="15" t="s">
        <v>173</v>
      </c>
      <c r="E755" s="15" t="s">
        <v>561</v>
      </c>
      <c r="F755" s="15" t="s">
        <v>171</v>
      </c>
      <c r="G755" s="70">
        <f>'прил 5,'!G2129</f>
        <v>0</v>
      </c>
      <c r="H755" s="70">
        <v>0</v>
      </c>
      <c r="I755" s="70">
        <v>0</v>
      </c>
      <c r="P755" s="111"/>
      <c r="Q755" s="111"/>
      <c r="R755" s="111"/>
      <c r="S755" s="111"/>
      <c r="T755" s="111"/>
    </row>
    <row r="756" spans="1:20" s="3" customFormat="1" ht="38.25" hidden="1" customHeight="1">
      <c r="A756" s="16" t="s">
        <v>563</v>
      </c>
      <c r="B756" s="49">
        <v>795</v>
      </c>
      <c r="C756" s="15" t="s">
        <v>161</v>
      </c>
      <c r="D756" s="15" t="s">
        <v>173</v>
      </c>
      <c r="E756" s="15" t="s">
        <v>562</v>
      </c>
      <c r="F756" s="15"/>
      <c r="G756" s="70">
        <f>G757</f>
        <v>0</v>
      </c>
      <c r="H756" s="70">
        <f t="shared" ref="H756:I757" si="204">H757</f>
        <v>0</v>
      </c>
      <c r="I756" s="70">
        <f t="shared" si="204"/>
        <v>0</v>
      </c>
      <c r="P756" s="111"/>
      <c r="Q756" s="111"/>
      <c r="R756" s="111"/>
      <c r="S756" s="111"/>
      <c r="T756" s="111"/>
    </row>
    <row r="757" spans="1:20" s="3" customFormat="1" ht="38.25" hidden="1" customHeight="1">
      <c r="A757" s="16" t="s">
        <v>36</v>
      </c>
      <c r="B757" s="49">
        <v>795</v>
      </c>
      <c r="C757" s="15" t="s">
        <v>161</v>
      </c>
      <c r="D757" s="15" t="s">
        <v>173</v>
      </c>
      <c r="E757" s="15" t="s">
        <v>562</v>
      </c>
      <c r="F757" s="15" t="s">
        <v>37</v>
      </c>
      <c r="G757" s="70">
        <f>G758</f>
        <v>0</v>
      </c>
      <c r="H757" s="70">
        <f t="shared" si="204"/>
        <v>0</v>
      </c>
      <c r="I757" s="70">
        <f t="shared" si="204"/>
        <v>0</v>
      </c>
      <c r="P757" s="111"/>
      <c r="Q757" s="111"/>
      <c r="R757" s="111"/>
      <c r="S757" s="111"/>
      <c r="T757" s="111"/>
    </row>
    <row r="758" spans="1:20" s="3" customFormat="1" ht="38.25" hidden="1" customHeight="1">
      <c r="A758" s="16" t="s">
        <v>38</v>
      </c>
      <c r="B758" s="49">
        <v>795</v>
      </c>
      <c r="C758" s="15" t="s">
        <v>161</v>
      </c>
      <c r="D758" s="15" t="s">
        <v>173</v>
      </c>
      <c r="E758" s="15" t="s">
        <v>562</v>
      </c>
      <c r="F758" s="15" t="s">
        <v>39</v>
      </c>
      <c r="G758" s="70">
        <f>'прил 5,'!G2132</f>
        <v>0</v>
      </c>
      <c r="H758" s="70">
        <v>0</v>
      </c>
      <c r="I758" s="70">
        <v>0</v>
      </c>
      <c r="P758" s="111"/>
      <c r="Q758" s="111"/>
      <c r="R758" s="111"/>
      <c r="S758" s="111"/>
      <c r="T758" s="111"/>
    </row>
    <row r="759" spans="1:20" s="3" customFormat="1" ht="38.25" hidden="1" customHeight="1">
      <c r="A759" s="16" t="s">
        <v>560</v>
      </c>
      <c r="B759" s="49">
        <v>795</v>
      </c>
      <c r="C759" s="15" t="s">
        <v>161</v>
      </c>
      <c r="D759" s="15" t="s">
        <v>173</v>
      </c>
      <c r="E759" s="15" t="s">
        <v>559</v>
      </c>
      <c r="F759" s="15"/>
      <c r="G759" s="70">
        <f>G760</f>
        <v>0</v>
      </c>
      <c r="H759" s="70">
        <f t="shared" ref="H759:I760" si="205">H760</f>
        <v>0</v>
      </c>
      <c r="I759" s="70">
        <f t="shared" si="205"/>
        <v>0</v>
      </c>
      <c r="P759" s="111"/>
      <c r="Q759" s="111"/>
      <c r="R759" s="111"/>
      <c r="S759" s="111"/>
      <c r="T759" s="111"/>
    </row>
    <row r="760" spans="1:20" s="3" customFormat="1" ht="38.25" hidden="1" customHeight="1">
      <c r="A760" s="16" t="s">
        <v>36</v>
      </c>
      <c r="B760" s="49">
        <v>795</v>
      </c>
      <c r="C760" s="15" t="s">
        <v>161</v>
      </c>
      <c r="D760" s="15" t="s">
        <v>173</v>
      </c>
      <c r="E760" s="15" t="s">
        <v>559</v>
      </c>
      <c r="F760" s="15" t="s">
        <v>37</v>
      </c>
      <c r="G760" s="70">
        <f>G761</f>
        <v>0</v>
      </c>
      <c r="H760" s="70">
        <f t="shared" si="205"/>
        <v>0</v>
      </c>
      <c r="I760" s="70">
        <f t="shared" si="205"/>
        <v>0</v>
      </c>
      <c r="P760" s="111"/>
      <c r="Q760" s="111"/>
      <c r="R760" s="111"/>
      <c r="S760" s="111"/>
      <c r="T760" s="111"/>
    </row>
    <row r="761" spans="1:20" s="3" customFormat="1" ht="38.25" hidden="1" customHeight="1">
      <c r="A761" s="16" t="s">
        <v>38</v>
      </c>
      <c r="B761" s="49">
        <v>795</v>
      </c>
      <c r="C761" s="15" t="s">
        <v>161</v>
      </c>
      <c r="D761" s="15" t="s">
        <v>173</v>
      </c>
      <c r="E761" s="15" t="s">
        <v>559</v>
      </c>
      <c r="F761" s="15" t="s">
        <v>39</v>
      </c>
      <c r="G761" s="70">
        <f>'прил 5,'!G2138</f>
        <v>0</v>
      </c>
      <c r="H761" s="70">
        <v>0</v>
      </c>
      <c r="I761" s="70">
        <v>0</v>
      </c>
      <c r="P761" s="111"/>
      <c r="Q761" s="111"/>
      <c r="R761" s="111"/>
      <c r="S761" s="111"/>
      <c r="T761" s="111"/>
    </row>
    <row r="762" spans="1:20" s="3" customFormat="1" ht="38.25" hidden="1" customHeight="1">
      <c r="A762" s="16" t="s">
        <v>558</v>
      </c>
      <c r="B762" s="49">
        <v>795</v>
      </c>
      <c r="C762" s="15" t="s">
        <v>161</v>
      </c>
      <c r="D762" s="15" t="s">
        <v>173</v>
      </c>
      <c r="E762" s="15" t="s">
        <v>557</v>
      </c>
      <c r="F762" s="15"/>
      <c r="G762" s="70">
        <f>G763</f>
        <v>0</v>
      </c>
      <c r="H762" s="70">
        <f t="shared" ref="H762:I763" si="206">H763</f>
        <v>0</v>
      </c>
      <c r="I762" s="70">
        <f t="shared" si="206"/>
        <v>0</v>
      </c>
      <c r="P762" s="111"/>
      <c r="Q762" s="111"/>
      <c r="R762" s="111"/>
      <c r="S762" s="111"/>
      <c r="T762" s="111"/>
    </row>
    <row r="763" spans="1:20" s="3" customFormat="1" ht="38.25" hidden="1" customHeight="1">
      <c r="A763" s="16" t="s">
        <v>36</v>
      </c>
      <c r="B763" s="49">
        <v>795</v>
      </c>
      <c r="C763" s="15" t="s">
        <v>161</v>
      </c>
      <c r="D763" s="15" t="s">
        <v>173</v>
      </c>
      <c r="E763" s="15" t="s">
        <v>557</v>
      </c>
      <c r="F763" s="15" t="s">
        <v>37</v>
      </c>
      <c r="G763" s="70">
        <f>G764</f>
        <v>0</v>
      </c>
      <c r="H763" s="70">
        <f t="shared" si="206"/>
        <v>0</v>
      </c>
      <c r="I763" s="70">
        <f t="shared" si="206"/>
        <v>0</v>
      </c>
      <c r="P763" s="111"/>
      <c r="Q763" s="111"/>
      <c r="R763" s="111"/>
      <c r="S763" s="111"/>
      <c r="T763" s="111"/>
    </row>
    <row r="764" spans="1:20" s="3" customFormat="1" ht="38.25" hidden="1" customHeight="1">
      <c r="A764" s="16" t="s">
        <v>38</v>
      </c>
      <c r="B764" s="49">
        <v>795</v>
      </c>
      <c r="C764" s="15" t="s">
        <v>161</v>
      </c>
      <c r="D764" s="15" t="s">
        <v>173</v>
      </c>
      <c r="E764" s="15" t="s">
        <v>557</v>
      </c>
      <c r="F764" s="15" t="s">
        <v>39</v>
      </c>
      <c r="G764" s="70">
        <f>'прил 5,'!G2141</f>
        <v>0</v>
      </c>
      <c r="H764" s="70">
        <v>0</v>
      </c>
      <c r="I764" s="70">
        <v>0</v>
      </c>
      <c r="P764" s="111"/>
      <c r="Q764" s="111"/>
      <c r="R764" s="111"/>
      <c r="S764" s="111"/>
      <c r="T764" s="111"/>
    </row>
    <row r="765" spans="1:20" s="3" customFormat="1" ht="38.25" hidden="1" customHeight="1">
      <c r="A765" s="16" t="s">
        <v>556</v>
      </c>
      <c r="B765" s="49">
        <v>795</v>
      </c>
      <c r="C765" s="15" t="s">
        <v>161</v>
      </c>
      <c r="D765" s="15" t="s">
        <v>173</v>
      </c>
      <c r="E765" s="15" t="s">
        <v>555</v>
      </c>
      <c r="F765" s="15"/>
      <c r="G765" s="70">
        <f>G766</f>
        <v>0</v>
      </c>
      <c r="H765" s="70">
        <f t="shared" ref="H765:I765" si="207">H766</f>
        <v>0</v>
      </c>
      <c r="I765" s="70">
        <f t="shared" si="207"/>
        <v>0</v>
      </c>
      <c r="P765" s="111"/>
      <c r="Q765" s="111"/>
      <c r="R765" s="111"/>
      <c r="S765" s="111"/>
      <c r="T765" s="111"/>
    </row>
    <row r="766" spans="1:20" s="3" customFormat="1" ht="23.25" hidden="1" customHeight="1">
      <c r="A766" s="16" t="s">
        <v>156</v>
      </c>
      <c r="B766" s="49">
        <v>795</v>
      </c>
      <c r="C766" s="15" t="s">
        <v>161</v>
      </c>
      <c r="D766" s="15" t="s">
        <v>173</v>
      </c>
      <c r="E766" s="15" t="s">
        <v>555</v>
      </c>
      <c r="F766" s="15" t="s">
        <v>157</v>
      </c>
      <c r="G766" s="70">
        <f>G767</f>
        <v>0</v>
      </c>
      <c r="H766" s="70">
        <f t="shared" ref="H766:I766" si="208">H767</f>
        <v>0</v>
      </c>
      <c r="I766" s="70">
        <f t="shared" si="208"/>
        <v>0</v>
      </c>
      <c r="P766" s="111"/>
      <c r="Q766" s="111"/>
      <c r="R766" s="111"/>
      <c r="S766" s="111"/>
      <c r="T766" s="111"/>
    </row>
    <row r="767" spans="1:20" s="3" customFormat="1" ht="21.75" hidden="1" customHeight="1">
      <c r="A767" s="16" t="s">
        <v>170</v>
      </c>
      <c r="B767" s="49">
        <v>795</v>
      </c>
      <c r="C767" s="15" t="s">
        <v>161</v>
      </c>
      <c r="D767" s="15" t="s">
        <v>173</v>
      </c>
      <c r="E767" s="15" t="s">
        <v>555</v>
      </c>
      <c r="F767" s="15" t="s">
        <v>171</v>
      </c>
      <c r="G767" s="70"/>
      <c r="H767" s="70">
        <v>0</v>
      </c>
      <c r="I767" s="70">
        <v>0</v>
      </c>
      <c r="P767" s="111"/>
      <c r="Q767" s="111"/>
      <c r="R767" s="111"/>
      <c r="S767" s="111"/>
      <c r="T767" s="111"/>
    </row>
    <row r="768" spans="1:20" s="3" customFormat="1" ht="38.25" hidden="1" customHeight="1">
      <c r="A768" s="16" t="s">
        <v>554</v>
      </c>
      <c r="B768" s="49">
        <v>795</v>
      </c>
      <c r="C768" s="15" t="s">
        <v>161</v>
      </c>
      <c r="D768" s="15" t="s">
        <v>173</v>
      </c>
      <c r="E768" s="15" t="s">
        <v>553</v>
      </c>
      <c r="F768" s="15"/>
      <c r="G768" s="70">
        <f>G769+G771</f>
        <v>0</v>
      </c>
      <c r="H768" s="70">
        <f t="shared" ref="H768:I769" si="209">H769</f>
        <v>0</v>
      </c>
      <c r="I768" s="70">
        <f t="shared" si="209"/>
        <v>0</v>
      </c>
      <c r="P768" s="111"/>
      <c r="Q768" s="111"/>
      <c r="R768" s="111"/>
      <c r="S768" s="111"/>
      <c r="T768" s="111"/>
    </row>
    <row r="769" spans="1:20" s="3" customFormat="1" ht="38.25" hidden="1" customHeight="1">
      <c r="A769" s="16" t="s">
        <v>36</v>
      </c>
      <c r="B769" s="49">
        <v>795</v>
      </c>
      <c r="C769" s="15" t="s">
        <v>161</v>
      </c>
      <c r="D769" s="15" t="s">
        <v>173</v>
      </c>
      <c r="E769" s="15" t="s">
        <v>553</v>
      </c>
      <c r="F769" s="15" t="s">
        <v>37</v>
      </c>
      <c r="G769" s="70">
        <f>G770</f>
        <v>0</v>
      </c>
      <c r="H769" s="70">
        <f t="shared" si="209"/>
        <v>0</v>
      </c>
      <c r="I769" s="70">
        <f t="shared" si="209"/>
        <v>0</v>
      </c>
      <c r="P769" s="111"/>
      <c r="Q769" s="111"/>
      <c r="R769" s="111"/>
      <c r="S769" s="111"/>
      <c r="T769" s="111"/>
    </row>
    <row r="770" spans="1:20" s="3" customFormat="1" ht="38.25" hidden="1" customHeight="1">
      <c r="A770" s="16" t="s">
        <v>38</v>
      </c>
      <c r="B770" s="49">
        <v>795</v>
      </c>
      <c r="C770" s="15" t="s">
        <v>161</v>
      </c>
      <c r="D770" s="15" t="s">
        <v>173</v>
      </c>
      <c r="E770" s="15" t="s">
        <v>553</v>
      </c>
      <c r="F770" s="15" t="s">
        <v>39</v>
      </c>
      <c r="G770" s="70"/>
      <c r="H770" s="70">
        <v>0</v>
      </c>
      <c r="I770" s="70">
        <v>0</v>
      </c>
      <c r="P770" s="111"/>
      <c r="Q770" s="111"/>
      <c r="R770" s="111"/>
      <c r="S770" s="111"/>
      <c r="T770" s="111"/>
    </row>
    <row r="771" spans="1:20" s="3" customFormat="1" ht="26.25" hidden="1" customHeight="1">
      <c r="A771" s="16" t="s">
        <v>156</v>
      </c>
      <c r="B771" s="49">
        <v>795</v>
      </c>
      <c r="C771" s="15" t="s">
        <v>161</v>
      </c>
      <c r="D771" s="15" t="s">
        <v>173</v>
      </c>
      <c r="E771" s="15" t="s">
        <v>553</v>
      </c>
      <c r="F771" s="15" t="s">
        <v>157</v>
      </c>
      <c r="G771" s="70">
        <f>G772</f>
        <v>0</v>
      </c>
      <c r="H771" s="70">
        <f t="shared" ref="H771:I771" si="210">H772</f>
        <v>0</v>
      </c>
      <c r="I771" s="70">
        <f t="shared" si="210"/>
        <v>0</v>
      </c>
      <c r="P771" s="111"/>
      <c r="Q771" s="111"/>
      <c r="R771" s="111"/>
      <c r="S771" s="111"/>
      <c r="T771" s="111"/>
    </row>
    <row r="772" spans="1:20" s="3" customFormat="1" ht="19.5" hidden="1" customHeight="1">
      <c r="A772" s="16" t="s">
        <v>170</v>
      </c>
      <c r="B772" s="49">
        <v>795</v>
      </c>
      <c r="C772" s="15" t="s">
        <v>161</v>
      </c>
      <c r="D772" s="15" t="s">
        <v>173</v>
      </c>
      <c r="E772" s="15" t="s">
        <v>553</v>
      </c>
      <c r="F772" s="15" t="s">
        <v>171</v>
      </c>
      <c r="G772" s="70">
        <f>'прил 5,'!G2147</f>
        <v>0</v>
      </c>
      <c r="H772" s="70">
        <v>0</v>
      </c>
      <c r="I772" s="70">
        <v>0</v>
      </c>
      <c r="P772" s="111"/>
      <c r="Q772" s="111"/>
      <c r="R772" s="111"/>
      <c r="S772" s="111"/>
      <c r="T772" s="111"/>
    </row>
    <row r="773" spans="1:20" s="3" customFormat="1" ht="38.25" hidden="1" customHeight="1">
      <c r="A773" s="16" t="s">
        <v>706</v>
      </c>
      <c r="B773" s="49">
        <v>795</v>
      </c>
      <c r="C773" s="15" t="s">
        <v>161</v>
      </c>
      <c r="D773" s="15" t="s">
        <v>173</v>
      </c>
      <c r="E773" s="15" t="s">
        <v>705</v>
      </c>
      <c r="F773" s="15"/>
      <c r="G773" s="70">
        <f>G774</f>
        <v>0</v>
      </c>
      <c r="H773" s="70">
        <f t="shared" ref="H773:I774" si="211">H774</f>
        <v>0</v>
      </c>
      <c r="I773" s="70">
        <f t="shared" si="211"/>
        <v>0</v>
      </c>
      <c r="P773" s="111"/>
      <c r="Q773" s="111"/>
      <c r="R773" s="111"/>
      <c r="S773" s="111"/>
      <c r="T773" s="111"/>
    </row>
    <row r="774" spans="1:20" s="3" customFormat="1" ht="38.25" hidden="1" customHeight="1">
      <c r="A774" s="16" t="s">
        <v>36</v>
      </c>
      <c r="B774" s="49">
        <v>795</v>
      </c>
      <c r="C774" s="15" t="s">
        <v>161</v>
      </c>
      <c r="D774" s="15" t="s">
        <v>173</v>
      </c>
      <c r="E774" s="15" t="s">
        <v>705</v>
      </c>
      <c r="F774" s="15" t="s">
        <v>37</v>
      </c>
      <c r="G774" s="70">
        <f>G775</f>
        <v>0</v>
      </c>
      <c r="H774" s="70">
        <f t="shared" si="211"/>
        <v>0</v>
      </c>
      <c r="I774" s="70">
        <f t="shared" si="211"/>
        <v>0</v>
      </c>
      <c r="P774" s="111"/>
      <c r="Q774" s="111"/>
      <c r="R774" s="111"/>
      <c r="S774" s="111"/>
      <c r="T774" s="111"/>
    </row>
    <row r="775" spans="1:20" s="3" customFormat="1" ht="38.25" hidden="1" customHeight="1">
      <c r="A775" s="16" t="s">
        <v>38</v>
      </c>
      <c r="B775" s="49">
        <v>795</v>
      </c>
      <c r="C775" s="15" t="s">
        <v>161</v>
      </c>
      <c r="D775" s="15" t="s">
        <v>173</v>
      </c>
      <c r="E775" s="15" t="s">
        <v>705</v>
      </c>
      <c r="F775" s="15" t="s">
        <v>39</v>
      </c>
      <c r="G775" s="70"/>
      <c r="H775" s="70"/>
      <c r="I775" s="70"/>
      <c r="P775" s="111"/>
      <c r="Q775" s="111"/>
      <c r="R775" s="111"/>
      <c r="S775" s="111"/>
      <c r="T775" s="111"/>
    </row>
    <row r="776" spans="1:20" s="3" customFormat="1" ht="63" hidden="1" customHeight="1">
      <c r="A776" s="16" t="s">
        <v>781</v>
      </c>
      <c r="B776" s="49">
        <v>795</v>
      </c>
      <c r="C776" s="15" t="s">
        <v>161</v>
      </c>
      <c r="D776" s="15" t="s">
        <v>173</v>
      </c>
      <c r="E776" s="15" t="s">
        <v>780</v>
      </c>
      <c r="F776" s="15"/>
      <c r="G776" s="70">
        <f>G777</f>
        <v>0</v>
      </c>
      <c r="H776" s="70">
        <f t="shared" ref="H776:I777" si="212">H777</f>
        <v>0</v>
      </c>
      <c r="I776" s="70">
        <f t="shared" si="212"/>
        <v>0</v>
      </c>
      <c r="P776" s="111"/>
      <c r="Q776" s="111"/>
      <c r="R776" s="111"/>
      <c r="S776" s="111"/>
      <c r="T776" s="111"/>
    </row>
    <row r="777" spans="1:20" s="3" customFormat="1" ht="38.25" hidden="1" customHeight="1">
      <c r="A777" s="16" t="s">
        <v>36</v>
      </c>
      <c r="B777" s="49">
        <v>795</v>
      </c>
      <c r="C777" s="15" t="s">
        <v>161</v>
      </c>
      <c r="D777" s="15" t="s">
        <v>173</v>
      </c>
      <c r="E777" s="15" t="s">
        <v>780</v>
      </c>
      <c r="F777" s="15" t="s">
        <v>37</v>
      </c>
      <c r="G777" s="70">
        <f>G778</f>
        <v>0</v>
      </c>
      <c r="H777" s="70">
        <f t="shared" si="212"/>
        <v>0</v>
      </c>
      <c r="I777" s="70">
        <f t="shared" si="212"/>
        <v>0</v>
      </c>
      <c r="P777" s="111"/>
      <c r="Q777" s="111"/>
      <c r="R777" s="111"/>
      <c r="S777" s="111"/>
      <c r="T777" s="111"/>
    </row>
    <row r="778" spans="1:20" s="3" customFormat="1" ht="38.25" hidden="1" customHeight="1">
      <c r="A778" s="16" t="s">
        <v>38</v>
      </c>
      <c r="B778" s="49">
        <v>795</v>
      </c>
      <c r="C778" s="15" t="s">
        <v>161</v>
      </c>
      <c r="D778" s="15" t="s">
        <v>173</v>
      </c>
      <c r="E778" s="15" t="s">
        <v>780</v>
      </c>
      <c r="F778" s="15" t="s">
        <v>39</v>
      </c>
      <c r="G778" s="70"/>
      <c r="H778" s="70"/>
      <c r="I778" s="70"/>
      <c r="P778" s="111"/>
      <c r="Q778" s="111"/>
      <c r="R778" s="111"/>
      <c r="S778" s="111"/>
      <c r="T778" s="111"/>
    </row>
    <row r="779" spans="1:20" s="3" customFormat="1" ht="129.75" customHeight="1">
      <c r="A779" s="16" t="s">
        <v>1020</v>
      </c>
      <c r="B779" s="49">
        <v>793</v>
      </c>
      <c r="C779" s="15" t="s">
        <v>161</v>
      </c>
      <c r="D779" s="15" t="s">
        <v>173</v>
      </c>
      <c r="E779" s="15" t="s">
        <v>1019</v>
      </c>
      <c r="F779" s="15"/>
      <c r="G779" s="70">
        <f>G780</f>
        <v>0</v>
      </c>
      <c r="H779" s="70">
        <f t="shared" ref="H779:I780" si="213">H780</f>
        <v>0</v>
      </c>
      <c r="I779" s="70">
        <f t="shared" si="213"/>
        <v>0</v>
      </c>
      <c r="J779" s="178"/>
      <c r="K779" s="199"/>
      <c r="L779" s="199"/>
      <c r="M779" s="199"/>
      <c r="N779" s="199"/>
      <c r="O779" s="199"/>
      <c r="P779" s="199"/>
      <c r="Q779" s="199"/>
      <c r="R779" s="199"/>
    </row>
    <row r="780" spans="1:20" s="3" customFormat="1" ht="38.25" customHeight="1">
      <c r="A780" s="82" t="s">
        <v>63</v>
      </c>
      <c r="B780" s="49">
        <v>793</v>
      </c>
      <c r="C780" s="15" t="s">
        <v>161</v>
      </c>
      <c r="D780" s="15" t="s">
        <v>173</v>
      </c>
      <c r="E780" s="15" t="s">
        <v>1019</v>
      </c>
      <c r="F780" s="15" t="s">
        <v>64</v>
      </c>
      <c r="G780" s="70">
        <f>G781</f>
        <v>0</v>
      </c>
      <c r="H780" s="70">
        <f t="shared" si="213"/>
        <v>0</v>
      </c>
      <c r="I780" s="70">
        <f t="shared" si="213"/>
        <v>0</v>
      </c>
      <c r="J780" s="178"/>
      <c r="K780" s="199"/>
      <c r="L780" s="199"/>
      <c r="M780" s="199"/>
      <c r="N780" s="199"/>
      <c r="O780" s="199"/>
      <c r="P780" s="199"/>
      <c r="Q780" s="199"/>
      <c r="R780" s="199"/>
    </row>
    <row r="781" spans="1:20" s="3" customFormat="1" ht="38.25" customHeight="1">
      <c r="A781" s="82" t="s">
        <v>180</v>
      </c>
      <c r="B781" s="49">
        <v>793</v>
      </c>
      <c r="C781" s="15" t="s">
        <v>161</v>
      </c>
      <c r="D781" s="15" t="s">
        <v>173</v>
      </c>
      <c r="E781" s="15" t="s">
        <v>1019</v>
      </c>
      <c r="F781" s="15" t="s">
        <v>181</v>
      </c>
      <c r="G781" s="70">
        <f>'прил 5,'!G1682</f>
        <v>0</v>
      </c>
      <c r="H781" s="70"/>
      <c r="I781" s="70"/>
      <c r="J781" s="177"/>
      <c r="K781" s="199"/>
      <c r="L781" s="199"/>
      <c r="M781" s="199"/>
      <c r="N781" s="199"/>
      <c r="O781" s="199"/>
      <c r="P781" s="199"/>
      <c r="Q781" s="199"/>
      <c r="R781" s="199"/>
    </row>
    <row r="782" spans="1:20" s="22" customFormat="1" ht="35.25" customHeight="1">
      <c r="A782" s="34" t="s">
        <v>487</v>
      </c>
      <c r="B782" s="35">
        <v>757</v>
      </c>
      <c r="C782" s="36" t="s">
        <v>26</v>
      </c>
      <c r="D782" s="36" t="s">
        <v>28</v>
      </c>
      <c r="E782" s="36" t="s">
        <v>193</v>
      </c>
      <c r="F782" s="36"/>
      <c r="G782" s="71">
        <f>G971+G980+G989+G992+G995+G998+G816+G819+G789+G843+G825+G828+G831+G834+G837+G846+G852+G822+G783+G805+G813+G899+G914+G958++G967+G1024+G804+G977+G801+G858+G873+G861+G864+G867+G840+G961+G786+G1004+G792+G1001+G894+G870</f>
        <v>189197811.06999996</v>
      </c>
      <c r="H782" s="71">
        <f>H971+H980+H989+H992+H995+H998+H816+H819+H789+H843+H825+H828+H831+H834+H837+H846+H852+H822+H783+H805+H813+H899+H914+H958++H967+H1024+H804+H977+H801+H858+H873+H861+H864+H867+H840+H961+H786+H1004+H792</f>
        <v>169918093.13</v>
      </c>
      <c r="I782" s="71">
        <f>I971+I980+I989+I992+I995+I998+I816+I819+I789+I843+I825+I828+I831+I834+I837+I846+I852+I822+I783+I805+I813+I899+I914+I958++I967+I1024+I804+I977+I801+I858+I873+I861+I864+I867+I840+I961+I786+I1004+I792</f>
        <v>164711120.10999998</v>
      </c>
      <c r="J782" s="21">
        <v>24472950</v>
      </c>
      <c r="P782" s="21"/>
      <c r="Q782" s="238"/>
      <c r="R782" s="21"/>
      <c r="S782" s="21"/>
      <c r="T782" s="21"/>
    </row>
    <row r="783" spans="1:20">
      <c r="A783" s="23" t="s">
        <v>47</v>
      </c>
      <c r="B783" s="14">
        <v>757</v>
      </c>
      <c r="C783" s="15" t="s">
        <v>44</v>
      </c>
      <c r="D783" s="15" t="s">
        <v>19</v>
      </c>
      <c r="E783" s="15" t="s">
        <v>199</v>
      </c>
      <c r="F783" s="14"/>
      <c r="G783" s="85">
        <f t="shared" ref="G783:I784" si="214">G784</f>
        <v>64954166.460000001</v>
      </c>
      <c r="H783" s="8">
        <f t="shared" si="214"/>
        <v>70368222.38000001</v>
      </c>
      <c r="I783" s="8">
        <f t="shared" si="214"/>
        <v>70616774.010000005</v>
      </c>
    </row>
    <row r="784" spans="1:20" ht="25.5">
      <c r="A784" s="16" t="s">
        <v>30</v>
      </c>
      <c r="B784" s="14">
        <v>757</v>
      </c>
      <c r="C784" s="15" t="s">
        <v>44</v>
      </c>
      <c r="D784" s="15" t="s">
        <v>19</v>
      </c>
      <c r="E784" s="15" t="s">
        <v>199</v>
      </c>
      <c r="F784" s="15" t="s">
        <v>31</v>
      </c>
      <c r="G784" s="85">
        <f t="shared" si="214"/>
        <v>64954166.460000001</v>
      </c>
      <c r="H784" s="8">
        <f t="shared" si="214"/>
        <v>70368222.38000001</v>
      </c>
      <c r="I784" s="8">
        <f t="shared" si="214"/>
        <v>70616774.010000005</v>
      </c>
    </row>
    <row r="785" spans="1:20">
      <c r="A785" s="16" t="s">
        <v>32</v>
      </c>
      <c r="B785" s="14">
        <v>757</v>
      </c>
      <c r="C785" s="15" t="s">
        <v>44</v>
      </c>
      <c r="D785" s="15" t="s">
        <v>19</v>
      </c>
      <c r="E785" s="15" t="s">
        <v>199</v>
      </c>
      <c r="F785" s="15" t="s">
        <v>33</v>
      </c>
      <c r="G785" s="85">
        <f>'прил 5,'!G171</f>
        <v>64954166.460000001</v>
      </c>
      <c r="H785" s="8">
        <f>'прил 5,'!H171</f>
        <v>70368222.38000001</v>
      </c>
      <c r="I785" s="8">
        <f>'прил 5,'!I171</f>
        <v>70616774.010000005</v>
      </c>
    </row>
    <row r="786" spans="1:20" ht="38.25">
      <c r="A786" s="16" t="s">
        <v>669</v>
      </c>
      <c r="B786" s="14">
        <v>757</v>
      </c>
      <c r="C786" s="15" t="s">
        <v>26</v>
      </c>
      <c r="D786" s="15" t="s">
        <v>70</v>
      </c>
      <c r="E786" s="15" t="s">
        <v>855</v>
      </c>
      <c r="F786" s="15"/>
      <c r="G786" s="70">
        <f>G787</f>
        <v>0</v>
      </c>
      <c r="H786" s="70">
        <f t="shared" ref="H786:I786" si="215">H787</f>
        <v>300000</v>
      </c>
      <c r="I786" s="70">
        <f t="shared" si="215"/>
        <v>0</v>
      </c>
      <c r="J786" s="1"/>
    </row>
    <row r="787" spans="1:20" ht="25.5">
      <c r="A787" s="16" t="s">
        <v>30</v>
      </c>
      <c r="B787" s="14">
        <v>757</v>
      </c>
      <c r="C787" s="15" t="s">
        <v>26</v>
      </c>
      <c r="D787" s="15" t="s">
        <v>70</v>
      </c>
      <c r="E787" s="15" t="s">
        <v>855</v>
      </c>
      <c r="F787" s="15" t="s">
        <v>31</v>
      </c>
      <c r="G787" s="70">
        <f>G788</f>
        <v>0</v>
      </c>
      <c r="H787" s="70">
        <f>H788</f>
        <v>300000</v>
      </c>
      <c r="I787" s="70">
        <f>I788</f>
        <v>0</v>
      </c>
      <c r="J787" s="1"/>
    </row>
    <row r="788" spans="1:20" ht="19.5" customHeight="1">
      <c r="A788" s="16" t="s">
        <v>32</v>
      </c>
      <c r="B788" s="14">
        <v>757</v>
      </c>
      <c r="C788" s="15" t="s">
        <v>26</v>
      </c>
      <c r="D788" s="15" t="s">
        <v>70</v>
      </c>
      <c r="E788" s="15" t="s">
        <v>855</v>
      </c>
      <c r="F788" s="15" t="s">
        <v>33</v>
      </c>
      <c r="G788" s="70">
        <v>0</v>
      </c>
      <c r="H788" s="70">
        <v>300000</v>
      </c>
      <c r="I788" s="70">
        <v>0</v>
      </c>
      <c r="J788" s="1"/>
    </row>
    <row r="789" spans="1:20" ht="31.5" customHeight="1">
      <c r="A789" s="143" t="s">
        <v>820</v>
      </c>
      <c r="B789" s="14">
        <v>757</v>
      </c>
      <c r="C789" s="15" t="s">
        <v>44</v>
      </c>
      <c r="D789" s="15" t="s">
        <v>19</v>
      </c>
      <c r="E789" s="15" t="s">
        <v>750</v>
      </c>
      <c r="F789" s="14"/>
      <c r="G789" s="8">
        <f>G790</f>
        <v>200000</v>
      </c>
      <c r="H789" s="8">
        <f t="shared" ref="H789:I789" si="216">H790</f>
        <v>0</v>
      </c>
      <c r="I789" s="8">
        <f t="shared" si="216"/>
        <v>0</v>
      </c>
      <c r="J789" s="178"/>
      <c r="K789" s="186"/>
      <c r="L789" s="186"/>
      <c r="M789" s="186"/>
      <c r="N789" s="186"/>
      <c r="O789" s="186"/>
      <c r="P789" s="186"/>
      <c r="Q789" s="186"/>
      <c r="R789" s="186"/>
      <c r="S789" s="1"/>
      <c r="T789" s="1"/>
    </row>
    <row r="790" spans="1:20" ht="49.5" customHeight="1">
      <c r="A790" s="82" t="s">
        <v>30</v>
      </c>
      <c r="B790" s="14">
        <v>757</v>
      </c>
      <c r="C790" s="15" t="s">
        <v>44</v>
      </c>
      <c r="D790" s="15" t="s">
        <v>19</v>
      </c>
      <c r="E790" s="15" t="s">
        <v>750</v>
      </c>
      <c r="F790" s="15" t="s">
        <v>31</v>
      </c>
      <c r="G790" s="8">
        <f>G791</f>
        <v>200000</v>
      </c>
      <c r="H790" s="8">
        <f>H791</f>
        <v>0</v>
      </c>
      <c r="I790" s="8">
        <f>I791</f>
        <v>0</v>
      </c>
      <c r="J790" s="178"/>
      <c r="K790" s="186"/>
      <c r="L790" s="186"/>
      <c r="M790" s="186"/>
      <c r="N790" s="186"/>
      <c r="O790" s="186"/>
      <c r="P790" s="186"/>
      <c r="Q790" s="186"/>
      <c r="R790" s="186"/>
      <c r="S790" s="1"/>
      <c r="T790" s="1"/>
    </row>
    <row r="791" spans="1:20">
      <c r="A791" s="82" t="s">
        <v>32</v>
      </c>
      <c r="B791" s="14">
        <v>757</v>
      </c>
      <c r="C791" s="15" t="s">
        <v>44</v>
      </c>
      <c r="D791" s="15" t="s">
        <v>19</v>
      </c>
      <c r="E791" s="15" t="s">
        <v>750</v>
      </c>
      <c r="F791" s="15" t="s">
        <v>33</v>
      </c>
      <c r="G791" s="8">
        <f>'прил 5,'!G194</f>
        <v>200000</v>
      </c>
      <c r="H791" s="8"/>
      <c r="I791" s="8"/>
      <c r="J791" s="178"/>
      <c r="K791" s="186"/>
      <c r="L791" s="186"/>
      <c r="M791" s="186"/>
      <c r="N791" s="186"/>
      <c r="O791" s="186"/>
      <c r="P791" s="186"/>
      <c r="Q791" s="186"/>
      <c r="R791" s="186"/>
      <c r="S791" s="1"/>
      <c r="T791" s="1"/>
    </row>
    <row r="792" spans="1:20" ht="39.75" customHeight="1">
      <c r="A792" s="143" t="s">
        <v>754</v>
      </c>
      <c r="B792" s="14">
        <v>757</v>
      </c>
      <c r="C792" s="15" t="s">
        <v>44</v>
      </c>
      <c r="D792" s="15" t="s">
        <v>19</v>
      </c>
      <c r="E792" s="15" t="s">
        <v>753</v>
      </c>
      <c r="F792" s="14"/>
      <c r="G792" s="8">
        <f>G793</f>
        <v>0</v>
      </c>
      <c r="H792" s="8">
        <f t="shared" ref="H792:I792" si="217">H793</f>
        <v>150000</v>
      </c>
      <c r="I792" s="8">
        <f t="shared" si="217"/>
        <v>0</v>
      </c>
      <c r="J792" s="1"/>
    </row>
    <row r="793" spans="1:20" ht="49.5" customHeight="1">
      <c r="A793" s="82" t="s">
        <v>30</v>
      </c>
      <c r="B793" s="14">
        <v>757</v>
      </c>
      <c r="C793" s="15" t="s">
        <v>44</v>
      </c>
      <c r="D793" s="15" t="s">
        <v>19</v>
      </c>
      <c r="E793" s="15" t="s">
        <v>753</v>
      </c>
      <c r="F793" s="15" t="s">
        <v>31</v>
      </c>
      <c r="G793" s="8">
        <f>G794</f>
        <v>0</v>
      </c>
      <c r="H793" s="8">
        <f>H794</f>
        <v>150000</v>
      </c>
      <c r="I793" s="8">
        <f>I794</f>
        <v>0</v>
      </c>
      <c r="J793" s="1"/>
    </row>
    <row r="794" spans="1:20">
      <c r="A794" s="82" t="s">
        <v>32</v>
      </c>
      <c r="B794" s="14">
        <v>757</v>
      </c>
      <c r="C794" s="15" t="s">
        <v>44</v>
      </c>
      <c r="D794" s="15" t="s">
        <v>19</v>
      </c>
      <c r="E794" s="15" t="s">
        <v>753</v>
      </c>
      <c r="F794" s="15" t="s">
        <v>33</v>
      </c>
      <c r="G794" s="8">
        <f>'прил 5,'!G200</f>
        <v>0</v>
      </c>
      <c r="H794" s="8">
        <f>'прил 5,'!H200</f>
        <v>150000</v>
      </c>
      <c r="I794" s="8">
        <f>'прил 5,'!I200</f>
        <v>0</v>
      </c>
      <c r="J794" s="1"/>
    </row>
    <row r="795" spans="1:20" ht="54.75" hidden="1" customHeight="1">
      <c r="A795" s="143" t="s">
        <v>786</v>
      </c>
      <c r="B795" s="14">
        <v>757</v>
      </c>
      <c r="C795" s="15" t="s">
        <v>44</v>
      </c>
      <c r="D795" s="15" t="s">
        <v>19</v>
      </c>
      <c r="E795" s="15" t="s">
        <v>785</v>
      </c>
      <c r="F795" s="14"/>
      <c r="G795" s="8">
        <f>G796</f>
        <v>0</v>
      </c>
      <c r="H795" s="8">
        <f t="shared" ref="H795:I795" si="218">H796</f>
        <v>0</v>
      </c>
      <c r="I795" s="8">
        <f t="shared" si="218"/>
        <v>0</v>
      </c>
      <c r="J795" s="1"/>
    </row>
    <row r="796" spans="1:20" ht="49.5" hidden="1" customHeight="1">
      <c r="A796" s="82" t="s">
        <v>30</v>
      </c>
      <c r="B796" s="14">
        <v>757</v>
      </c>
      <c r="C796" s="15" t="s">
        <v>44</v>
      </c>
      <c r="D796" s="15" t="s">
        <v>19</v>
      </c>
      <c r="E796" s="15" t="s">
        <v>785</v>
      </c>
      <c r="F796" s="15" t="s">
        <v>31</v>
      </c>
      <c r="G796" s="8">
        <f>G797</f>
        <v>0</v>
      </c>
      <c r="H796" s="8">
        <f>H797</f>
        <v>0</v>
      </c>
      <c r="I796" s="8">
        <f>I797</f>
        <v>0</v>
      </c>
      <c r="J796" s="1"/>
    </row>
    <row r="797" spans="1:20" hidden="1">
      <c r="A797" s="82" t="s">
        <v>32</v>
      </c>
      <c r="B797" s="14">
        <v>757</v>
      </c>
      <c r="C797" s="15" t="s">
        <v>44</v>
      </c>
      <c r="D797" s="15" t="s">
        <v>19</v>
      </c>
      <c r="E797" s="15" t="s">
        <v>785</v>
      </c>
      <c r="F797" s="15" t="s">
        <v>33</v>
      </c>
      <c r="G797" s="8"/>
      <c r="H797" s="8"/>
      <c r="I797" s="8"/>
      <c r="J797" s="1"/>
    </row>
    <row r="798" spans="1:20" ht="29.25" hidden="1" customHeight="1">
      <c r="A798" s="135" t="s">
        <v>978</v>
      </c>
      <c r="B798" s="14">
        <v>757</v>
      </c>
      <c r="C798" s="15" t="s">
        <v>44</v>
      </c>
      <c r="D798" s="15" t="s">
        <v>19</v>
      </c>
      <c r="E798" s="15" t="s">
        <v>977</v>
      </c>
      <c r="F798" s="14"/>
      <c r="G798" s="8">
        <f>G799</f>
        <v>0</v>
      </c>
      <c r="H798" s="8">
        <f t="shared" ref="H798:I798" si="219">H799</f>
        <v>0</v>
      </c>
      <c r="I798" s="8">
        <f t="shared" si="219"/>
        <v>0</v>
      </c>
      <c r="J798" s="178"/>
      <c r="K798" s="186"/>
      <c r="L798" s="186"/>
      <c r="M798" s="186"/>
      <c r="N798" s="186"/>
      <c r="O798" s="186"/>
      <c r="P798" s="186"/>
      <c r="Q798" s="186"/>
      <c r="R798" s="186"/>
      <c r="S798" s="1"/>
      <c r="T798" s="1"/>
    </row>
    <row r="799" spans="1:20" ht="49.5" hidden="1" customHeight="1">
      <c r="A799" s="82" t="s">
        <v>30</v>
      </c>
      <c r="B799" s="14">
        <v>757</v>
      </c>
      <c r="C799" s="15" t="s">
        <v>44</v>
      </c>
      <c r="D799" s="15" t="s">
        <v>19</v>
      </c>
      <c r="E799" s="15" t="s">
        <v>977</v>
      </c>
      <c r="F799" s="15" t="s">
        <v>31</v>
      </c>
      <c r="G799" s="8">
        <f>G800</f>
        <v>0</v>
      </c>
      <c r="H799" s="8">
        <f>H800</f>
        <v>0</v>
      </c>
      <c r="I799" s="8">
        <f>I800</f>
        <v>0</v>
      </c>
      <c r="J799" s="178"/>
      <c r="K799" s="186"/>
      <c r="L799" s="186"/>
      <c r="M799" s="186"/>
      <c r="N799" s="186"/>
      <c r="O799" s="186"/>
      <c r="P799" s="186"/>
      <c r="Q799" s="186"/>
      <c r="R799" s="186"/>
      <c r="S799" s="1"/>
      <c r="T799" s="1"/>
    </row>
    <row r="800" spans="1:20" hidden="1">
      <c r="A800" s="82" t="s">
        <v>32</v>
      </c>
      <c r="B800" s="14">
        <v>757</v>
      </c>
      <c r="C800" s="15" t="s">
        <v>44</v>
      </c>
      <c r="D800" s="15" t="s">
        <v>19</v>
      </c>
      <c r="E800" s="15" t="s">
        <v>977</v>
      </c>
      <c r="F800" s="15" t="s">
        <v>33</v>
      </c>
      <c r="G800" s="8"/>
      <c r="H800" s="8">
        <v>0</v>
      </c>
      <c r="I800" s="8">
        <v>0</v>
      </c>
      <c r="J800" s="178"/>
      <c r="K800" s="186"/>
      <c r="L800" s="186"/>
      <c r="M800" s="186"/>
      <c r="N800" s="186"/>
      <c r="O800" s="186"/>
      <c r="P800" s="186"/>
      <c r="Q800" s="186"/>
      <c r="R800" s="186"/>
      <c r="S800" s="1"/>
      <c r="T800" s="1"/>
    </row>
    <row r="801" spans="1:20" ht="29.25" customHeight="1">
      <c r="A801" s="135" t="s">
        <v>978</v>
      </c>
      <c r="B801" s="14">
        <v>757</v>
      </c>
      <c r="C801" s="15" t="s">
        <v>44</v>
      </c>
      <c r="D801" s="15" t="s">
        <v>19</v>
      </c>
      <c r="E801" s="15" t="s">
        <v>977</v>
      </c>
      <c r="F801" s="14"/>
      <c r="G801" s="8">
        <f>G802</f>
        <v>227000</v>
      </c>
      <c r="H801" s="8">
        <f t="shared" ref="H801:I801" si="220">H802</f>
        <v>0</v>
      </c>
      <c r="I801" s="8">
        <f t="shared" si="220"/>
        <v>0</v>
      </c>
      <c r="J801" s="178"/>
      <c r="K801" s="186"/>
      <c r="L801" s="186"/>
      <c r="M801" s="186"/>
      <c r="N801" s="186"/>
      <c r="O801" s="186"/>
      <c r="P801" s="186"/>
      <c r="Q801" s="186"/>
      <c r="R801" s="186"/>
      <c r="S801" s="1"/>
      <c r="T801" s="1"/>
    </row>
    <row r="802" spans="1:20" ht="49.5" customHeight="1">
      <c r="A802" s="82" t="s">
        <v>30</v>
      </c>
      <c r="B802" s="14">
        <v>757</v>
      </c>
      <c r="C802" s="15" t="s">
        <v>44</v>
      </c>
      <c r="D802" s="15" t="s">
        <v>19</v>
      </c>
      <c r="E802" s="15" t="s">
        <v>977</v>
      </c>
      <c r="F802" s="15" t="s">
        <v>31</v>
      </c>
      <c r="G802" s="8">
        <f>G803</f>
        <v>227000</v>
      </c>
      <c r="H802" s="8">
        <f>H803</f>
        <v>0</v>
      </c>
      <c r="I802" s="8">
        <f>I803</f>
        <v>0</v>
      </c>
      <c r="J802" s="178"/>
      <c r="K802" s="186"/>
      <c r="L802" s="186"/>
      <c r="M802" s="186"/>
      <c r="N802" s="186"/>
      <c r="O802" s="186"/>
      <c r="P802" s="186"/>
      <c r="Q802" s="186"/>
      <c r="R802" s="186"/>
      <c r="S802" s="1"/>
      <c r="T802" s="1"/>
    </row>
    <row r="803" spans="1:20">
      <c r="A803" s="82" t="s">
        <v>32</v>
      </c>
      <c r="B803" s="14">
        <v>757</v>
      </c>
      <c r="C803" s="15" t="s">
        <v>44</v>
      </c>
      <c r="D803" s="15" t="s">
        <v>19</v>
      </c>
      <c r="E803" s="15" t="s">
        <v>977</v>
      </c>
      <c r="F803" s="15" t="s">
        <v>33</v>
      </c>
      <c r="G803" s="8">
        <f>'прил 5,'!G206</f>
        <v>227000</v>
      </c>
      <c r="H803" s="8">
        <v>0</v>
      </c>
      <c r="I803" s="8">
        <v>0</v>
      </c>
      <c r="J803" s="178"/>
      <c r="K803" s="186"/>
      <c r="L803" s="186"/>
      <c r="M803" s="186"/>
      <c r="N803" s="186"/>
      <c r="O803" s="186"/>
      <c r="P803" s="186"/>
      <c r="Q803" s="186"/>
      <c r="R803" s="186"/>
      <c r="S803" s="1"/>
      <c r="T803" s="1"/>
    </row>
    <row r="804" spans="1:20" ht="39.75" customHeight="1">
      <c r="A804" s="143" t="s">
        <v>754</v>
      </c>
      <c r="B804" s="14">
        <v>757</v>
      </c>
      <c r="C804" s="15" t="s">
        <v>44</v>
      </c>
      <c r="D804" s="15" t="s">
        <v>19</v>
      </c>
      <c r="E804" s="15" t="s">
        <v>1045</v>
      </c>
      <c r="F804" s="14"/>
      <c r="G804" s="8">
        <f>G897</f>
        <v>155000</v>
      </c>
      <c r="H804" s="8">
        <f>H897</f>
        <v>0</v>
      </c>
      <c r="I804" s="8">
        <f>I897</f>
        <v>0</v>
      </c>
      <c r="J804" s="1"/>
    </row>
    <row r="805" spans="1:20" s="3" customFormat="1" ht="15" customHeight="1">
      <c r="A805" s="24" t="s">
        <v>48</v>
      </c>
      <c r="B805" s="14">
        <v>757</v>
      </c>
      <c r="C805" s="15" t="s">
        <v>44</v>
      </c>
      <c r="D805" s="15" t="s">
        <v>19</v>
      </c>
      <c r="E805" s="15" t="s">
        <v>200</v>
      </c>
      <c r="F805" s="15"/>
      <c r="G805" s="95">
        <f>G806+G811</f>
        <v>7927812.8600000003</v>
      </c>
      <c r="H805" s="25">
        <f t="shared" ref="G805:I806" si="221">H806</f>
        <v>9186412.2799999993</v>
      </c>
      <c r="I805" s="25">
        <f t="shared" si="221"/>
        <v>9777575.25</v>
      </c>
      <c r="J805" s="111"/>
      <c r="P805" s="111"/>
      <c r="Q805" s="111"/>
      <c r="R805" s="111"/>
      <c r="S805" s="111"/>
      <c r="T805" s="111"/>
    </row>
    <row r="806" spans="1:20" ht="25.5">
      <c r="A806" s="16" t="s">
        <v>30</v>
      </c>
      <c r="B806" s="14">
        <v>757</v>
      </c>
      <c r="C806" s="15" t="s">
        <v>44</v>
      </c>
      <c r="D806" s="15" t="s">
        <v>19</v>
      </c>
      <c r="E806" s="15" t="s">
        <v>200</v>
      </c>
      <c r="F806" s="15" t="s">
        <v>31</v>
      </c>
      <c r="G806" s="85">
        <f t="shared" si="221"/>
        <v>7927812.8600000003</v>
      </c>
      <c r="H806" s="8">
        <f t="shared" si="221"/>
        <v>9186412.2799999993</v>
      </c>
      <c r="I806" s="8">
        <f t="shared" si="221"/>
        <v>9777575.25</v>
      </c>
    </row>
    <row r="807" spans="1:20">
      <c r="A807" s="16" t="s">
        <v>32</v>
      </c>
      <c r="B807" s="14">
        <v>757</v>
      </c>
      <c r="C807" s="15" t="s">
        <v>44</v>
      </c>
      <c r="D807" s="15" t="s">
        <v>19</v>
      </c>
      <c r="E807" s="15" t="s">
        <v>200</v>
      </c>
      <c r="F807" s="15" t="s">
        <v>33</v>
      </c>
      <c r="G807" s="85">
        <f>'прил 5,'!G209</f>
        <v>7927812.8600000003</v>
      </c>
      <c r="H807" s="8">
        <f>'прил 5,'!H209</f>
        <v>9186412.2799999993</v>
      </c>
      <c r="I807" s="8">
        <f>'прил 5,'!I209</f>
        <v>9777575.25</v>
      </c>
    </row>
    <row r="808" spans="1:20" s="3" customFormat="1" ht="36" hidden="1" customHeight="1">
      <c r="A808" s="140" t="s">
        <v>795</v>
      </c>
      <c r="B808" s="14">
        <v>757</v>
      </c>
      <c r="C808" s="15" t="s">
        <v>44</v>
      </c>
      <c r="D808" s="15" t="s">
        <v>19</v>
      </c>
      <c r="E808" s="15" t="s">
        <v>794</v>
      </c>
      <c r="F808" s="15"/>
      <c r="G808" s="25">
        <f>G809</f>
        <v>0</v>
      </c>
      <c r="H808" s="25">
        <f t="shared" ref="H808:I809" si="222">H809</f>
        <v>0</v>
      </c>
      <c r="I808" s="25">
        <f t="shared" si="222"/>
        <v>0</v>
      </c>
      <c r="P808" s="111"/>
      <c r="Q808" s="111"/>
      <c r="R808" s="111"/>
      <c r="S808" s="111"/>
      <c r="T808" s="111"/>
    </row>
    <row r="809" spans="1:20" s="90" customFormat="1" ht="19.5" hidden="1" customHeight="1">
      <c r="A809" s="82" t="s">
        <v>63</v>
      </c>
      <c r="B809" s="14">
        <v>757</v>
      </c>
      <c r="C809" s="15" t="s">
        <v>44</v>
      </c>
      <c r="D809" s="15" t="s">
        <v>19</v>
      </c>
      <c r="E809" s="15" t="s">
        <v>794</v>
      </c>
      <c r="F809" s="84" t="s">
        <v>64</v>
      </c>
      <c r="G809" s="87">
        <f>G810</f>
        <v>0</v>
      </c>
      <c r="H809" s="87">
        <f t="shared" si="222"/>
        <v>0</v>
      </c>
      <c r="I809" s="87">
        <f t="shared" si="222"/>
        <v>0</v>
      </c>
      <c r="P809" s="126"/>
      <c r="Q809" s="126"/>
      <c r="R809" s="126"/>
      <c r="S809" s="126"/>
      <c r="T809" s="126"/>
    </row>
    <row r="810" spans="1:20" s="90" customFormat="1" ht="18.75" hidden="1" customHeight="1">
      <c r="A810" s="82" t="s">
        <v>180</v>
      </c>
      <c r="B810" s="14">
        <v>757</v>
      </c>
      <c r="C810" s="15" t="s">
        <v>44</v>
      </c>
      <c r="D810" s="15" t="s">
        <v>19</v>
      </c>
      <c r="E810" s="15" t="s">
        <v>794</v>
      </c>
      <c r="F810" s="84" t="s">
        <v>181</v>
      </c>
      <c r="G810" s="87">
        <f>'прил 5,'!G212</f>
        <v>0</v>
      </c>
      <c r="H810" s="87">
        <v>0</v>
      </c>
      <c r="I810" s="87">
        <v>0</v>
      </c>
      <c r="P810" s="126"/>
      <c r="Q810" s="126"/>
      <c r="R810" s="126"/>
      <c r="S810" s="126"/>
      <c r="T810" s="126"/>
    </row>
    <row r="811" spans="1:20" s="90" customFormat="1" ht="19.5" hidden="1" customHeight="1">
      <c r="A811" s="82" t="s">
        <v>63</v>
      </c>
      <c r="B811" s="14">
        <v>757</v>
      </c>
      <c r="C811" s="15" t="s">
        <v>44</v>
      </c>
      <c r="D811" s="15" t="s">
        <v>19</v>
      </c>
      <c r="E811" s="15" t="s">
        <v>200</v>
      </c>
      <c r="F811" s="84" t="s">
        <v>64</v>
      </c>
      <c r="G811" s="87">
        <f>G812</f>
        <v>0</v>
      </c>
      <c r="H811" s="87">
        <f t="shared" ref="H811:I811" si="223">H812</f>
        <v>0</v>
      </c>
      <c r="I811" s="87">
        <f t="shared" si="223"/>
        <v>0</v>
      </c>
      <c r="P811" s="126"/>
      <c r="Q811" s="126"/>
      <c r="R811" s="126"/>
      <c r="S811" s="126"/>
      <c r="T811" s="126"/>
    </row>
    <row r="812" spans="1:20" s="90" customFormat="1" ht="18.75" hidden="1" customHeight="1">
      <c r="A812" s="82" t="s">
        <v>328</v>
      </c>
      <c r="B812" s="14">
        <v>757</v>
      </c>
      <c r="C812" s="15" t="s">
        <v>44</v>
      </c>
      <c r="D812" s="15" t="s">
        <v>19</v>
      </c>
      <c r="E812" s="15" t="s">
        <v>200</v>
      </c>
      <c r="F812" s="84" t="s">
        <v>181</v>
      </c>
      <c r="G812" s="87"/>
      <c r="H812" s="87">
        <v>0</v>
      </c>
      <c r="I812" s="87">
        <v>0</v>
      </c>
      <c r="P812" s="126"/>
      <c r="Q812" s="126"/>
      <c r="R812" s="126"/>
      <c r="S812" s="126"/>
      <c r="T812" s="126"/>
    </row>
    <row r="813" spans="1:20" s="3" customFormat="1" ht="15" customHeight="1">
      <c r="A813" s="26" t="s">
        <v>49</v>
      </c>
      <c r="B813" s="14">
        <v>757</v>
      </c>
      <c r="C813" s="15" t="s">
        <v>44</v>
      </c>
      <c r="D813" s="15" t="s">
        <v>19</v>
      </c>
      <c r="E813" s="15" t="s">
        <v>201</v>
      </c>
      <c r="F813" s="15"/>
      <c r="G813" s="95">
        <f t="shared" ref="G813:I814" si="224">G814</f>
        <v>40307651.82</v>
      </c>
      <c r="H813" s="25">
        <f t="shared" si="224"/>
        <v>45400329.390000001</v>
      </c>
      <c r="I813" s="25">
        <f t="shared" si="224"/>
        <v>45387746.920000002</v>
      </c>
      <c r="J813" s="111"/>
      <c r="P813" s="111"/>
      <c r="Q813" s="111"/>
      <c r="R813" s="111"/>
      <c r="S813" s="111"/>
      <c r="T813" s="111"/>
    </row>
    <row r="814" spans="1:20" ht="25.5">
      <c r="A814" s="16" t="s">
        <v>30</v>
      </c>
      <c r="B814" s="14">
        <v>757</v>
      </c>
      <c r="C814" s="15" t="s">
        <v>44</v>
      </c>
      <c r="D814" s="15" t="s">
        <v>19</v>
      </c>
      <c r="E814" s="15" t="s">
        <v>201</v>
      </c>
      <c r="F814" s="15" t="s">
        <v>31</v>
      </c>
      <c r="G814" s="85">
        <f t="shared" si="224"/>
        <v>40307651.82</v>
      </c>
      <c r="H814" s="8">
        <f t="shared" si="224"/>
        <v>45400329.390000001</v>
      </c>
      <c r="I814" s="8">
        <f t="shared" si="224"/>
        <v>45387746.920000002</v>
      </c>
    </row>
    <row r="815" spans="1:20">
      <c r="A815" s="16" t="s">
        <v>32</v>
      </c>
      <c r="B815" s="14">
        <v>757</v>
      </c>
      <c r="C815" s="15" t="s">
        <v>44</v>
      </c>
      <c r="D815" s="15" t="s">
        <v>19</v>
      </c>
      <c r="E815" s="15" t="s">
        <v>201</v>
      </c>
      <c r="F815" s="15" t="s">
        <v>33</v>
      </c>
      <c r="G815" s="85">
        <f>'прил 5,'!G219</f>
        <v>40307651.82</v>
      </c>
      <c r="H815" s="8">
        <f>'прил 5,'!H219</f>
        <v>45400329.390000001</v>
      </c>
      <c r="I815" s="8">
        <f>'прил 5,'!I219</f>
        <v>45387746.920000002</v>
      </c>
    </row>
    <row r="816" spans="1:20" ht="25.5">
      <c r="A816" s="16" t="s">
        <v>29</v>
      </c>
      <c r="B816" s="14">
        <v>757</v>
      </c>
      <c r="C816" s="15" t="s">
        <v>26</v>
      </c>
      <c r="D816" s="15" t="s">
        <v>28</v>
      </c>
      <c r="E816" s="15" t="s">
        <v>194</v>
      </c>
      <c r="F816" s="15"/>
      <c r="G816" s="87">
        <f>G817</f>
        <v>27684755.579999998</v>
      </c>
      <c r="H816" s="70">
        <f t="shared" ref="G816:I817" si="225">H817</f>
        <v>27590675.109999999</v>
      </c>
      <c r="I816" s="70">
        <f t="shared" si="225"/>
        <v>29065199.059999999</v>
      </c>
      <c r="J816" s="2">
        <v>435600</v>
      </c>
    </row>
    <row r="817" spans="1:20" ht="25.5">
      <c r="A817" s="16" t="s">
        <v>30</v>
      </c>
      <c r="B817" s="14">
        <v>757</v>
      </c>
      <c r="C817" s="15" t="s">
        <v>26</v>
      </c>
      <c r="D817" s="15" t="s">
        <v>28</v>
      </c>
      <c r="E817" s="15" t="s">
        <v>194</v>
      </c>
      <c r="F817" s="15" t="s">
        <v>31</v>
      </c>
      <c r="G817" s="87">
        <f t="shared" si="225"/>
        <v>27684755.579999998</v>
      </c>
      <c r="H817" s="70">
        <f t="shared" si="225"/>
        <v>27590675.109999999</v>
      </c>
      <c r="I817" s="70">
        <f t="shared" si="225"/>
        <v>29065199.059999999</v>
      </c>
      <c r="J817" s="2">
        <v>300</v>
      </c>
    </row>
    <row r="818" spans="1:20" ht="19.5" customHeight="1">
      <c r="A818" s="16" t="s">
        <v>32</v>
      </c>
      <c r="B818" s="14">
        <v>757</v>
      </c>
      <c r="C818" s="15" t="s">
        <v>26</v>
      </c>
      <c r="D818" s="15" t="s">
        <v>28</v>
      </c>
      <c r="E818" s="15" t="s">
        <v>194</v>
      </c>
      <c r="F818" s="15" t="s">
        <v>33</v>
      </c>
      <c r="G818" s="87">
        <f>'прил 5,'!G40</f>
        <v>27684755.579999998</v>
      </c>
      <c r="H818" s="70">
        <f>'прил 5,'!H40</f>
        <v>27590675.109999999</v>
      </c>
      <c r="I818" s="70">
        <f>'прил 5,'!I40</f>
        <v>29065199.059999999</v>
      </c>
      <c r="J818" s="2">
        <f>SUM(J782:J817)</f>
        <v>24908850</v>
      </c>
    </row>
    <row r="819" spans="1:20" ht="25.5">
      <c r="A819" s="16" t="s">
        <v>853</v>
      </c>
      <c r="B819" s="14">
        <v>757</v>
      </c>
      <c r="C819" s="15" t="s">
        <v>26</v>
      </c>
      <c r="D819" s="15" t="s">
        <v>70</v>
      </c>
      <c r="E819" s="15" t="s">
        <v>852</v>
      </c>
      <c r="F819" s="15"/>
      <c r="G819" s="70">
        <f>G820</f>
        <v>115000</v>
      </c>
      <c r="H819" s="70">
        <f t="shared" ref="H819:I819" si="226">H820</f>
        <v>115000</v>
      </c>
      <c r="I819" s="70">
        <f t="shared" si="226"/>
        <v>115000</v>
      </c>
      <c r="J819" s="1"/>
    </row>
    <row r="820" spans="1:20" ht="25.5">
      <c r="A820" s="16" t="s">
        <v>30</v>
      </c>
      <c r="B820" s="14">
        <v>757</v>
      </c>
      <c r="C820" s="15" t="s">
        <v>26</v>
      </c>
      <c r="D820" s="15" t="s">
        <v>70</v>
      </c>
      <c r="E820" s="15" t="s">
        <v>852</v>
      </c>
      <c r="F820" s="15" t="s">
        <v>31</v>
      </c>
      <c r="G820" s="70">
        <f>G821</f>
        <v>115000</v>
      </c>
      <c r="H820" s="70">
        <f>H821</f>
        <v>115000</v>
      </c>
      <c r="I820" s="70">
        <f>I821</f>
        <v>115000</v>
      </c>
      <c r="J820" s="1"/>
    </row>
    <row r="821" spans="1:20" ht="19.5" customHeight="1">
      <c r="A821" s="16" t="s">
        <v>32</v>
      </c>
      <c r="B821" s="14">
        <v>757</v>
      </c>
      <c r="C821" s="15" t="s">
        <v>26</v>
      </c>
      <c r="D821" s="15" t="s">
        <v>70</v>
      </c>
      <c r="E821" s="15" t="s">
        <v>852</v>
      </c>
      <c r="F821" s="15" t="s">
        <v>33</v>
      </c>
      <c r="G821" s="70">
        <f>'прил 5,'!G43+'прил 5,'!G280</f>
        <v>115000</v>
      </c>
      <c r="H821" s="70">
        <f>'прил 5,'!H43+'прил 5,'!H280</f>
        <v>115000</v>
      </c>
      <c r="I821" s="70">
        <f>'прил 5,'!I43+'прил 5,'!I280</f>
        <v>115000</v>
      </c>
      <c r="J821" s="1"/>
    </row>
    <row r="822" spans="1:20" s="90" customFormat="1">
      <c r="A822" s="82" t="s">
        <v>869</v>
      </c>
      <c r="B822" s="149">
        <v>757</v>
      </c>
      <c r="C822" s="84" t="s">
        <v>44</v>
      </c>
      <c r="D822" s="84" t="s">
        <v>19</v>
      </c>
      <c r="E822" s="84" t="s">
        <v>854</v>
      </c>
      <c r="F822" s="84"/>
      <c r="G822" s="87">
        <f>G823</f>
        <v>0</v>
      </c>
      <c r="H822" s="87">
        <f t="shared" ref="H822:I822" si="227">H823</f>
        <v>250000</v>
      </c>
      <c r="I822" s="87">
        <f t="shared" si="227"/>
        <v>250000</v>
      </c>
      <c r="P822" s="126"/>
      <c r="Q822" s="126"/>
      <c r="R822" s="126"/>
      <c r="S822" s="126"/>
      <c r="T822" s="126"/>
    </row>
    <row r="823" spans="1:20" s="90" customFormat="1" ht="25.5">
      <c r="A823" s="82" t="s">
        <v>30</v>
      </c>
      <c r="B823" s="149">
        <v>757</v>
      </c>
      <c r="C823" s="84" t="s">
        <v>44</v>
      </c>
      <c r="D823" s="84" t="s">
        <v>19</v>
      </c>
      <c r="E823" s="84" t="s">
        <v>854</v>
      </c>
      <c r="F823" s="84" t="s">
        <v>31</v>
      </c>
      <c r="G823" s="87">
        <f>G824</f>
        <v>0</v>
      </c>
      <c r="H823" s="87">
        <f>H824</f>
        <v>250000</v>
      </c>
      <c r="I823" s="87">
        <f>I824</f>
        <v>250000</v>
      </c>
      <c r="P823" s="126"/>
      <c r="Q823" s="126"/>
      <c r="R823" s="126"/>
      <c r="S823" s="126"/>
      <c r="T823" s="126"/>
    </row>
    <row r="824" spans="1:20" s="90" customFormat="1" ht="19.5" customHeight="1">
      <c r="A824" s="82" t="s">
        <v>32</v>
      </c>
      <c r="B824" s="149">
        <v>757</v>
      </c>
      <c r="C824" s="84" t="s">
        <v>44</v>
      </c>
      <c r="D824" s="84" t="s">
        <v>19</v>
      </c>
      <c r="E824" s="84" t="s">
        <v>854</v>
      </c>
      <c r="F824" s="84" t="s">
        <v>33</v>
      </c>
      <c r="G824" s="87">
        <f>'прил 5,'!G283</f>
        <v>0</v>
      </c>
      <c r="H824" s="87">
        <v>250000</v>
      </c>
      <c r="I824" s="87">
        <v>250000</v>
      </c>
      <c r="P824" s="126"/>
      <c r="Q824" s="126"/>
      <c r="R824" s="126"/>
      <c r="S824" s="126"/>
      <c r="T824" s="126"/>
    </row>
    <row r="825" spans="1:20">
      <c r="A825" s="16" t="s">
        <v>858</v>
      </c>
      <c r="B825" s="14">
        <v>757</v>
      </c>
      <c r="C825" s="15" t="s">
        <v>44</v>
      </c>
      <c r="D825" s="15" t="s">
        <v>19</v>
      </c>
      <c r="E825" s="15" t="s">
        <v>857</v>
      </c>
      <c r="F825" s="15"/>
      <c r="G825" s="70">
        <f>G826</f>
        <v>207110.5</v>
      </c>
      <c r="H825" s="70">
        <f t="shared" ref="H825:I825" si="228">H826</f>
        <v>1314000</v>
      </c>
      <c r="I825" s="70">
        <f t="shared" si="228"/>
        <v>1395000</v>
      </c>
      <c r="J825" s="1"/>
    </row>
    <row r="826" spans="1:20" ht="25.5">
      <c r="A826" s="16" t="s">
        <v>30</v>
      </c>
      <c r="B826" s="14">
        <v>757</v>
      </c>
      <c r="C826" s="15" t="s">
        <v>44</v>
      </c>
      <c r="D826" s="15" t="s">
        <v>19</v>
      </c>
      <c r="E826" s="15" t="s">
        <v>857</v>
      </c>
      <c r="F826" s="15" t="s">
        <v>31</v>
      </c>
      <c r="G826" s="70">
        <f>G827</f>
        <v>207110.5</v>
      </c>
      <c r="H826" s="70">
        <f>H827</f>
        <v>1314000</v>
      </c>
      <c r="I826" s="70">
        <f>I827</f>
        <v>1395000</v>
      </c>
      <c r="J826" s="1"/>
    </row>
    <row r="827" spans="1:20" ht="19.5" customHeight="1">
      <c r="A827" s="16" t="s">
        <v>32</v>
      </c>
      <c r="B827" s="14">
        <v>757</v>
      </c>
      <c r="C827" s="15" t="s">
        <v>44</v>
      </c>
      <c r="D827" s="15" t="s">
        <v>19</v>
      </c>
      <c r="E827" s="15" t="s">
        <v>857</v>
      </c>
      <c r="F827" s="15" t="s">
        <v>33</v>
      </c>
      <c r="G827" s="70">
        <f>'прил 5,'!G277+'прил 5,'!G46</f>
        <v>207110.5</v>
      </c>
      <c r="H827" s="70">
        <f>'прил 5,'!H277+'прил 5,'!H46</f>
        <v>1314000</v>
      </c>
      <c r="I827" s="70">
        <f>'прил 5,'!I277+'прил 5,'!I46</f>
        <v>1395000</v>
      </c>
      <c r="J827" s="1"/>
    </row>
    <row r="828" spans="1:20" ht="38.25">
      <c r="A828" s="16" t="s">
        <v>860</v>
      </c>
      <c r="B828" s="14">
        <v>757</v>
      </c>
      <c r="C828" s="15" t="s">
        <v>44</v>
      </c>
      <c r="D828" s="15" t="s">
        <v>19</v>
      </c>
      <c r="E828" s="15" t="s">
        <v>859</v>
      </c>
      <c r="F828" s="15"/>
      <c r="G828" s="70">
        <f>G829</f>
        <v>183800</v>
      </c>
      <c r="H828" s="70">
        <f t="shared" ref="H828:I828" si="229">H829</f>
        <v>0</v>
      </c>
      <c r="I828" s="70">
        <f t="shared" si="229"/>
        <v>0</v>
      </c>
      <c r="J828" s="1"/>
    </row>
    <row r="829" spans="1:20" ht="25.5">
      <c r="A829" s="16" t="s">
        <v>30</v>
      </c>
      <c r="B829" s="14">
        <v>757</v>
      </c>
      <c r="C829" s="15" t="s">
        <v>44</v>
      </c>
      <c r="D829" s="15" t="s">
        <v>19</v>
      </c>
      <c r="E829" s="15" t="s">
        <v>859</v>
      </c>
      <c r="F829" s="15" t="s">
        <v>31</v>
      </c>
      <c r="G829" s="70">
        <f>G830</f>
        <v>183800</v>
      </c>
      <c r="H829" s="70">
        <f>H830</f>
        <v>0</v>
      </c>
      <c r="I829" s="70">
        <f>I830</f>
        <v>0</v>
      </c>
      <c r="J829" s="1"/>
    </row>
    <row r="830" spans="1:20" ht="19.5" customHeight="1">
      <c r="A830" s="16" t="s">
        <v>32</v>
      </c>
      <c r="B830" s="14">
        <v>757</v>
      </c>
      <c r="C830" s="15" t="s">
        <v>44</v>
      </c>
      <c r="D830" s="15" t="s">
        <v>19</v>
      </c>
      <c r="E830" s="15" t="s">
        <v>859</v>
      </c>
      <c r="F830" s="15" t="s">
        <v>33</v>
      </c>
      <c r="G830" s="70">
        <f>'прил 5,'!G286</f>
        <v>183800</v>
      </c>
      <c r="H830" s="70">
        <f>'прил 5,'!H286</f>
        <v>0</v>
      </c>
      <c r="I830" s="70">
        <f>'прил 5,'!I286</f>
        <v>0</v>
      </c>
      <c r="J830" s="1"/>
    </row>
    <row r="831" spans="1:20" ht="25.5">
      <c r="A831" s="16" t="s">
        <v>862</v>
      </c>
      <c r="B831" s="14">
        <v>757</v>
      </c>
      <c r="C831" s="15" t="s">
        <v>44</v>
      </c>
      <c r="D831" s="15" t="s">
        <v>19</v>
      </c>
      <c r="E831" s="15" t="s">
        <v>861</v>
      </c>
      <c r="F831" s="15"/>
      <c r="G831" s="70">
        <f>G832</f>
        <v>211040</v>
      </c>
      <c r="H831" s="70">
        <f t="shared" ref="H831:I831" si="230">H832</f>
        <v>0</v>
      </c>
      <c r="I831" s="70">
        <f t="shared" si="230"/>
        <v>0</v>
      </c>
      <c r="J831" s="1"/>
    </row>
    <row r="832" spans="1:20" ht="25.5">
      <c r="A832" s="16" t="s">
        <v>30</v>
      </c>
      <c r="B832" s="14">
        <v>757</v>
      </c>
      <c r="C832" s="15" t="s">
        <v>44</v>
      </c>
      <c r="D832" s="15" t="s">
        <v>19</v>
      </c>
      <c r="E832" s="15" t="s">
        <v>861</v>
      </c>
      <c r="F832" s="15" t="s">
        <v>31</v>
      </c>
      <c r="G832" s="70">
        <f>G833</f>
        <v>211040</v>
      </c>
      <c r="H832" s="70">
        <f>H833</f>
        <v>0</v>
      </c>
      <c r="I832" s="70">
        <f>I833</f>
        <v>0</v>
      </c>
      <c r="J832" s="1"/>
    </row>
    <row r="833" spans="1:10" ht="19.5" customHeight="1">
      <c r="A833" s="16" t="s">
        <v>32</v>
      </c>
      <c r="B833" s="14">
        <v>757</v>
      </c>
      <c r="C833" s="15" t="s">
        <v>44</v>
      </c>
      <c r="D833" s="15" t="s">
        <v>19</v>
      </c>
      <c r="E833" s="15" t="s">
        <v>861</v>
      </c>
      <c r="F833" s="15" t="s">
        <v>33</v>
      </c>
      <c r="G833" s="70">
        <f>'прил 5,'!G289</f>
        <v>211040</v>
      </c>
      <c r="H833" s="70">
        <v>0</v>
      </c>
      <c r="I833" s="70">
        <v>0</v>
      </c>
      <c r="J833" s="1"/>
    </row>
    <row r="834" spans="1:10" ht="38.25">
      <c r="A834" s="16" t="s">
        <v>864</v>
      </c>
      <c r="B834" s="14">
        <v>757</v>
      </c>
      <c r="C834" s="15" t="s">
        <v>44</v>
      </c>
      <c r="D834" s="15" t="s">
        <v>19</v>
      </c>
      <c r="E834" s="15" t="s">
        <v>863</v>
      </c>
      <c r="F834" s="15"/>
      <c r="G834" s="70">
        <f>G835</f>
        <v>341866</v>
      </c>
      <c r="H834" s="70">
        <f t="shared" ref="H834:I834" si="231">H835</f>
        <v>0</v>
      </c>
      <c r="I834" s="70">
        <f t="shared" si="231"/>
        <v>0</v>
      </c>
      <c r="J834" s="1"/>
    </row>
    <row r="835" spans="1:10" ht="25.5">
      <c r="A835" s="16" t="s">
        <v>30</v>
      </c>
      <c r="B835" s="14">
        <v>757</v>
      </c>
      <c r="C835" s="15" t="s">
        <v>44</v>
      </c>
      <c r="D835" s="15" t="s">
        <v>19</v>
      </c>
      <c r="E835" s="15" t="s">
        <v>863</v>
      </c>
      <c r="F835" s="15" t="s">
        <v>31</v>
      </c>
      <c r="G835" s="70">
        <f>G836</f>
        <v>341866</v>
      </c>
      <c r="H835" s="70">
        <f>H836</f>
        <v>0</v>
      </c>
      <c r="I835" s="70">
        <f>I836</f>
        <v>0</v>
      </c>
      <c r="J835" s="1"/>
    </row>
    <row r="836" spans="1:10" ht="19.5" customHeight="1">
      <c r="A836" s="16" t="s">
        <v>32</v>
      </c>
      <c r="B836" s="14">
        <v>757</v>
      </c>
      <c r="C836" s="15" t="s">
        <v>44</v>
      </c>
      <c r="D836" s="15" t="s">
        <v>19</v>
      </c>
      <c r="E836" s="15" t="s">
        <v>863</v>
      </c>
      <c r="F836" s="15" t="s">
        <v>33</v>
      </c>
      <c r="G836" s="70">
        <v>341866</v>
      </c>
      <c r="H836" s="70">
        <v>0</v>
      </c>
      <c r="I836" s="70">
        <v>0</v>
      </c>
      <c r="J836" s="1"/>
    </row>
    <row r="837" spans="1:10" ht="36" customHeight="1">
      <c r="A837" s="16" t="s">
        <v>1039</v>
      </c>
      <c r="B837" s="14">
        <v>757</v>
      </c>
      <c r="C837" s="15" t="s">
        <v>44</v>
      </c>
      <c r="D837" s="15" t="s">
        <v>19</v>
      </c>
      <c r="E837" s="15" t="s">
        <v>865</v>
      </c>
      <c r="F837" s="15"/>
      <c r="G837" s="70">
        <f>G838</f>
        <v>32000</v>
      </c>
      <c r="H837" s="70">
        <f t="shared" ref="H837:I837" si="232">H838</f>
        <v>0</v>
      </c>
      <c r="I837" s="70">
        <f t="shared" si="232"/>
        <v>0</v>
      </c>
      <c r="J837" s="1"/>
    </row>
    <row r="838" spans="1:10" ht="25.5">
      <c r="A838" s="16" t="s">
        <v>30</v>
      </c>
      <c r="B838" s="14">
        <v>757</v>
      </c>
      <c r="C838" s="15" t="s">
        <v>44</v>
      </c>
      <c r="D838" s="15" t="s">
        <v>19</v>
      </c>
      <c r="E838" s="15" t="s">
        <v>865</v>
      </c>
      <c r="F838" s="15" t="s">
        <v>31</v>
      </c>
      <c r="G838" s="70">
        <f>G839</f>
        <v>32000</v>
      </c>
      <c r="H838" s="70">
        <f>H839</f>
        <v>0</v>
      </c>
      <c r="I838" s="70">
        <f>I839</f>
        <v>0</v>
      </c>
      <c r="J838" s="1"/>
    </row>
    <row r="839" spans="1:10" ht="19.5" customHeight="1">
      <c r="A839" s="16" t="s">
        <v>32</v>
      </c>
      <c r="B839" s="14">
        <v>757</v>
      </c>
      <c r="C839" s="15" t="s">
        <v>44</v>
      </c>
      <c r="D839" s="15" t="s">
        <v>19</v>
      </c>
      <c r="E839" s="15" t="s">
        <v>865</v>
      </c>
      <c r="F839" s="15" t="s">
        <v>33</v>
      </c>
      <c r="G839" s="70">
        <f>'прил 5,'!G295</f>
        <v>32000</v>
      </c>
      <c r="H839" s="70">
        <f>'прил 5,'!H295</f>
        <v>0</v>
      </c>
      <c r="I839" s="70">
        <f>'прил 5,'!I295</f>
        <v>0</v>
      </c>
      <c r="J839" s="1"/>
    </row>
    <row r="840" spans="1:10" ht="25.5">
      <c r="A840" s="16" t="s">
        <v>867</v>
      </c>
      <c r="B840" s="14">
        <v>757</v>
      </c>
      <c r="C840" s="15" t="s">
        <v>44</v>
      </c>
      <c r="D840" s="15" t="s">
        <v>19</v>
      </c>
      <c r="E840" s="15" t="s">
        <v>866</v>
      </c>
      <c r="F840" s="15"/>
      <c r="G840" s="70">
        <f>G841</f>
        <v>0</v>
      </c>
      <c r="H840" s="70">
        <f t="shared" ref="H840:I840" si="233">H841</f>
        <v>8063.23</v>
      </c>
      <c r="I840" s="70">
        <f t="shared" si="233"/>
        <v>12546</v>
      </c>
      <c r="J840" s="1"/>
    </row>
    <row r="841" spans="1:10" ht="25.5">
      <c r="A841" s="16" t="s">
        <v>30</v>
      </c>
      <c r="B841" s="14">
        <v>757</v>
      </c>
      <c r="C841" s="15" t="s">
        <v>44</v>
      </c>
      <c r="D841" s="15" t="s">
        <v>19</v>
      </c>
      <c r="E841" s="15" t="s">
        <v>866</v>
      </c>
      <c r="F841" s="15" t="s">
        <v>31</v>
      </c>
      <c r="G841" s="70">
        <f>G842</f>
        <v>0</v>
      </c>
      <c r="H841" s="70">
        <f>H842</f>
        <v>8063.23</v>
      </c>
      <c r="I841" s="70">
        <f>I842</f>
        <v>12546</v>
      </c>
      <c r="J841" s="1"/>
    </row>
    <row r="842" spans="1:10" ht="19.5" customHeight="1">
      <c r="A842" s="16" t="s">
        <v>32</v>
      </c>
      <c r="B842" s="14">
        <v>757</v>
      </c>
      <c r="C842" s="15" t="s">
        <v>44</v>
      </c>
      <c r="D842" s="15" t="s">
        <v>19</v>
      </c>
      <c r="E842" s="15" t="s">
        <v>866</v>
      </c>
      <c r="F842" s="15" t="s">
        <v>33</v>
      </c>
      <c r="G842" s="70">
        <f>'прил 5,'!G298</f>
        <v>0</v>
      </c>
      <c r="H842" s="70">
        <f>'прил 5,'!H298</f>
        <v>8063.23</v>
      </c>
      <c r="I842" s="70">
        <f>'прил 5,'!I298</f>
        <v>12546</v>
      </c>
      <c r="J842" s="1"/>
    </row>
    <row r="843" spans="1:10" ht="25.5">
      <c r="A843" s="16" t="s">
        <v>856</v>
      </c>
      <c r="B843" s="14">
        <v>757</v>
      </c>
      <c r="C843" s="15" t="s">
        <v>26</v>
      </c>
      <c r="D843" s="15" t="s">
        <v>70</v>
      </c>
      <c r="E843" s="15" t="s">
        <v>868</v>
      </c>
      <c r="F843" s="15"/>
      <c r="G843" s="70">
        <f>G844</f>
        <v>611472.11</v>
      </c>
      <c r="H843" s="70">
        <f t="shared" ref="H843:I843" si="234">H844</f>
        <v>822400</v>
      </c>
      <c r="I843" s="70">
        <f t="shared" si="234"/>
        <v>822400</v>
      </c>
      <c r="J843" s="1"/>
    </row>
    <row r="844" spans="1:10" ht="25.5">
      <c r="A844" s="16" t="s">
        <v>30</v>
      </c>
      <c r="B844" s="14">
        <v>757</v>
      </c>
      <c r="C844" s="15" t="s">
        <v>26</v>
      </c>
      <c r="D844" s="15" t="s">
        <v>70</v>
      </c>
      <c r="E844" s="15" t="s">
        <v>868</v>
      </c>
      <c r="F844" s="15" t="s">
        <v>31</v>
      </c>
      <c r="G844" s="70">
        <f>G845</f>
        <v>611472.11</v>
      </c>
      <c r="H844" s="70">
        <f>H845</f>
        <v>822400</v>
      </c>
      <c r="I844" s="70">
        <f>I845</f>
        <v>822400</v>
      </c>
      <c r="J844" s="1"/>
    </row>
    <row r="845" spans="1:10" ht="19.5" customHeight="1">
      <c r="A845" s="16" t="s">
        <v>32</v>
      </c>
      <c r="B845" s="14">
        <v>757</v>
      </c>
      <c r="C845" s="15" t="s">
        <v>26</v>
      </c>
      <c r="D845" s="15" t="s">
        <v>70</v>
      </c>
      <c r="E845" s="15" t="s">
        <v>868</v>
      </c>
      <c r="F845" s="15" t="s">
        <v>33</v>
      </c>
      <c r="G845" s="70">
        <f>'прил 5,'!G49+'прил 5,'!G274</f>
        <v>611472.11</v>
      </c>
      <c r="H845" s="70">
        <f>'прил 5,'!H49+'прил 5,'!H274</f>
        <v>822400</v>
      </c>
      <c r="I845" s="70">
        <f>'прил 5,'!I49+'прил 5,'!I274</f>
        <v>822400</v>
      </c>
      <c r="J845" s="1"/>
    </row>
    <row r="846" spans="1:10" ht="25.5">
      <c r="A846" s="16" t="s">
        <v>871</v>
      </c>
      <c r="B846" s="14">
        <v>757</v>
      </c>
      <c r="C846" s="15" t="s">
        <v>44</v>
      </c>
      <c r="D846" s="15" t="s">
        <v>19</v>
      </c>
      <c r="E846" s="15" t="s">
        <v>870</v>
      </c>
      <c r="F846" s="15"/>
      <c r="G846" s="70">
        <f>G847</f>
        <v>33000</v>
      </c>
      <c r="H846" s="70">
        <f t="shared" ref="H846:I846" si="235">H847</f>
        <v>0</v>
      </c>
      <c r="I846" s="70">
        <f t="shared" si="235"/>
        <v>0</v>
      </c>
      <c r="J846" s="1"/>
    </row>
    <row r="847" spans="1:10" ht="25.5">
      <c r="A847" s="16" t="s">
        <v>30</v>
      </c>
      <c r="B847" s="14">
        <v>757</v>
      </c>
      <c r="C847" s="15" t="s">
        <v>44</v>
      </c>
      <c r="D847" s="15" t="s">
        <v>19</v>
      </c>
      <c r="E847" s="15" t="s">
        <v>870</v>
      </c>
      <c r="F847" s="15" t="s">
        <v>31</v>
      </c>
      <c r="G847" s="70">
        <f>G848</f>
        <v>33000</v>
      </c>
      <c r="H847" s="70">
        <f>H848</f>
        <v>0</v>
      </c>
      <c r="I847" s="70">
        <f>I848</f>
        <v>0</v>
      </c>
      <c r="J847" s="1"/>
    </row>
    <row r="848" spans="1:10" ht="19.5" customHeight="1">
      <c r="A848" s="16" t="s">
        <v>32</v>
      </c>
      <c r="B848" s="14">
        <v>757</v>
      </c>
      <c r="C848" s="15" t="s">
        <v>44</v>
      </c>
      <c r="D848" s="15" t="s">
        <v>19</v>
      </c>
      <c r="E848" s="15" t="s">
        <v>870</v>
      </c>
      <c r="F848" s="15" t="s">
        <v>33</v>
      </c>
      <c r="G848" s="70">
        <f>'прил 5,'!G301</f>
        <v>33000</v>
      </c>
      <c r="H848" s="70">
        <v>0</v>
      </c>
      <c r="I848" s="70">
        <v>0</v>
      </c>
      <c r="J848" s="1"/>
    </row>
    <row r="849" spans="1:20" s="90" customFormat="1" ht="37.5" hidden="1" customHeight="1">
      <c r="A849" s="82" t="s">
        <v>1094</v>
      </c>
      <c r="B849" s="149">
        <v>757</v>
      </c>
      <c r="C849" s="84" t="s">
        <v>44</v>
      </c>
      <c r="D849" s="84" t="s">
        <v>19</v>
      </c>
      <c r="E849" s="84" t="s">
        <v>872</v>
      </c>
      <c r="F849" s="84"/>
      <c r="G849" s="87">
        <f>G850</f>
        <v>0</v>
      </c>
      <c r="H849" s="87">
        <f t="shared" ref="H849:I849" si="236">H850</f>
        <v>0</v>
      </c>
      <c r="I849" s="87">
        <f t="shared" si="236"/>
        <v>0</v>
      </c>
      <c r="P849" s="126"/>
      <c r="Q849" s="126"/>
      <c r="R849" s="126"/>
      <c r="S849" s="126"/>
      <c r="T849" s="126"/>
    </row>
    <row r="850" spans="1:20" s="90" customFormat="1" ht="28.5" hidden="1" customHeight="1">
      <c r="A850" s="82" t="s">
        <v>30</v>
      </c>
      <c r="B850" s="149">
        <v>757</v>
      </c>
      <c r="C850" s="84" t="s">
        <v>44</v>
      </c>
      <c r="D850" s="84" t="s">
        <v>19</v>
      </c>
      <c r="E850" s="84" t="s">
        <v>872</v>
      </c>
      <c r="F850" s="84" t="s">
        <v>31</v>
      </c>
      <c r="G850" s="87">
        <f>G851</f>
        <v>0</v>
      </c>
      <c r="H850" s="87">
        <f>H851</f>
        <v>0</v>
      </c>
      <c r="I850" s="87">
        <f>I851</f>
        <v>0</v>
      </c>
      <c r="P850" s="126"/>
      <c r="Q850" s="126"/>
      <c r="R850" s="126"/>
      <c r="S850" s="126"/>
      <c r="T850" s="126"/>
    </row>
    <row r="851" spans="1:20" s="90" customFormat="1" ht="19.5" hidden="1" customHeight="1">
      <c r="A851" s="82" t="s">
        <v>32</v>
      </c>
      <c r="B851" s="149">
        <v>757</v>
      </c>
      <c r="C851" s="84" t="s">
        <v>44</v>
      </c>
      <c r="D851" s="84" t="s">
        <v>19</v>
      </c>
      <c r="E851" s="84" t="s">
        <v>872</v>
      </c>
      <c r="F851" s="84" t="s">
        <v>33</v>
      </c>
      <c r="G851" s="87"/>
      <c r="H851" s="87">
        <v>0</v>
      </c>
      <c r="I851" s="87">
        <v>0</v>
      </c>
      <c r="P851" s="126"/>
      <c r="Q851" s="126"/>
      <c r="R851" s="126"/>
      <c r="S851" s="126"/>
      <c r="T851" s="126"/>
    </row>
    <row r="852" spans="1:20" s="90" customFormat="1" ht="71.25" customHeight="1">
      <c r="A852" s="82" t="s">
        <v>969</v>
      </c>
      <c r="B852" s="149">
        <v>757</v>
      </c>
      <c r="C852" s="84" t="s">
        <v>44</v>
      </c>
      <c r="D852" s="84" t="s">
        <v>19</v>
      </c>
      <c r="E852" s="84" t="s">
        <v>968</v>
      </c>
      <c r="F852" s="84"/>
      <c r="G852" s="87">
        <f>G853</f>
        <v>40000</v>
      </c>
      <c r="H852" s="87">
        <f t="shared" ref="H852:I852" si="237">H853</f>
        <v>0</v>
      </c>
      <c r="I852" s="87">
        <f t="shared" si="237"/>
        <v>0</v>
      </c>
      <c r="J852" s="177"/>
      <c r="K852" s="186"/>
      <c r="L852" s="186"/>
      <c r="M852" s="186"/>
      <c r="N852" s="186"/>
      <c r="O852" s="186"/>
      <c r="P852" s="186"/>
      <c r="Q852" s="186"/>
      <c r="R852" s="186"/>
    </row>
    <row r="853" spans="1:20" s="90" customFormat="1" ht="25.5">
      <c r="A853" s="82" t="s">
        <v>30</v>
      </c>
      <c r="B853" s="149">
        <v>757</v>
      </c>
      <c r="C853" s="84" t="s">
        <v>44</v>
      </c>
      <c r="D853" s="84" t="s">
        <v>19</v>
      </c>
      <c r="E853" s="84" t="s">
        <v>968</v>
      </c>
      <c r="F853" s="84" t="s">
        <v>31</v>
      </c>
      <c r="G853" s="87">
        <f>G854</f>
        <v>40000</v>
      </c>
      <c r="H853" s="87">
        <f>H854</f>
        <v>0</v>
      </c>
      <c r="I853" s="87">
        <f>I854</f>
        <v>0</v>
      </c>
      <c r="J853" s="177"/>
      <c r="K853" s="186"/>
      <c r="L853" s="186"/>
      <c r="M853" s="186"/>
      <c r="N853" s="186"/>
      <c r="O853" s="186"/>
      <c r="P853" s="186"/>
      <c r="Q853" s="186"/>
      <c r="R853" s="186"/>
    </row>
    <row r="854" spans="1:20" s="90" customFormat="1" ht="19.5" customHeight="1">
      <c r="A854" s="82" t="s">
        <v>32</v>
      </c>
      <c r="B854" s="149">
        <v>757</v>
      </c>
      <c r="C854" s="84" t="s">
        <v>44</v>
      </c>
      <c r="D854" s="84" t="s">
        <v>19</v>
      </c>
      <c r="E854" s="84" t="s">
        <v>968</v>
      </c>
      <c r="F854" s="84" t="s">
        <v>33</v>
      </c>
      <c r="G854" s="87">
        <f>'прил 5,'!G307</f>
        <v>40000</v>
      </c>
      <c r="H854" s="87">
        <v>0</v>
      </c>
      <c r="I854" s="87">
        <v>0</v>
      </c>
      <c r="J854" s="177"/>
      <c r="K854" s="186"/>
      <c r="L854" s="186"/>
      <c r="M854" s="186"/>
      <c r="N854" s="186"/>
      <c r="O854" s="186"/>
      <c r="P854" s="186"/>
      <c r="Q854" s="186"/>
      <c r="R854" s="186"/>
    </row>
    <row r="855" spans="1:20" s="90" customFormat="1" ht="38.25" hidden="1">
      <c r="A855" s="82" t="s">
        <v>860</v>
      </c>
      <c r="B855" s="149">
        <v>757</v>
      </c>
      <c r="C855" s="84" t="s">
        <v>44</v>
      </c>
      <c r="D855" s="84" t="s">
        <v>19</v>
      </c>
      <c r="E855" s="84" t="s">
        <v>872</v>
      </c>
      <c r="F855" s="84"/>
      <c r="G855" s="87">
        <f>G856</f>
        <v>0</v>
      </c>
      <c r="H855" s="87">
        <f t="shared" ref="H855:I855" si="238">H856</f>
        <v>0</v>
      </c>
      <c r="I855" s="87">
        <f t="shared" si="238"/>
        <v>0</v>
      </c>
      <c r="P855" s="126"/>
      <c r="Q855" s="126"/>
      <c r="R855" s="126"/>
      <c r="S855" s="126"/>
      <c r="T855" s="126"/>
    </row>
    <row r="856" spans="1:20" s="90" customFormat="1" ht="25.5" hidden="1">
      <c r="A856" s="82" t="s">
        <v>30</v>
      </c>
      <c r="B856" s="149">
        <v>757</v>
      </c>
      <c r="C856" s="84" t="s">
        <v>44</v>
      </c>
      <c r="D856" s="84" t="s">
        <v>19</v>
      </c>
      <c r="E856" s="84" t="s">
        <v>872</v>
      </c>
      <c r="F856" s="84" t="s">
        <v>31</v>
      </c>
      <c r="G856" s="87">
        <f>G857</f>
        <v>0</v>
      </c>
      <c r="H856" s="87">
        <f>H857</f>
        <v>0</v>
      </c>
      <c r="I856" s="87">
        <f>I857</f>
        <v>0</v>
      </c>
      <c r="P856" s="126"/>
      <c r="Q856" s="126"/>
      <c r="R856" s="126"/>
      <c r="S856" s="126"/>
      <c r="T856" s="126"/>
    </row>
    <row r="857" spans="1:20" s="90" customFormat="1" ht="19.5" hidden="1" customHeight="1">
      <c r="A857" s="82" t="s">
        <v>32</v>
      </c>
      <c r="B857" s="149">
        <v>757</v>
      </c>
      <c r="C857" s="84" t="s">
        <v>44</v>
      </c>
      <c r="D857" s="84" t="s">
        <v>19</v>
      </c>
      <c r="E857" s="84" t="s">
        <v>872</v>
      </c>
      <c r="F857" s="84" t="s">
        <v>33</v>
      </c>
      <c r="G857" s="87"/>
      <c r="H857" s="87">
        <v>0</v>
      </c>
      <c r="I857" s="87">
        <v>0</v>
      </c>
      <c r="P857" s="126"/>
      <c r="Q857" s="126"/>
      <c r="R857" s="126"/>
      <c r="S857" s="126"/>
      <c r="T857" s="126"/>
    </row>
    <row r="858" spans="1:20" s="90" customFormat="1" ht="42" customHeight="1">
      <c r="A858" s="82" t="s">
        <v>1094</v>
      </c>
      <c r="B858" s="149">
        <v>757</v>
      </c>
      <c r="C858" s="84" t="s">
        <v>44</v>
      </c>
      <c r="D858" s="84" t="s">
        <v>19</v>
      </c>
      <c r="E858" s="84" t="s">
        <v>1093</v>
      </c>
      <c r="F858" s="84"/>
      <c r="G858" s="87">
        <f>G859</f>
        <v>249623.69</v>
      </c>
      <c r="H858" s="87">
        <f t="shared" ref="H858:I858" si="239">H859</f>
        <v>0</v>
      </c>
      <c r="I858" s="87">
        <f t="shared" si="239"/>
        <v>0</v>
      </c>
      <c r="J858" s="177"/>
      <c r="K858" s="186"/>
      <c r="L858" s="186"/>
      <c r="M858" s="186"/>
      <c r="N858" s="186"/>
      <c r="O858" s="186"/>
      <c r="P858" s="186"/>
      <c r="Q858" s="186"/>
      <c r="R858" s="186"/>
    </row>
    <row r="859" spans="1:20" s="90" customFormat="1" ht="25.5">
      <c r="A859" s="82" t="s">
        <v>30</v>
      </c>
      <c r="B859" s="149">
        <v>757</v>
      </c>
      <c r="C859" s="84" t="s">
        <v>44</v>
      </c>
      <c r="D859" s="84" t="s">
        <v>19</v>
      </c>
      <c r="E859" s="84" t="s">
        <v>1093</v>
      </c>
      <c r="F859" s="84" t="s">
        <v>31</v>
      </c>
      <c r="G859" s="87">
        <f>G860</f>
        <v>249623.69</v>
      </c>
      <c r="H859" s="87">
        <f>H860</f>
        <v>0</v>
      </c>
      <c r="I859" s="87">
        <f>I860</f>
        <v>0</v>
      </c>
      <c r="J859" s="177"/>
      <c r="K859" s="186"/>
      <c r="L859" s="186"/>
      <c r="M859" s="186"/>
      <c r="N859" s="186"/>
      <c r="O859" s="186"/>
      <c r="P859" s="186"/>
      <c r="Q859" s="186"/>
      <c r="R859" s="186"/>
    </row>
    <row r="860" spans="1:20" s="90" customFormat="1" ht="19.5" customHeight="1">
      <c r="A860" s="82" t="s">
        <v>32</v>
      </c>
      <c r="B860" s="149">
        <v>757</v>
      </c>
      <c r="C860" s="84" t="s">
        <v>44</v>
      </c>
      <c r="D860" s="84" t="s">
        <v>19</v>
      </c>
      <c r="E860" s="84" t="s">
        <v>1093</v>
      </c>
      <c r="F860" s="84" t="s">
        <v>33</v>
      </c>
      <c r="G860" s="87">
        <f>'прил 5,'!G310</f>
        <v>249623.69</v>
      </c>
      <c r="H860" s="87">
        <v>0</v>
      </c>
      <c r="I860" s="87">
        <v>0</v>
      </c>
      <c r="J860" s="177"/>
      <c r="K860" s="186"/>
      <c r="L860" s="186"/>
      <c r="M860" s="186"/>
      <c r="N860" s="186"/>
      <c r="O860" s="186"/>
      <c r="P860" s="186"/>
      <c r="Q860" s="186"/>
      <c r="R860" s="186"/>
    </row>
    <row r="861" spans="1:20" s="90" customFormat="1" ht="42" customHeight="1">
      <c r="A861" s="82" t="s">
        <v>1101</v>
      </c>
      <c r="B861" s="149">
        <v>757</v>
      </c>
      <c r="C861" s="84" t="s">
        <v>44</v>
      </c>
      <c r="D861" s="84" t="s">
        <v>19</v>
      </c>
      <c r="E861" s="84" t="s">
        <v>1095</v>
      </c>
      <c r="F861" s="84"/>
      <c r="G861" s="87">
        <f>G862</f>
        <v>0</v>
      </c>
      <c r="H861" s="87">
        <f t="shared" ref="H861:I861" si="240">H862</f>
        <v>0</v>
      </c>
      <c r="I861" s="87">
        <f t="shared" si="240"/>
        <v>0</v>
      </c>
      <c r="J861" s="177"/>
      <c r="K861" s="186"/>
      <c r="L861" s="186"/>
      <c r="M861" s="186"/>
      <c r="N861" s="186"/>
      <c r="O861" s="186"/>
      <c r="P861" s="186"/>
      <c r="Q861" s="186"/>
      <c r="R861" s="186"/>
    </row>
    <row r="862" spans="1:20" s="90" customFormat="1" ht="25.5">
      <c r="A862" s="82" t="s">
        <v>30</v>
      </c>
      <c r="B862" s="149">
        <v>757</v>
      </c>
      <c r="C862" s="84" t="s">
        <v>44</v>
      </c>
      <c r="D862" s="84" t="s">
        <v>19</v>
      </c>
      <c r="E862" s="84" t="s">
        <v>1095</v>
      </c>
      <c r="F862" s="84" t="s">
        <v>31</v>
      </c>
      <c r="G862" s="87">
        <f>G863</f>
        <v>0</v>
      </c>
      <c r="H862" s="87">
        <f>H863</f>
        <v>0</v>
      </c>
      <c r="I862" s="87">
        <f>I863</f>
        <v>0</v>
      </c>
      <c r="J862" s="177"/>
      <c r="K862" s="186"/>
      <c r="L862" s="186"/>
      <c r="M862" s="186"/>
      <c r="N862" s="186"/>
      <c r="O862" s="186"/>
      <c r="P862" s="186"/>
      <c r="Q862" s="186"/>
      <c r="R862" s="186"/>
    </row>
    <row r="863" spans="1:20" s="90" customFormat="1" ht="19.5" customHeight="1">
      <c r="A863" s="82" t="s">
        <v>32</v>
      </c>
      <c r="B863" s="149">
        <v>757</v>
      </c>
      <c r="C863" s="84" t="s">
        <v>44</v>
      </c>
      <c r="D863" s="84" t="s">
        <v>19</v>
      </c>
      <c r="E863" s="84" t="s">
        <v>1095</v>
      </c>
      <c r="F863" s="84" t="s">
        <v>33</v>
      </c>
      <c r="G863" s="87"/>
      <c r="H863" s="87">
        <v>0</v>
      </c>
      <c r="I863" s="87">
        <v>0</v>
      </c>
      <c r="J863" s="177"/>
      <c r="K863" s="186"/>
      <c r="L863" s="186"/>
      <c r="M863" s="186"/>
      <c r="N863" s="186"/>
      <c r="O863" s="186"/>
      <c r="P863" s="186"/>
      <c r="Q863" s="186"/>
      <c r="R863" s="186"/>
    </row>
    <row r="864" spans="1:20" s="90" customFormat="1" ht="42" customHeight="1">
      <c r="A864" s="82" t="s">
        <v>1097</v>
      </c>
      <c r="B864" s="149">
        <v>757</v>
      </c>
      <c r="C864" s="84" t="s">
        <v>44</v>
      </c>
      <c r="D864" s="84" t="s">
        <v>19</v>
      </c>
      <c r="E864" s="84" t="s">
        <v>1096</v>
      </c>
      <c r="F864" s="84"/>
      <c r="G864" s="87">
        <f>G865</f>
        <v>0</v>
      </c>
      <c r="H864" s="87">
        <f t="shared" ref="H864:I864" si="241">H865</f>
        <v>462570</v>
      </c>
      <c r="I864" s="87">
        <f t="shared" si="241"/>
        <v>0</v>
      </c>
      <c r="J864" s="177"/>
      <c r="K864" s="186"/>
      <c r="L864" s="186"/>
      <c r="M864" s="186"/>
      <c r="N864" s="186"/>
      <c r="O864" s="186"/>
      <c r="P864" s="186"/>
      <c r="Q864" s="186"/>
      <c r="R864" s="186"/>
    </row>
    <row r="865" spans="1:18" s="90" customFormat="1" ht="25.5">
      <c r="A865" s="82" t="s">
        <v>30</v>
      </c>
      <c r="B865" s="149">
        <v>757</v>
      </c>
      <c r="C865" s="84" t="s">
        <v>44</v>
      </c>
      <c r="D865" s="84" t="s">
        <v>19</v>
      </c>
      <c r="E865" s="84" t="s">
        <v>1096</v>
      </c>
      <c r="F865" s="84" t="s">
        <v>31</v>
      </c>
      <c r="G865" s="87">
        <f>G866</f>
        <v>0</v>
      </c>
      <c r="H865" s="87">
        <f>H866</f>
        <v>462570</v>
      </c>
      <c r="I865" s="87">
        <f>I866</f>
        <v>0</v>
      </c>
      <c r="J865" s="177"/>
      <c r="K865" s="186"/>
      <c r="L865" s="186"/>
      <c r="M865" s="186"/>
      <c r="N865" s="186"/>
      <c r="O865" s="186"/>
      <c r="P865" s="186"/>
      <c r="Q865" s="186"/>
      <c r="R865" s="186"/>
    </row>
    <row r="866" spans="1:18" s="90" customFormat="1" ht="19.5" customHeight="1">
      <c r="A866" s="82" t="s">
        <v>32</v>
      </c>
      <c r="B866" s="149">
        <v>757</v>
      </c>
      <c r="C866" s="84" t="s">
        <v>44</v>
      </c>
      <c r="D866" s="84" t="s">
        <v>19</v>
      </c>
      <c r="E866" s="84" t="s">
        <v>1096</v>
      </c>
      <c r="F866" s="84" t="s">
        <v>33</v>
      </c>
      <c r="G866" s="87">
        <v>0</v>
      </c>
      <c r="H866" s="87">
        <f>'прил 5,'!H316</f>
        <v>462570</v>
      </c>
      <c r="I866" s="87"/>
      <c r="J866" s="177"/>
      <c r="K866" s="186"/>
      <c r="L866" s="186"/>
      <c r="M866" s="186"/>
      <c r="N866" s="186"/>
      <c r="O866" s="186"/>
      <c r="P866" s="186"/>
      <c r="Q866" s="186"/>
      <c r="R866" s="186"/>
    </row>
    <row r="867" spans="1:18" s="90" customFormat="1" ht="42" customHeight="1">
      <c r="A867" s="82" t="s">
        <v>1099</v>
      </c>
      <c r="B867" s="149">
        <v>757</v>
      </c>
      <c r="C867" s="84" t="s">
        <v>44</v>
      </c>
      <c r="D867" s="84" t="s">
        <v>19</v>
      </c>
      <c r="E867" s="84" t="s">
        <v>1100</v>
      </c>
      <c r="F867" s="84"/>
      <c r="G867" s="87">
        <f>G868</f>
        <v>60980</v>
      </c>
      <c r="H867" s="87">
        <f t="shared" ref="H867:I867" si="242">H868</f>
        <v>0</v>
      </c>
      <c r="I867" s="87">
        <f t="shared" si="242"/>
        <v>0</v>
      </c>
      <c r="J867" s="177"/>
      <c r="K867" s="186"/>
      <c r="L867" s="186"/>
      <c r="M867" s="186"/>
      <c r="N867" s="186"/>
      <c r="O867" s="186"/>
      <c r="P867" s="186"/>
      <c r="Q867" s="186"/>
      <c r="R867" s="186"/>
    </row>
    <row r="868" spans="1:18" s="90" customFormat="1" ht="25.5">
      <c r="A868" s="82" t="s">
        <v>30</v>
      </c>
      <c r="B868" s="149">
        <v>757</v>
      </c>
      <c r="C868" s="84" t="s">
        <v>44</v>
      </c>
      <c r="D868" s="84" t="s">
        <v>19</v>
      </c>
      <c r="E868" s="84" t="s">
        <v>1100</v>
      </c>
      <c r="F868" s="84" t="s">
        <v>31</v>
      </c>
      <c r="G868" s="87">
        <f>G869</f>
        <v>60980</v>
      </c>
      <c r="H868" s="87">
        <f>H869</f>
        <v>0</v>
      </c>
      <c r="I868" s="87">
        <f>I869</f>
        <v>0</v>
      </c>
      <c r="J868" s="177"/>
      <c r="K868" s="186"/>
      <c r="L868" s="186"/>
      <c r="M868" s="186"/>
      <c r="N868" s="186"/>
      <c r="O868" s="186"/>
      <c r="P868" s="186"/>
      <c r="Q868" s="186"/>
      <c r="R868" s="186"/>
    </row>
    <row r="869" spans="1:18" s="90" customFormat="1" ht="19.5" customHeight="1">
      <c r="A869" s="82" t="s">
        <v>32</v>
      </c>
      <c r="B869" s="149">
        <v>757</v>
      </c>
      <c r="C869" s="84" t="s">
        <v>44</v>
      </c>
      <c r="D869" s="84" t="s">
        <v>19</v>
      </c>
      <c r="E869" s="84" t="s">
        <v>1100</v>
      </c>
      <c r="F869" s="84" t="s">
        <v>33</v>
      </c>
      <c r="G869" s="87">
        <f>'прил 5,'!G319</f>
        <v>60980</v>
      </c>
      <c r="H869" s="87"/>
      <c r="I869" s="87"/>
      <c r="J869" s="177"/>
      <c r="K869" s="186"/>
      <c r="L869" s="186"/>
      <c r="M869" s="186"/>
      <c r="N869" s="186"/>
      <c r="O869" s="186"/>
      <c r="P869" s="186"/>
      <c r="Q869" s="186"/>
      <c r="R869" s="186"/>
    </row>
    <row r="870" spans="1:18" s="90" customFormat="1" ht="35.25" customHeight="1">
      <c r="A870" s="82" t="s">
        <v>1137</v>
      </c>
      <c r="B870" s="149">
        <v>757</v>
      </c>
      <c r="C870" s="84" t="s">
        <v>44</v>
      </c>
      <c r="D870" s="84" t="s">
        <v>19</v>
      </c>
      <c r="E870" s="84" t="s">
        <v>1136</v>
      </c>
      <c r="F870" s="84"/>
      <c r="G870" s="87">
        <f>G871</f>
        <v>76345</v>
      </c>
      <c r="H870" s="87">
        <f t="shared" ref="H870:I870" si="243">H871</f>
        <v>0</v>
      </c>
      <c r="I870" s="87">
        <f t="shared" si="243"/>
        <v>0</v>
      </c>
      <c r="J870" s="177"/>
      <c r="K870" s="186"/>
      <c r="L870" s="186"/>
      <c r="M870" s="186"/>
      <c r="N870" s="186"/>
      <c r="O870" s="186"/>
      <c r="P870" s="186"/>
      <c r="Q870" s="186"/>
      <c r="R870" s="186"/>
    </row>
    <row r="871" spans="1:18" s="90" customFormat="1" ht="25.5">
      <c r="A871" s="82" t="s">
        <v>30</v>
      </c>
      <c r="B871" s="149">
        <v>757</v>
      </c>
      <c r="C871" s="84" t="s">
        <v>44</v>
      </c>
      <c r="D871" s="84" t="s">
        <v>19</v>
      </c>
      <c r="E871" s="84" t="s">
        <v>1136</v>
      </c>
      <c r="F871" s="84" t="s">
        <v>31</v>
      </c>
      <c r="G871" s="87">
        <f>G872</f>
        <v>76345</v>
      </c>
      <c r="H871" s="87">
        <f>H872</f>
        <v>0</v>
      </c>
      <c r="I871" s="87">
        <f>I872</f>
        <v>0</v>
      </c>
      <c r="J871" s="177"/>
      <c r="K871" s="186"/>
      <c r="L871" s="186"/>
      <c r="M871" s="186"/>
      <c r="N871" s="186"/>
      <c r="O871" s="186"/>
      <c r="P871" s="186"/>
      <c r="Q871" s="186"/>
      <c r="R871" s="186"/>
    </row>
    <row r="872" spans="1:18" s="90" customFormat="1" ht="19.5" customHeight="1">
      <c r="A872" s="82" t="s">
        <v>32</v>
      </c>
      <c r="B872" s="149">
        <v>757</v>
      </c>
      <c r="C872" s="84" t="s">
        <v>44</v>
      </c>
      <c r="D872" s="84" t="s">
        <v>19</v>
      </c>
      <c r="E872" s="84" t="s">
        <v>1136</v>
      </c>
      <c r="F872" s="84" t="s">
        <v>33</v>
      </c>
      <c r="G872" s="87">
        <f>'прил 5,'!G322</f>
        <v>76345</v>
      </c>
      <c r="H872" s="87"/>
      <c r="I872" s="87"/>
      <c r="J872" s="177"/>
      <c r="K872" s="186"/>
      <c r="L872" s="186"/>
      <c r="M872" s="186"/>
      <c r="N872" s="186"/>
      <c r="O872" s="186"/>
      <c r="P872" s="186"/>
      <c r="Q872" s="186"/>
      <c r="R872" s="186"/>
    </row>
    <row r="873" spans="1:18" s="90" customFormat="1" ht="42" customHeight="1">
      <c r="A873" s="82" t="s">
        <v>1123</v>
      </c>
      <c r="B873" s="149">
        <v>757</v>
      </c>
      <c r="C873" s="84" t="s">
        <v>44</v>
      </c>
      <c r="D873" s="84" t="s">
        <v>19</v>
      </c>
      <c r="E873" s="84" t="s">
        <v>1124</v>
      </c>
      <c r="F873" s="84"/>
      <c r="G873" s="87">
        <f>G874</f>
        <v>10000</v>
      </c>
      <c r="H873" s="87">
        <f t="shared" ref="H873:I873" si="244">H874</f>
        <v>0</v>
      </c>
      <c r="I873" s="87">
        <f t="shared" si="244"/>
        <v>0</v>
      </c>
      <c r="J873" s="177"/>
      <c r="K873" s="186"/>
      <c r="L873" s="186"/>
      <c r="M873" s="186"/>
      <c r="N873" s="186"/>
      <c r="O873" s="186"/>
      <c r="P873" s="186"/>
      <c r="Q873" s="186"/>
      <c r="R873" s="186"/>
    </row>
    <row r="874" spans="1:18" s="90" customFormat="1" ht="25.5">
      <c r="A874" s="82" t="s">
        <v>30</v>
      </c>
      <c r="B874" s="149">
        <v>757</v>
      </c>
      <c r="C874" s="84" t="s">
        <v>44</v>
      </c>
      <c r="D874" s="84" t="s">
        <v>19</v>
      </c>
      <c r="E874" s="84" t="s">
        <v>1124</v>
      </c>
      <c r="F874" s="84" t="s">
        <v>31</v>
      </c>
      <c r="G874" s="87">
        <f>G875</f>
        <v>10000</v>
      </c>
      <c r="H874" s="87">
        <f>H875</f>
        <v>0</v>
      </c>
      <c r="I874" s="87">
        <f>I875</f>
        <v>0</v>
      </c>
      <c r="J874" s="177"/>
      <c r="K874" s="186"/>
      <c r="L874" s="186"/>
      <c r="M874" s="186"/>
      <c r="N874" s="186"/>
      <c r="O874" s="186"/>
      <c r="P874" s="186"/>
      <c r="Q874" s="186"/>
      <c r="R874" s="186"/>
    </row>
    <row r="875" spans="1:18" s="90" customFormat="1" ht="19.5" customHeight="1">
      <c r="A875" s="82" t="s">
        <v>32</v>
      </c>
      <c r="B875" s="149">
        <v>757</v>
      </c>
      <c r="C875" s="84" t="s">
        <v>44</v>
      </c>
      <c r="D875" s="84" t="s">
        <v>19</v>
      </c>
      <c r="E875" s="84" t="s">
        <v>1124</v>
      </c>
      <c r="F875" s="84" t="s">
        <v>33</v>
      </c>
      <c r="G875" s="87">
        <f>'прил 5,'!G325</f>
        <v>10000</v>
      </c>
      <c r="H875" s="87">
        <v>0</v>
      </c>
      <c r="I875" s="87">
        <v>0</v>
      </c>
      <c r="J875" s="177"/>
      <c r="K875" s="186"/>
      <c r="L875" s="186"/>
      <c r="M875" s="186"/>
      <c r="N875" s="186"/>
      <c r="O875" s="186"/>
      <c r="P875" s="186"/>
      <c r="Q875" s="186"/>
      <c r="R875" s="186"/>
    </row>
    <row r="876" spans="1:18" ht="60" hidden="1" customHeight="1">
      <c r="A876" s="16" t="s">
        <v>669</v>
      </c>
      <c r="B876" s="14">
        <v>757</v>
      </c>
      <c r="C876" s="15" t="s">
        <v>26</v>
      </c>
      <c r="D876" s="15" t="s">
        <v>70</v>
      </c>
      <c r="E876" s="15" t="s">
        <v>670</v>
      </c>
      <c r="F876" s="15"/>
      <c r="G876" s="70">
        <f>G877</f>
        <v>0</v>
      </c>
      <c r="H876" s="70">
        <f t="shared" ref="H876:K877" si="245">H877</f>
        <v>0</v>
      </c>
      <c r="I876" s="70">
        <f t="shared" si="245"/>
        <v>0</v>
      </c>
      <c r="J876" s="1"/>
    </row>
    <row r="877" spans="1:18" ht="60" hidden="1" customHeight="1">
      <c r="A877" s="16" t="s">
        <v>30</v>
      </c>
      <c r="B877" s="14">
        <v>757</v>
      </c>
      <c r="C877" s="15" t="s">
        <v>26</v>
      </c>
      <c r="D877" s="15" t="s">
        <v>70</v>
      </c>
      <c r="E877" s="15" t="s">
        <v>670</v>
      </c>
      <c r="F877" s="15" t="s">
        <v>31</v>
      </c>
      <c r="G877" s="70">
        <f>G878</f>
        <v>0</v>
      </c>
      <c r="H877" s="70">
        <f t="shared" si="245"/>
        <v>0</v>
      </c>
      <c r="I877" s="70">
        <f t="shared" si="245"/>
        <v>0</v>
      </c>
      <c r="J877" s="70">
        <f t="shared" si="245"/>
        <v>0</v>
      </c>
      <c r="K877" s="70">
        <f t="shared" si="245"/>
        <v>0</v>
      </c>
    </row>
    <row r="878" spans="1:18" ht="60" hidden="1" customHeight="1">
      <c r="A878" s="16" t="s">
        <v>32</v>
      </c>
      <c r="B878" s="14">
        <v>757</v>
      </c>
      <c r="C878" s="15" t="s">
        <v>26</v>
      </c>
      <c r="D878" s="15" t="s">
        <v>70</v>
      </c>
      <c r="E878" s="15" t="s">
        <v>670</v>
      </c>
      <c r="F878" s="15" t="s">
        <v>33</v>
      </c>
      <c r="G878" s="70"/>
      <c r="H878" s="70"/>
      <c r="I878" s="70"/>
      <c r="J878" s="1"/>
    </row>
    <row r="879" spans="1:18" ht="36" hidden="1" customHeight="1">
      <c r="A879" s="16" t="s">
        <v>544</v>
      </c>
      <c r="B879" s="14">
        <v>757</v>
      </c>
      <c r="C879" s="15" t="s">
        <v>26</v>
      </c>
      <c r="D879" s="15" t="s">
        <v>70</v>
      </c>
      <c r="E879" s="15" t="s">
        <v>545</v>
      </c>
      <c r="F879" s="15"/>
      <c r="G879" s="87">
        <f>G881</f>
        <v>0</v>
      </c>
      <c r="H879" s="8">
        <v>0</v>
      </c>
      <c r="I879" s="8">
        <v>0</v>
      </c>
      <c r="J879" s="1"/>
    </row>
    <row r="880" spans="1:18" ht="36" hidden="1" customHeight="1">
      <c r="A880" s="16" t="s">
        <v>30</v>
      </c>
      <c r="B880" s="14">
        <v>757</v>
      </c>
      <c r="C880" s="15" t="s">
        <v>26</v>
      </c>
      <c r="D880" s="15" t="s">
        <v>70</v>
      </c>
      <c r="E880" s="15" t="s">
        <v>545</v>
      </c>
      <c r="F880" s="15" t="s">
        <v>31</v>
      </c>
      <c r="G880" s="87">
        <f>G881</f>
        <v>0</v>
      </c>
      <c r="H880" s="8">
        <v>0</v>
      </c>
      <c r="I880" s="8">
        <v>0</v>
      </c>
      <c r="J880" s="1"/>
    </row>
    <row r="881" spans="1:18" ht="19.5" hidden="1" customHeight="1">
      <c r="A881" s="16" t="s">
        <v>32</v>
      </c>
      <c r="B881" s="14">
        <v>757</v>
      </c>
      <c r="C881" s="15" t="s">
        <v>26</v>
      </c>
      <c r="D881" s="15" t="s">
        <v>70</v>
      </c>
      <c r="E881" s="15" t="s">
        <v>545</v>
      </c>
      <c r="F881" s="15" t="s">
        <v>33</v>
      </c>
      <c r="G881" s="87">
        <f>'прил 5,'!G55+'прил 5,'!G222</f>
        <v>0</v>
      </c>
      <c r="H881" s="8">
        <v>0</v>
      </c>
      <c r="I881" s="8">
        <v>0</v>
      </c>
      <c r="J881" s="1"/>
    </row>
    <row r="882" spans="1:18" ht="48" hidden="1" customHeight="1">
      <c r="A882" s="80" t="s">
        <v>609</v>
      </c>
      <c r="B882" s="14">
        <v>757</v>
      </c>
      <c r="C882" s="15" t="s">
        <v>44</v>
      </c>
      <c r="D882" s="15" t="s">
        <v>19</v>
      </c>
      <c r="E882" s="15" t="s">
        <v>608</v>
      </c>
      <c r="F882" s="14"/>
      <c r="G882" s="87">
        <f t="shared" ref="G882:I883" si="246">G883</f>
        <v>0</v>
      </c>
      <c r="H882" s="70">
        <f t="shared" si="246"/>
        <v>0</v>
      </c>
      <c r="I882" s="70">
        <f t="shared" si="246"/>
        <v>0</v>
      </c>
      <c r="J882" s="1"/>
    </row>
    <row r="883" spans="1:18" ht="25.5" hidden="1" customHeight="1">
      <c r="A883" s="16" t="s">
        <v>30</v>
      </c>
      <c r="B883" s="14">
        <v>757</v>
      </c>
      <c r="C883" s="15" t="s">
        <v>44</v>
      </c>
      <c r="D883" s="15" t="s">
        <v>19</v>
      </c>
      <c r="E883" s="15" t="s">
        <v>608</v>
      </c>
      <c r="F883" s="15" t="s">
        <v>31</v>
      </c>
      <c r="G883" s="95">
        <f t="shared" si="246"/>
        <v>0</v>
      </c>
      <c r="H883" s="25">
        <f t="shared" si="246"/>
        <v>0</v>
      </c>
      <c r="I883" s="25">
        <f t="shared" si="246"/>
        <v>0</v>
      </c>
      <c r="J883" s="1"/>
    </row>
    <row r="884" spans="1:18" ht="12.75" hidden="1" customHeight="1">
      <c r="A884" s="145" t="s">
        <v>32</v>
      </c>
      <c r="B884" s="14">
        <v>757</v>
      </c>
      <c r="C884" s="15" t="s">
        <v>44</v>
      </c>
      <c r="D884" s="15" t="s">
        <v>19</v>
      </c>
      <c r="E884" s="15" t="s">
        <v>608</v>
      </c>
      <c r="F884" s="15" t="s">
        <v>33</v>
      </c>
      <c r="G884" s="95"/>
      <c r="H884" s="25">
        <f>'прил 5,'!H156</f>
        <v>0</v>
      </c>
      <c r="I884" s="25"/>
      <c r="J884" s="1"/>
    </row>
    <row r="885" spans="1:18" ht="31.5" hidden="1" customHeight="1">
      <c r="A885" s="143" t="s">
        <v>820</v>
      </c>
      <c r="B885" s="14">
        <v>757</v>
      </c>
      <c r="C885" s="15" t="s">
        <v>44</v>
      </c>
      <c r="D885" s="15" t="s">
        <v>19</v>
      </c>
      <c r="E885" s="15" t="s">
        <v>750</v>
      </c>
      <c r="F885" s="14"/>
      <c r="G885" s="8">
        <f>G886</f>
        <v>200000</v>
      </c>
      <c r="H885" s="8">
        <f t="shared" ref="H885:I885" si="247">H886</f>
        <v>0</v>
      </c>
      <c r="I885" s="8">
        <f t="shared" si="247"/>
        <v>0</v>
      </c>
      <c r="J885" s="1"/>
    </row>
    <row r="886" spans="1:18" ht="49.5" hidden="1" customHeight="1">
      <c r="A886" s="82" t="s">
        <v>30</v>
      </c>
      <c r="B886" s="14">
        <v>757</v>
      </c>
      <c r="C886" s="15" t="s">
        <v>44</v>
      </c>
      <c r="D886" s="15" t="s">
        <v>19</v>
      </c>
      <c r="E886" s="15" t="s">
        <v>750</v>
      </c>
      <c r="F886" s="15" t="s">
        <v>31</v>
      </c>
      <c r="G886" s="8">
        <f>G887</f>
        <v>200000</v>
      </c>
      <c r="H886" s="8">
        <f>H887</f>
        <v>0</v>
      </c>
      <c r="I886" s="8">
        <f>I887</f>
        <v>0</v>
      </c>
      <c r="J886" s="1"/>
    </row>
    <row r="887" spans="1:18" ht="12.75" hidden="1" customHeight="1">
      <c r="A887" s="82" t="s">
        <v>32</v>
      </c>
      <c r="B887" s="14">
        <v>757</v>
      </c>
      <c r="C887" s="15" t="s">
        <v>44</v>
      </c>
      <c r="D887" s="15" t="s">
        <v>19</v>
      </c>
      <c r="E887" s="15" t="s">
        <v>750</v>
      </c>
      <c r="F887" s="15" t="s">
        <v>33</v>
      </c>
      <c r="G887" s="8">
        <f>'прил 5,'!G194</f>
        <v>200000</v>
      </c>
      <c r="H887" s="8"/>
      <c r="I887" s="8"/>
      <c r="J887" s="1"/>
    </row>
    <row r="888" spans="1:18" ht="31.5" hidden="1" customHeight="1">
      <c r="A888" s="143" t="s">
        <v>755</v>
      </c>
      <c r="B888" s="14">
        <v>757</v>
      </c>
      <c r="C888" s="15" t="s">
        <v>44</v>
      </c>
      <c r="D888" s="15" t="s">
        <v>19</v>
      </c>
      <c r="E888" s="15" t="s">
        <v>749</v>
      </c>
      <c r="F888" s="14"/>
      <c r="G888" s="8">
        <f>G889</f>
        <v>0</v>
      </c>
      <c r="H888" s="8">
        <f t="shared" ref="H888:I888" si="248">H889</f>
        <v>0</v>
      </c>
      <c r="I888" s="8">
        <f t="shared" si="248"/>
        <v>0</v>
      </c>
      <c r="J888" s="1"/>
    </row>
    <row r="889" spans="1:18" ht="49.5" hidden="1" customHeight="1">
      <c r="A889" s="82" t="s">
        <v>30</v>
      </c>
      <c r="B889" s="14">
        <v>757</v>
      </c>
      <c r="C889" s="15" t="s">
        <v>44</v>
      </c>
      <c r="D889" s="15" t="s">
        <v>19</v>
      </c>
      <c r="E889" s="15" t="s">
        <v>749</v>
      </c>
      <c r="F889" s="15" t="s">
        <v>31</v>
      </c>
      <c r="G889" s="8">
        <f>G890</f>
        <v>0</v>
      </c>
      <c r="H889" s="8">
        <f>H890</f>
        <v>0</v>
      </c>
      <c r="I889" s="8">
        <f>I890</f>
        <v>0</v>
      </c>
      <c r="J889" s="1"/>
    </row>
    <row r="890" spans="1:18" ht="12.75" hidden="1" customHeight="1">
      <c r="A890" s="82" t="s">
        <v>32</v>
      </c>
      <c r="B890" s="14">
        <v>757</v>
      </c>
      <c r="C890" s="15" t="s">
        <v>44</v>
      </c>
      <c r="D890" s="15" t="s">
        <v>19</v>
      </c>
      <c r="E890" s="15" t="s">
        <v>749</v>
      </c>
      <c r="F890" s="15" t="s">
        <v>33</v>
      </c>
      <c r="G890" s="8">
        <f>'прил 5,'!G197</f>
        <v>0</v>
      </c>
      <c r="H890" s="8">
        <v>0</v>
      </c>
      <c r="I890" s="8">
        <v>0</v>
      </c>
      <c r="J890" s="1"/>
    </row>
    <row r="891" spans="1:18" ht="27.75" hidden="1" customHeight="1">
      <c r="A891" s="16" t="s">
        <v>752</v>
      </c>
      <c r="B891" s="14">
        <v>757</v>
      </c>
      <c r="C891" s="15" t="s">
        <v>26</v>
      </c>
      <c r="D891" s="15" t="s">
        <v>70</v>
      </c>
      <c r="E891" s="15" t="s">
        <v>751</v>
      </c>
      <c r="F891" s="15"/>
      <c r="G891" s="70">
        <f>G892</f>
        <v>0</v>
      </c>
      <c r="H891" s="70">
        <f t="shared" ref="H891:K892" si="249">H892</f>
        <v>0</v>
      </c>
      <c r="I891" s="70">
        <f t="shared" si="249"/>
        <v>0</v>
      </c>
      <c r="J891" s="1"/>
    </row>
    <row r="892" spans="1:18" ht="45.75" hidden="1" customHeight="1">
      <c r="A892" s="16" t="s">
        <v>30</v>
      </c>
      <c r="B892" s="14">
        <v>757</v>
      </c>
      <c r="C892" s="15" t="s">
        <v>26</v>
      </c>
      <c r="D892" s="15" t="s">
        <v>70</v>
      </c>
      <c r="E892" s="15" t="s">
        <v>751</v>
      </c>
      <c r="F892" s="15" t="s">
        <v>31</v>
      </c>
      <c r="G892" s="70">
        <f>G893</f>
        <v>0</v>
      </c>
      <c r="H892" s="70">
        <f t="shared" si="249"/>
        <v>0</v>
      </c>
      <c r="I892" s="70">
        <f t="shared" si="249"/>
        <v>0</v>
      </c>
      <c r="J892" s="70">
        <f t="shared" si="249"/>
        <v>0</v>
      </c>
      <c r="K892" s="70">
        <f t="shared" si="249"/>
        <v>0</v>
      </c>
    </row>
    <row r="893" spans="1:18" ht="45.75" hidden="1" customHeight="1">
      <c r="A893" s="16" t="s">
        <v>32</v>
      </c>
      <c r="B893" s="14">
        <v>757</v>
      </c>
      <c r="C893" s="15" t="s">
        <v>26</v>
      </c>
      <c r="D893" s="15" t="s">
        <v>70</v>
      </c>
      <c r="E893" s="15" t="s">
        <v>751</v>
      </c>
      <c r="F893" s="15" t="s">
        <v>33</v>
      </c>
      <c r="G893" s="70">
        <f>'прил 5,'!G77</f>
        <v>0</v>
      </c>
      <c r="H893" s="70">
        <v>0</v>
      </c>
      <c r="I893" s="70"/>
      <c r="J893" s="1"/>
    </row>
    <row r="894" spans="1:18" s="90" customFormat="1" ht="42" customHeight="1">
      <c r="A894" s="82" t="s">
        <v>1125</v>
      </c>
      <c r="B894" s="149">
        <v>757</v>
      </c>
      <c r="C894" s="84" t="s">
        <v>44</v>
      </c>
      <c r="D894" s="84" t="s">
        <v>19</v>
      </c>
      <c r="E894" s="84" t="s">
        <v>1126</v>
      </c>
      <c r="F894" s="84"/>
      <c r="G894" s="87">
        <f>G895</f>
        <v>10000</v>
      </c>
      <c r="H894" s="87">
        <f t="shared" ref="H894:I894" si="250">H895</f>
        <v>0</v>
      </c>
      <c r="I894" s="87">
        <f t="shared" si="250"/>
        <v>0</v>
      </c>
      <c r="J894" s="177"/>
      <c r="K894" s="186"/>
      <c r="L894" s="186"/>
      <c r="M894" s="186"/>
      <c r="N894" s="186"/>
      <c r="O894" s="186"/>
      <c r="P894" s="186"/>
      <c r="Q894" s="186"/>
      <c r="R894" s="186"/>
    </row>
    <row r="895" spans="1:18" s="90" customFormat="1" ht="25.5">
      <c r="A895" s="82" t="s">
        <v>30</v>
      </c>
      <c r="B895" s="149">
        <v>757</v>
      </c>
      <c r="C895" s="84" t="s">
        <v>44</v>
      </c>
      <c r="D895" s="84" t="s">
        <v>19</v>
      </c>
      <c r="E895" s="84" t="s">
        <v>1126</v>
      </c>
      <c r="F895" s="84" t="s">
        <v>31</v>
      </c>
      <c r="G895" s="87">
        <f>G896</f>
        <v>10000</v>
      </c>
      <c r="H895" s="87">
        <f>H896</f>
        <v>0</v>
      </c>
      <c r="I895" s="87">
        <f>I896</f>
        <v>0</v>
      </c>
      <c r="J895" s="177"/>
      <c r="K895" s="186"/>
      <c r="L895" s="186"/>
      <c r="M895" s="186"/>
      <c r="N895" s="186"/>
      <c r="O895" s="186"/>
      <c r="P895" s="186"/>
      <c r="Q895" s="186"/>
      <c r="R895" s="186"/>
    </row>
    <row r="896" spans="1:18" s="90" customFormat="1" ht="19.5" customHeight="1">
      <c r="A896" s="82" t="s">
        <v>32</v>
      </c>
      <c r="B896" s="149">
        <v>757</v>
      </c>
      <c r="C896" s="84" t="s">
        <v>44</v>
      </c>
      <c r="D896" s="84" t="s">
        <v>19</v>
      </c>
      <c r="E896" s="84" t="s">
        <v>1126</v>
      </c>
      <c r="F896" s="84" t="s">
        <v>33</v>
      </c>
      <c r="G896" s="87">
        <f>'прил 5,'!G328</f>
        <v>10000</v>
      </c>
      <c r="H896" s="87">
        <v>0</v>
      </c>
      <c r="I896" s="87">
        <v>0</v>
      </c>
      <c r="J896" s="177"/>
      <c r="K896" s="186"/>
      <c r="L896" s="186"/>
      <c r="M896" s="186"/>
      <c r="N896" s="186"/>
      <c r="O896" s="186"/>
      <c r="P896" s="186"/>
      <c r="Q896" s="186"/>
      <c r="R896" s="186"/>
    </row>
    <row r="897" spans="1:20" ht="49.5" customHeight="1">
      <c r="A897" s="82" t="s">
        <v>30</v>
      </c>
      <c r="B897" s="14">
        <v>757</v>
      </c>
      <c r="C897" s="15" t="s">
        <v>44</v>
      </c>
      <c r="D897" s="15" t="s">
        <v>19</v>
      </c>
      <c r="E897" s="15" t="s">
        <v>1045</v>
      </c>
      <c r="F897" s="15" t="s">
        <v>31</v>
      </c>
      <c r="G897" s="8">
        <f>G898</f>
        <v>155000</v>
      </c>
      <c r="H897" s="8">
        <f>H898</f>
        <v>0</v>
      </c>
      <c r="I897" s="8">
        <f>I898</f>
        <v>0</v>
      </c>
      <c r="J897" s="1"/>
    </row>
    <row r="898" spans="1:20">
      <c r="A898" s="82" t="s">
        <v>32</v>
      </c>
      <c r="B898" s="14">
        <v>757</v>
      </c>
      <c r="C898" s="15" t="s">
        <v>44</v>
      </c>
      <c r="D898" s="15" t="s">
        <v>19</v>
      </c>
      <c r="E898" s="15" t="s">
        <v>1045</v>
      </c>
      <c r="F898" s="15" t="s">
        <v>33</v>
      </c>
      <c r="G898" s="8">
        <v>155000</v>
      </c>
      <c r="H898" s="8">
        <v>0</v>
      </c>
      <c r="I898" s="8">
        <v>0</v>
      </c>
      <c r="J898" s="1"/>
    </row>
    <row r="899" spans="1:20" s="28" customFormat="1" ht="25.5">
      <c r="A899" s="13" t="s">
        <v>76</v>
      </c>
      <c r="B899" s="14">
        <v>757</v>
      </c>
      <c r="C899" s="15" t="s">
        <v>44</v>
      </c>
      <c r="D899" s="15" t="s">
        <v>54</v>
      </c>
      <c r="E899" s="15" t="s">
        <v>204</v>
      </c>
      <c r="F899" s="15"/>
      <c r="G899" s="93">
        <f>G900+G902+G904</f>
        <v>5335539</v>
      </c>
      <c r="H899" s="29">
        <f>H900+H902+H904</f>
        <v>5399005</v>
      </c>
      <c r="I899" s="29">
        <f>I900+I902+I904</f>
        <v>5449713</v>
      </c>
      <c r="J899" s="109"/>
      <c r="P899" s="109"/>
      <c r="Q899" s="109"/>
      <c r="R899" s="109"/>
      <c r="S899" s="109"/>
      <c r="T899" s="109"/>
    </row>
    <row r="900" spans="1:20" s="32" customFormat="1" ht="51">
      <c r="A900" s="16" t="s">
        <v>55</v>
      </c>
      <c r="B900" s="14">
        <v>757</v>
      </c>
      <c r="C900" s="15" t="s">
        <v>44</v>
      </c>
      <c r="D900" s="15" t="s">
        <v>54</v>
      </c>
      <c r="E900" s="15" t="s">
        <v>204</v>
      </c>
      <c r="F900" s="15" t="s">
        <v>58</v>
      </c>
      <c r="G900" s="87">
        <f>G901</f>
        <v>5119820.4000000004</v>
      </c>
      <c r="H900" s="87">
        <f>H901</f>
        <v>5215460</v>
      </c>
      <c r="I900" s="87">
        <f>I901</f>
        <v>5266168</v>
      </c>
      <c r="J900" s="31"/>
      <c r="P900" s="31"/>
      <c r="Q900" s="31"/>
      <c r="R900" s="31"/>
      <c r="S900" s="31"/>
      <c r="T900" s="31"/>
    </row>
    <row r="901" spans="1:20" s="32" customFormat="1" ht="25.5">
      <c r="A901" s="16" t="s">
        <v>56</v>
      </c>
      <c r="B901" s="14">
        <v>757</v>
      </c>
      <c r="C901" s="15" t="s">
        <v>44</v>
      </c>
      <c r="D901" s="15" t="s">
        <v>54</v>
      </c>
      <c r="E901" s="15" t="s">
        <v>204</v>
      </c>
      <c r="F901" s="15" t="s">
        <v>59</v>
      </c>
      <c r="G901" s="87">
        <f>'прил 5,'!G356</f>
        <v>5119820.4000000004</v>
      </c>
      <c r="H901" s="87">
        <f>'прил 5,'!H356</f>
        <v>5215460</v>
      </c>
      <c r="I901" s="87">
        <f>'прил 5,'!I356</f>
        <v>5266168</v>
      </c>
      <c r="J901" s="31"/>
      <c r="P901" s="31"/>
      <c r="Q901" s="31"/>
      <c r="R901" s="31"/>
      <c r="S901" s="31"/>
      <c r="T901" s="31"/>
    </row>
    <row r="902" spans="1:20" s="32" customFormat="1" ht="28.5" customHeight="1">
      <c r="A902" s="16" t="s">
        <v>36</v>
      </c>
      <c r="B902" s="14">
        <v>757</v>
      </c>
      <c r="C902" s="15" t="s">
        <v>44</v>
      </c>
      <c r="D902" s="15" t="s">
        <v>54</v>
      </c>
      <c r="E902" s="15" t="s">
        <v>204</v>
      </c>
      <c r="F902" s="15" t="s">
        <v>37</v>
      </c>
      <c r="G902" s="87">
        <f>G903</f>
        <v>215418.6</v>
      </c>
      <c r="H902" s="87">
        <f>H903</f>
        <v>183245</v>
      </c>
      <c r="I902" s="87">
        <f>I903</f>
        <v>183245</v>
      </c>
      <c r="J902" s="31"/>
      <c r="P902" s="31"/>
      <c r="Q902" s="31"/>
      <c r="R902" s="31"/>
      <c r="S902" s="31"/>
      <c r="T902" s="31"/>
    </row>
    <row r="903" spans="1:20" s="32" customFormat="1" ht="25.5">
      <c r="A903" s="16" t="s">
        <v>38</v>
      </c>
      <c r="B903" s="14">
        <v>757</v>
      </c>
      <c r="C903" s="15" t="s">
        <v>44</v>
      </c>
      <c r="D903" s="15" t="s">
        <v>54</v>
      </c>
      <c r="E903" s="15" t="s">
        <v>204</v>
      </c>
      <c r="F903" s="15" t="s">
        <v>39</v>
      </c>
      <c r="G903" s="87">
        <f>'прил 5,'!G358</f>
        <v>215418.6</v>
      </c>
      <c r="H903" s="87">
        <f>'прил 5,'!H358</f>
        <v>183245</v>
      </c>
      <c r="I903" s="87">
        <f>'прил 5,'!I358</f>
        <v>183245</v>
      </c>
      <c r="J903" s="31"/>
      <c r="P903" s="31"/>
      <c r="Q903" s="31"/>
      <c r="R903" s="31"/>
      <c r="S903" s="31"/>
      <c r="T903" s="31"/>
    </row>
    <row r="904" spans="1:20" s="32" customFormat="1">
      <c r="A904" s="16" t="s">
        <v>63</v>
      </c>
      <c r="B904" s="14"/>
      <c r="C904" s="15"/>
      <c r="D904" s="15"/>
      <c r="E904" s="15" t="s">
        <v>204</v>
      </c>
      <c r="F904" s="15" t="s">
        <v>64</v>
      </c>
      <c r="G904" s="87">
        <f>G905</f>
        <v>300</v>
      </c>
      <c r="H904" s="87">
        <f>H905</f>
        <v>300</v>
      </c>
      <c r="I904" s="87">
        <f>I905</f>
        <v>300</v>
      </c>
      <c r="J904" s="31"/>
      <c r="P904" s="31"/>
      <c r="Q904" s="31"/>
      <c r="R904" s="31"/>
      <c r="S904" s="31"/>
      <c r="T904" s="31"/>
    </row>
    <row r="905" spans="1:20">
      <c r="A905" s="16" t="s">
        <v>66</v>
      </c>
      <c r="B905" s="14">
        <v>757</v>
      </c>
      <c r="C905" s="15" t="s">
        <v>44</v>
      </c>
      <c r="D905" s="15" t="s">
        <v>54</v>
      </c>
      <c r="E905" s="15" t="s">
        <v>204</v>
      </c>
      <c r="F905" s="15" t="s">
        <v>67</v>
      </c>
      <c r="G905" s="94">
        <f>'прил 5,'!G360</f>
        <v>300</v>
      </c>
      <c r="H905" s="94">
        <f>'прил 5,'!H360</f>
        <v>300</v>
      </c>
      <c r="I905" s="94">
        <f>'прил 5,'!I360</f>
        <v>300</v>
      </c>
    </row>
    <row r="906" spans="1:20" ht="76.5" hidden="1">
      <c r="A906" s="16" t="s">
        <v>395</v>
      </c>
      <c r="B906" s="14">
        <v>757</v>
      </c>
      <c r="C906" s="15" t="s">
        <v>44</v>
      </c>
      <c r="D906" s="15" t="s">
        <v>19</v>
      </c>
      <c r="E906" s="15" t="s">
        <v>394</v>
      </c>
      <c r="F906" s="15"/>
      <c r="G906" s="85">
        <f>G907</f>
        <v>0</v>
      </c>
      <c r="H906" s="85">
        <f>H907</f>
        <v>0</v>
      </c>
      <c r="I906" s="85">
        <f>I907</f>
        <v>0</v>
      </c>
    </row>
    <row r="907" spans="1:20" hidden="1">
      <c r="A907" s="16" t="s">
        <v>32</v>
      </c>
      <c r="B907" s="14">
        <v>757</v>
      </c>
      <c r="C907" s="15" t="s">
        <v>44</v>
      </c>
      <c r="D907" s="15" t="s">
        <v>19</v>
      </c>
      <c r="E907" s="15" t="s">
        <v>394</v>
      </c>
      <c r="F907" s="15" t="s">
        <v>33</v>
      </c>
      <c r="G907" s="85">
        <f>'прил 5,'!G224</f>
        <v>0</v>
      </c>
      <c r="H907" s="85">
        <f>'прил 5,'!H224</f>
        <v>0</v>
      </c>
      <c r="I907" s="85">
        <f>'прил 5,'!I224</f>
        <v>0</v>
      </c>
    </row>
    <row r="908" spans="1:20" ht="45" hidden="1" customHeight="1">
      <c r="A908" s="16" t="s">
        <v>599</v>
      </c>
      <c r="B908" s="15"/>
      <c r="C908" s="15"/>
      <c r="D908" s="15"/>
      <c r="E908" s="15" t="s">
        <v>541</v>
      </c>
      <c r="F908" s="15"/>
      <c r="G908" s="87">
        <f>G909</f>
        <v>0</v>
      </c>
      <c r="H908" s="85">
        <v>0</v>
      </c>
      <c r="I908" s="85">
        <v>0</v>
      </c>
    </row>
    <row r="909" spans="1:20" ht="34.5" hidden="1" customHeight="1">
      <c r="A909" s="16" t="s">
        <v>96</v>
      </c>
      <c r="B909" s="15"/>
      <c r="C909" s="15"/>
      <c r="D909" s="15"/>
      <c r="E909" s="15" t="s">
        <v>541</v>
      </c>
      <c r="F909" s="15" t="s">
        <v>348</v>
      </c>
      <c r="G909" s="87">
        <f>G910</f>
        <v>0</v>
      </c>
      <c r="H909" s="85">
        <v>0</v>
      </c>
      <c r="I909" s="85">
        <v>0</v>
      </c>
    </row>
    <row r="910" spans="1:20" ht="68.25" hidden="1" customHeight="1">
      <c r="A910" s="50" t="s">
        <v>420</v>
      </c>
      <c r="B910" s="15"/>
      <c r="C910" s="15"/>
      <c r="D910" s="15"/>
      <c r="E910" s="15" t="s">
        <v>541</v>
      </c>
      <c r="F910" s="15" t="s">
        <v>419</v>
      </c>
      <c r="G910" s="87">
        <f>'прил 5,'!G151</f>
        <v>0</v>
      </c>
      <c r="H910" s="85">
        <v>0</v>
      </c>
      <c r="I910" s="85">
        <v>0</v>
      </c>
    </row>
    <row r="911" spans="1:20" ht="49.5" hidden="1" customHeight="1">
      <c r="A911" s="50" t="s">
        <v>600</v>
      </c>
      <c r="B911" s="15"/>
      <c r="C911" s="15"/>
      <c r="D911" s="15"/>
      <c r="E911" s="15" t="s">
        <v>542</v>
      </c>
      <c r="F911" s="15"/>
      <c r="G911" s="85">
        <f>G912</f>
        <v>0</v>
      </c>
      <c r="H911" s="85">
        <v>0</v>
      </c>
      <c r="I911" s="85">
        <v>0</v>
      </c>
    </row>
    <row r="912" spans="1:20" ht="39" hidden="1" customHeight="1">
      <c r="A912" s="16" t="s">
        <v>96</v>
      </c>
      <c r="B912" s="15"/>
      <c r="C912" s="15"/>
      <c r="D912" s="15"/>
      <c r="E912" s="15" t="s">
        <v>542</v>
      </c>
      <c r="F912" s="15" t="s">
        <v>348</v>
      </c>
      <c r="G912" s="85">
        <f>G913</f>
        <v>0</v>
      </c>
      <c r="H912" s="85">
        <v>0</v>
      </c>
      <c r="I912" s="85">
        <v>0</v>
      </c>
    </row>
    <row r="913" spans="1:10" ht="50.25" hidden="1" customHeight="1">
      <c r="A913" s="50" t="s">
        <v>420</v>
      </c>
      <c r="B913" s="15"/>
      <c r="C913" s="15"/>
      <c r="D913" s="15"/>
      <c r="E913" s="15" t="s">
        <v>543</v>
      </c>
      <c r="F913" s="15" t="s">
        <v>419</v>
      </c>
      <c r="G913" s="85"/>
      <c r="H913" s="85">
        <v>0</v>
      </c>
      <c r="I913" s="85">
        <v>0</v>
      </c>
    </row>
    <row r="914" spans="1:10" ht="29.25" customHeight="1">
      <c r="A914" s="16" t="s">
        <v>664</v>
      </c>
      <c r="B914" s="15"/>
      <c r="C914" s="15"/>
      <c r="D914" s="15"/>
      <c r="E914" s="15" t="s">
        <v>757</v>
      </c>
      <c r="F914" s="15"/>
      <c r="G914" s="85">
        <f>G915</f>
        <v>42300</v>
      </c>
      <c r="H914" s="85">
        <f t="shared" ref="H914:I915" si="251">H915</f>
        <v>42300</v>
      </c>
      <c r="I914" s="85">
        <f t="shared" si="251"/>
        <v>42300</v>
      </c>
    </row>
    <row r="915" spans="1:10" ht="18.75" customHeight="1">
      <c r="A915" s="50" t="s">
        <v>602</v>
      </c>
      <c r="B915" s="15"/>
      <c r="C915" s="15"/>
      <c r="D915" s="15"/>
      <c r="E915" s="15" t="s">
        <v>757</v>
      </c>
      <c r="F915" s="15" t="s">
        <v>37</v>
      </c>
      <c r="G915" s="85">
        <f>G916</f>
        <v>42300</v>
      </c>
      <c r="H915" s="85">
        <f t="shared" si="251"/>
        <v>42300</v>
      </c>
      <c r="I915" s="85">
        <f t="shared" si="251"/>
        <v>42300</v>
      </c>
    </row>
    <row r="916" spans="1:10" ht="27" customHeight="1">
      <c r="A916" s="50" t="s">
        <v>38</v>
      </c>
      <c r="B916" s="15"/>
      <c r="C916" s="15"/>
      <c r="D916" s="15"/>
      <c r="E916" s="15" t="s">
        <v>757</v>
      </c>
      <c r="F916" s="15" t="s">
        <v>39</v>
      </c>
      <c r="G916" s="85">
        <f>'прил 5,'!G1231</f>
        <v>42300</v>
      </c>
      <c r="H916" s="85">
        <f>'прил 5,'!H1231</f>
        <v>42300</v>
      </c>
      <c r="I916" s="85">
        <f>'прил 5,'!I1231</f>
        <v>42300</v>
      </c>
    </row>
    <row r="917" spans="1:10" ht="66" hidden="1" customHeight="1">
      <c r="A917" s="16" t="s">
        <v>540</v>
      </c>
      <c r="B917" s="14">
        <v>757</v>
      </c>
      <c r="C917" s="15" t="s">
        <v>26</v>
      </c>
      <c r="D917" s="15" t="s">
        <v>70</v>
      </c>
      <c r="E917" s="15" t="s">
        <v>628</v>
      </c>
      <c r="F917" s="15"/>
      <c r="G917" s="70">
        <f>G918</f>
        <v>0</v>
      </c>
      <c r="H917" s="70">
        <f t="shared" ref="H917:I918" si="252">H918</f>
        <v>0</v>
      </c>
      <c r="I917" s="87">
        <f t="shared" si="252"/>
        <v>0</v>
      </c>
      <c r="J917" s="1"/>
    </row>
    <row r="918" spans="1:10" ht="33.75" hidden="1" customHeight="1">
      <c r="A918" s="16" t="s">
        <v>30</v>
      </c>
      <c r="B918" s="14">
        <v>757</v>
      </c>
      <c r="C918" s="15" t="s">
        <v>26</v>
      </c>
      <c r="D918" s="15" t="s">
        <v>70</v>
      </c>
      <c r="E918" s="15" t="s">
        <v>628</v>
      </c>
      <c r="F918" s="15" t="s">
        <v>31</v>
      </c>
      <c r="G918" s="70">
        <f>G919</f>
        <v>0</v>
      </c>
      <c r="H918" s="70">
        <f t="shared" si="252"/>
        <v>0</v>
      </c>
      <c r="I918" s="87">
        <f t="shared" si="252"/>
        <v>0</v>
      </c>
      <c r="J918" s="1"/>
    </row>
    <row r="919" spans="1:10" ht="27.75" hidden="1" customHeight="1">
      <c r="A919" s="16" t="s">
        <v>32</v>
      </c>
      <c r="B919" s="14">
        <v>757</v>
      </c>
      <c r="C919" s="15" t="s">
        <v>26</v>
      </c>
      <c r="D919" s="15" t="s">
        <v>70</v>
      </c>
      <c r="E919" s="15" t="s">
        <v>628</v>
      </c>
      <c r="F919" s="15" t="s">
        <v>33</v>
      </c>
      <c r="G919" s="70"/>
      <c r="H919" s="70"/>
      <c r="I919" s="87">
        <f>'прил 5,'!I58</f>
        <v>0</v>
      </c>
      <c r="J919" s="1"/>
    </row>
    <row r="920" spans="1:10" ht="18" hidden="1" customHeight="1">
      <c r="A920" s="16" t="s">
        <v>662</v>
      </c>
      <c r="B920" s="14">
        <v>793</v>
      </c>
      <c r="C920" s="15" t="s">
        <v>19</v>
      </c>
      <c r="D920" s="15" t="s">
        <v>23</v>
      </c>
      <c r="E920" s="15" t="s">
        <v>661</v>
      </c>
      <c r="F920" s="15"/>
      <c r="G920" s="70">
        <f>G921</f>
        <v>0</v>
      </c>
      <c r="H920" s="70">
        <f t="shared" ref="H920:I921" si="253">H921</f>
        <v>0</v>
      </c>
      <c r="I920" s="70">
        <f t="shared" si="253"/>
        <v>0</v>
      </c>
      <c r="J920" s="1"/>
    </row>
    <row r="921" spans="1:10" ht="19.5" hidden="1" customHeight="1">
      <c r="A921" s="16" t="s">
        <v>323</v>
      </c>
      <c r="B921" s="14">
        <v>793</v>
      </c>
      <c r="C921" s="15" t="s">
        <v>19</v>
      </c>
      <c r="D921" s="15" t="s">
        <v>23</v>
      </c>
      <c r="E921" s="15" t="s">
        <v>661</v>
      </c>
      <c r="F921" s="15" t="s">
        <v>37</v>
      </c>
      <c r="G921" s="70">
        <f>G922</f>
        <v>0</v>
      </c>
      <c r="H921" s="70">
        <f t="shared" si="253"/>
        <v>0</v>
      </c>
      <c r="I921" s="70">
        <f t="shared" si="253"/>
        <v>0</v>
      </c>
      <c r="J921" s="1"/>
    </row>
    <row r="922" spans="1:10" ht="25.5" hidden="1" customHeight="1">
      <c r="A922" s="16" t="s">
        <v>38</v>
      </c>
      <c r="B922" s="14">
        <v>793</v>
      </c>
      <c r="C922" s="15" t="s">
        <v>19</v>
      </c>
      <c r="D922" s="15" t="s">
        <v>23</v>
      </c>
      <c r="E922" s="15" t="s">
        <v>661</v>
      </c>
      <c r="F922" s="15" t="s">
        <v>39</v>
      </c>
      <c r="G922" s="70">
        <f>'прил 5,'!G1234</f>
        <v>0</v>
      </c>
      <c r="H922" s="70">
        <f>'прил 5,'!H1234</f>
        <v>0</v>
      </c>
      <c r="I922" s="70">
        <f>'прил 5,'!I1234</f>
        <v>0</v>
      </c>
      <c r="J922" s="1"/>
    </row>
    <row r="923" spans="1:10" ht="81.75" hidden="1" customHeight="1">
      <c r="A923" s="16" t="s">
        <v>630</v>
      </c>
      <c r="B923" s="14">
        <v>757</v>
      </c>
      <c r="C923" s="15" t="s">
        <v>26</v>
      </c>
      <c r="D923" s="15" t="s">
        <v>70</v>
      </c>
      <c r="E923" s="15" t="s">
        <v>629</v>
      </c>
      <c r="F923" s="15"/>
      <c r="G923" s="70">
        <f>G924</f>
        <v>0</v>
      </c>
      <c r="H923" s="70">
        <f t="shared" ref="H923:I924" si="254">H924</f>
        <v>0</v>
      </c>
      <c r="I923" s="87">
        <f t="shared" si="254"/>
        <v>0</v>
      </c>
      <c r="J923" s="1"/>
    </row>
    <row r="924" spans="1:10" ht="47.25" hidden="1" customHeight="1">
      <c r="A924" s="16" t="s">
        <v>96</v>
      </c>
      <c r="B924" s="14">
        <v>757</v>
      </c>
      <c r="C924" s="15" t="s">
        <v>26</v>
      </c>
      <c r="D924" s="15" t="s">
        <v>70</v>
      </c>
      <c r="E924" s="15" t="s">
        <v>629</v>
      </c>
      <c r="F924" s="15" t="s">
        <v>348</v>
      </c>
      <c r="G924" s="70">
        <f>G925</f>
        <v>0</v>
      </c>
      <c r="H924" s="70">
        <f t="shared" si="254"/>
        <v>0</v>
      </c>
      <c r="I924" s="70">
        <f t="shared" si="254"/>
        <v>0</v>
      </c>
      <c r="J924" s="1"/>
    </row>
    <row r="925" spans="1:10" ht="98.25" hidden="1" customHeight="1">
      <c r="A925" s="50" t="s">
        <v>420</v>
      </c>
      <c r="B925" s="14">
        <v>757</v>
      </c>
      <c r="C925" s="15" t="s">
        <v>26</v>
      </c>
      <c r="D925" s="15" t="s">
        <v>70</v>
      </c>
      <c r="E925" s="15" t="s">
        <v>629</v>
      </c>
      <c r="F925" s="15" t="s">
        <v>419</v>
      </c>
      <c r="G925" s="70"/>
      <c r="H925" s="70">
        <v>0</v>
      </c>
      <c r="I925" s="70"/>
      <c r="J925" s="1"/>
    </row>
    <row r="926" spans="1:10" ht="19.5" hidden="1" customHeight="1">
      <c r="A926" s="16" t="s">
        <v>393</v>
      </c>
      <c r="B926" s="14">
        <v>757</v>
      </c>
      <c r="C926" s="15" t="s">
        <v>26</v>
      </c>
      <c r="D926" s="15" t="s">
        <v>70</v>
      </c>
      <c r="E926" s="15" t="s">
        <v>126</v>
      </c>
      <c r="F926" s="15"/>
      <c r="G926" s="87">
        <f>G927</f>
        <v>0</v>
      </c>
      <c r="H926" s="85">
        <v>0</v>
      </c>
      <c r="I926" s="85">
        <v>0</v>
      </c>
      <c r="J926" s="1"/>
    </row>
    <row r="927" spans="1:10" ht="39.75" hidden="1" customHeight="1">
      <c r="A927" s="16" t="s">
        <v>30</v>
      </c>
      <c r="B927" s="14">
        <v>757</v>
      </c>
      <c r="C927" s="15" t="s">
        <v>26</v>
      </c>
      <c r="D927" s="15" t="s">
        <v>70</v>
      </c>
      <c r="E927" s="15" t="s">
        <v>126</v>
      </c>
      <c r="F927" s="15" t="s">
        <v>31</v>
      </c>
      <c r="G927" s="87">
        <f>G928</f>
        <v>0</v>
      </c>
      <c r="H927" s="85">
        <v>0</v>
      </c>
      <c r="I927" s="85">
        <v>0</v>
      </c>
      <c r="J927" s="1"/>
    </row>
    <row r="928" spans="1:10" ht="20.25" hidden="1" customHeight="1">
      <c r="A928" s="16" t="s">
        <v>32</v>
      </c>
      <c r="B928" s="14">
        <v>757</v>
      </c>
      <c r="C928" s="15" t="s">
        <v>26</v>
      </c>
      <c r="D928" s="15" t="s">
        <v>70</v>
      </c>
      <c r="E928" s="15" t="s">
        <v>126</v>
      </c>
      <c r="F928" s="15" t="s">
        <v>33</v>
      </c>
      <c r="G928" s="87">
        <f>'прил 5,'!G67+'прил 5,'!G227</f>
        <v>0</v>
      </c>
      <c r="H928" s="85">
        <v>0</v>
      </c>
      <c r="I928" s="85">
        <v>0</v>
      </c>
      <c r="J928" s="1"/>
    </row>
    <row r="929" spans="1:11" ht="39" hidden="1" customHeight="1">
      <c r="A929" s="16" t="s">
        <v>184</v>
      </c>
      <c r="B929" s="14">
        <v>757</v>
      </c>
      <c r="C929" s="15" t="s">
        <v>44</v>
      </c>
      <c r="D929" s="15" t="s">
        <v>19</v>
      </c>
      <c r="E929" s="15" t="s">
        <v>183</v>
      </c>
      <c r="F929" s="15"/>
      <c r="G929" s="87">
        <f>G930</f>
        <v>0</v>
      </c>
      <c r="H929" s="70">
        <f t="shared" ref="H929:I930" si="255">H930</f>
        <v>0</v>
      </c>
      <c r="I929" s="70">
        <f t="shared" si="255"/>
        <v>0</v>
      </c>
      <c r="J929" s="1"/>
    </row>
    <row r="930" spans="1:11" ht="39.75" hidden="1" customHeight="1">
      <c r="A930" s="16" t="s">
        <v>30</v>
      </c>
      <c r="B930" s="14">
        <v>757</v>
      </c>
      <c r="C930" s="15" t="s">
        <v>44</v>
      </c>
      <c r="D930" s="15" t="s">
        <v>19</v>
      </c>
      <c r="E930" s="15" t="s">
        <v>183</v>
      </c>
      <c r="F930" s="15" t="s">
        <v>31</v>
      </c>
      <c r="G930" s="87">
        <f>G931</f>
        <v>0</v>
      </c>
      <c r="H930" s="70">
        <f t="shared" si="255"/>
        <v>0</v>
      </c>
      <c r="I930" s="70">
        <f t="shared" si="255"/>
        <v>0</v>
      </c>
      <c r="J930" s="1"/>
    </row>
    <row r="931" spans="1:11" ht="20.25" hidden="1" customHeight="1">
      <c r="A931" s="16" t="s">
        <v>32</v>
      </c>
      <c r="B931" s="14">
        <v>757</v>
      </c>
      <c r="C931" s="15" t="s">
        <v>44</v>
      </c>
      <c r="D931" s="15" t="s">
        <v>19</v>
      </c>
      <c r="E931" s="15" t="s">
        <v>183</v>
      </c>
      <c r="F931" s="15" t="s">
        <v>33</v>
      </c>
      <c r="G931" s="87">
        <v>0</v>
      </c>
      <c r="H931" s="70">
        <f>'прил 5,'!H230</f>
        <v>0</v>
      </c>
      <c r="I931" s="70">
        <v>0</v>
      </c>
      <c r="J931" s="1"/>
    </row>
    <row r="932" spans="1:11" ht="87.75" hidden="1" customHeight="1">
      <c r="A932" s="16" t="s">
        <v>511</v>
      </c>
      <c r="B932" s="14">
        <v>757</v>
      </c>
      <c r="C932" s="15" t="s">
        <v>26</v>
      </c>
      <c r="D932" s="15" t="s">
        <v>70</v>
      </c>
      <c r="E932" s="15" t="s">
        <v>512</v>
      </c>
      <c r="F932" s="15"/>
      <c r="G932" s="87">
        <f>G933</f>
        <v>0</v>
      </c>
      <c r="H932" s="70">
        <f t="shared" ref="H932:K933" si="256">H933</f>
        <v>0</v>
      </c>
      <c r="I932" s="70">
        <f t="shared" si="256"/>
        <v>0</v>
      </c>
      <c r="J932" s="1"/>
    </row>
    <row r="933" spans="1:11" ht="45" hidden="1" customHeight="1">
      <c r="A933" s="16" t="s">
        <v>30</v>
      </c>
      <c r="B933" s="14">
        <v>757</v>
      </c>
      <c r="C933" s="15" t="s">
        <v>26</v>
      </c>
      <c r="D933" s="15" t="s">
        <v>70</v>
      </c>
      <c r="E933" s="15" t="s">
        <v>512</v>
      </c>
      <c r="F933" s="15" t="s">
        <v>31</v>
      </c>
      <c r="G933" s="87">
        <f>G934</f>
        <v>0</v>
      </c>
      <c r="H933" s="70">
        <f t="shared" si="256"/>
        <v>0</v>
      </c>
      <c r="I933" s="70">
        <f t="shared" si="256"/>
        <v>0</v>
      </c>
      <c r="J933" s="70">
        <f t="shared" si="256"/>
        <v>0</v>
      </c>
      <c r="K933" s="70">
        <f t="shared" si="256"/>
        <v>0</v>
      </c>
    </row>
    <row r="934" spans="1:11" ht="19.5" hidden="1" customHeight="1">
      <c r="A934" s="16" t="s">
        <v>32</v>
      </c>
      <c r="B934" s="14">
        <v>757</v>
      </c>
      <c r="C934" s="15" t="s">
        <v>26</v>
      </c>
      <c r="D934" s="15" t="s">
        <v>70</v>
      </c>
      <c r="E934" s="15" t="s">
        <v>512</v>
      </c>
      <c r="F934" s="15" t="s">
        <v>33</v>
      </c>
      <c r="G934" s="87">
        <v>0</v>
      </c>
      <c r="H934" s="70">
        <f>'прил 5,'!H70</f>
        <v>0</v>
      </c>
      <c r="I934" s="70">
        <v>0</v>
      </c>
      <c r="J934" s="1"/>
    </row>
    <row r="935" spans="1:11" ht="36" hidden="1" customHeight="1">
      <c r="A935" s="16" t="s">
        <v>523</v>
      </c>
      <c r="B935" s="14">
        <v>757</v>
      </c>
      <c r="C935" s="15" t="s">
        <v>44</v>
      </c>
      <c r="D935" s="15" t="s">
        <v>19</v>
      </c>
      <c r="E935" s="15" t="s">
        <v>522</v>
      </c>
      <c r="F935" s="15"/>
      <c r="G935" s="87">
        <f>G936</f>
        <v>0</v>
      </c>
      <c r="H935" s="70">
        <f t="shared" ref="H935:K936" si="257">H936</f>
        <v>0</v>
      </c>
      <c r="I935" s="70">
        <f t="shared" si="257"/>
        <v>0</v>
      </c>
      <c r="J935" s="1"/>
    </row>
    <row r="936" spans="1:11" ht="45" hidden="1" customHeight="1">
      <c r="A936" s="16" t="s">
        <v>30</v>
      </c>
      <c r="B936" s="14">
        <v>757</v>
      </c>
      <c r="C936" s="15" t="s">
        <v>44</v>
      </c>
      <c r="D936" s="15" t="s">
        <v>19</v>
      </c>
      <c r="E936" s="15" t="s">
        <v>522</v>
      </c>
      <c r="F936" s="15" t="s">
        <v>31</v>
      </c>
      <c r="G936" s="87">
        <f>G937</f>
        <v>0</v>
      </c>
      <c r="H936" s="70">
        <f t="shared" si="257"/>
        <v>0</v>
      </c>
      <c r="I936" s="70">
        <f t="shared" si="257"/>
        <v>0</v>
      </c>
      <c r="J936" s="70">
        <f t="shared" si="257"/>
        <v>0</v>
      </c>
      <c r="K936" s="70">
        <f t="shared" si="257"/>
        <v>0</v>
      </c>
    </row>
    <row r="937" spans="1:11" ht="19.5" hidden="1" customHeight="1">
      <c r="A937" s="16" t="s">
        <v>32</v>
      </c>
      <c r="B937" s="14">
        <v>757</v>
      </c>
      <c r="C937" s="15" t="s">
        <v>44</v>
      </c>
      <c r="D937" s="15" t="s">
        <v>19</v>
      </c>
      <c r="E937" s="15" t="s">
        <v>522</v>
      </c>
      <c r="F937" s="15" t="s">
        <v>33</v>
      </c>
      <c r="G937" s="87">
        <v>0</v>
      </c>
      <c r="H937" s="70">
        <f>'прил 5,'!H249</f>
        <v>0</v>
      </c>
      <c r="I937" s="70">
        <f>'прил 5,'!I249</f>
        <v>0</v>
      </c>
      <c r="J937" s="1"/>
    </row>
    <row r="938" spans="1:11" ht="82.5" hidden="1" customHeight="1">
      <c r="A938" s="16" t="s">
        <v>575</v>
      </c>
      <c r="B938" s="14">
        <v>757</v>
      </c>
      <c r="C938" s="15" t="s">
        <v>44</v>
      </c>
      <c r="D938" s="15" t="s">
        <v>19</v>
      </c>
      <c r="E938" s="15" t="s">
        <v>574</v>
      </c>
      <c r="F938" s="15"/>
      <c r="G938" s="85">
        <f>G939+G944+G947+G950</f>
        <v>0</v>
      </c>
      <c r="H938" s="8">
        <f t="shared" ref="H938:I938" si="258">H939</f>
        <v>0</v>
      </c>
      <c r="I938" s="8">
        <f t="shared" si="258"/>
        <v>0</v>
      </c>
      <c r="J938" s="1"/>
    </row>
    <row r="939" spans="1:11" ht="91.5" hidden="1" customHeight="1">
      <c r="A939" s="23" t="s">
        <v>573</v>
      </c>
      <c r="B939" s="14">
        <v>757</v>
      </c>
      <c r="C939" s="15" t="s">
        <v>44</v>
      </c>
      <c r="D939" s="15" t="s">
        <v>19</v>
      </c>
      <c r="E939" s="15" t="s">
        <v>572</v>
      </c>
      <c r="F939" s="14"/>
      <c r="G939" s="85">
        <f>G940+G942</f>
        <v>0</v>
      </c>
      <c r="H939" s="85">
        <v>0</v>
      </c>
      <c r="I939" s="85">
        <v>0</v>
      </c>
      <c r="J939" s="1"/>
    </row>
    <row r="940" spans="1:11" ht="25.5" hidden="1">
      <c r="A940" s="16" t="s">
        <v>30</v>
      </c>
      <c r="B940" s="14">
        <v>757</v>
      </c>
      <c r="C940" s="15" t="s">
        <v>44</v>
      </c>
      <c r="D940" s="15" t="s">
        <v>19</v>
      </c>
      <c r="E940" s="15" t="s">
        <v>572</v>
      </c>
      <c r="F940" s="15" t="s">
        <v>31</v>
      </c>
      <c r="G940" s="85">
        <f>G941</f>
        <v>0</v>
      </c>
      <c r="H940" s="8">
        <f>H941</f>
        <v>0</v>
      </c>
      <c r="I940" s="8">
        <f>I941</f>
        <v>0</v>
      </c>
      <c r="J940" s="1"/>
    </row>
    <row r="941" spans="1:11" hidden="1">
      <c r="A941" s="16" t="s">
        <v>32</v>
      </c>
      <c r="B941" s="14">
        <v>757</v>
      </c>
      <c r="C941" s="15" t="s">
        <v>44</v>
      </c>
      <c r="D941" s="15" t="s">
        <v>19</v>
      </c>
      <c r="E941" s="15" t="s">
        <v>572</v>
      </c>
      <c r="F941" s="15" t="s">
        <v>33</v>
      </c>
      <c r="G941" s="85">
        <f>'прил 5,'!G175</f>
        <v>0</v>
      </c>
      <c r="H941" s="85">
        <v>0</v>
      </c>
      <c r="I941" s="85">
        <v>0</v>
      </c>
      <c r="J941" s="1"/>
    </row>
    <row r="942" spans="1:11" hidden="1">
      <c r="A942" s="16" t="s">
        <v>156</v>
      </c>
      <c r="B942" s="14">
        <v>757</v>
      </c>
      <c r="C942" s="15" t="s">
        <v>44</v>
      </c>
      <c r="D942" s="15" t="s">
        <v>19</v>
      </c>
      <c r="E942" s="15" t="s">
        <v>572</v>
      </c>
      <c r="F942" s="15" t="s">
        <v>157</v>
      </c>
      <c r="G942" s="85">
        <f>G943</f>
        <v>0</v>
      </c>
      <c r="H942" s="85">
        <v>0</v>
      </c>
      <c r="I942" s="85">
        <v>0</v>
      </c>
      <c r="J942" s="1"/>
    </row>
    <row r="943" spans="1:11" hidden="1">
      <c r="A943" s="16" t="s">
        <v>170</v>
      </c>
      <c r="B943" s="14">
        <v>757</v>
      </c>
      <c r="C943" s="15" t="s">
        <v>44</v>
      </c>
      <c r="D943" s="15" t="s">
        <v>19</v>
      </c>
      <c r="E943" s="15" t="s">
        <v>572</v>
      </c>
      <c r="F943" s="15" t="s">
        <v>171</v>
      </c>
      <c r="G943" s="85">
        <f>'прил 5,'!G177</f>
        <v>0</v>
      </c>
      <c r="H943" s="85">
        <v>0</v>
      </c>
      <c r="I943" s="85">
        <v>0</v>
      </c>
      <c r="J943" s="1"/>
    </row>
    <row r="944" spans="1:11" ht="91.5" hidden="1" customHeight="1">
      <c r="A944" s="23" t="s">
        <v>577</v>
      </c>
      <c r="B944" s="14">
        <v>757</v>
      </c>
      <c r="C944" s="15" t="s">
        <v>44</v>
      </c>
      <c r="D944" s="15" t="s">
        <v>19</v>
      </c>
      <c r="E944" s="15" t="s">
        <v>576</v>
      </c>
      <c r="F944" s="14"/>
      <c r="G944" s="85">
        <f>G945</f>
        <v>0</v>
      </c>
      <c r="H944" s="85">
        <v>0</v>
      </c>
      <c r="I944" s="85">
        <v>0</v>
      </c>
      <c r="J944" s="1"/>
    </row>
    <row r="945" spans="1:11" ht="25.5" hidden="1">
      <c r="A945" s="16" t="s">
        <v>30</v>
      </c>
      <c r="B945" s="14">
        <v>757</v>
      </c>
      <c r="C945" s="15" t="s">
        <v>44</v>
      </c>
      <c r="D945" s="15" t="s">
        <v>19</v>
      </c>
      <c r="E945" s="15" t="s">
        <v>576</v>
      </c>
      <c r="F945" s="15" t="s">
        <v>31</v>
      </c>
      <c r="G945" s="85">
        <f>G946</f>
        <v>0</v>
      </c>
      <c r="H945" s="8">
        <f>H946</f>
        <v>0</v>
      </c>
      <c r="I945" s="8">
        <f>I946</f>
        <v>0</v>
      </c>
      <c r="J945" s="1"/>
    </row>
    <row r="946" spans="1:11" hidden="1">
      <c r="A946" s="16" t="s">
        <v>32</v>
      </c>
      <c r="B946" s="14">
        <v>757</v>
      </c>
      <c r="C946" s="15" t="s">
        <v>44</v>
      </c>
      <c r="D946" s="15" t="s">
        <v>19</v>
      </c>
      <c r="E946" s="15" t="s">
        <v>576</v>
      </c>
      <c r="F946" s="15" t="s">
        <v>33</v>
      </c>
      <c r="G946" s="85">
        <f>'прил 5,'!G180</f>
        <v>0</v>
      </c>
      <c r="H946" s="85">
        <v>0</v>
      </c>
      <c r="I946" s="85">
        <v>0</v>
      </c>
      <c r="J946" s="1"/>
    </row>
    <row r="947" spans="1:11" ht="91.5" hidden="1" customHeight="1">
      <c r="A947" s="23" t="s">
        <v>578</v>
      </c>
      <c r="B947" s="14">
        <v>757</v>
      </c>
      <c r="C947" s="15" t="s">
        <v>44</v>
      </c>
      <c r="D947" s="15" t="s">
        <v>19</v>
      </c>
      <c r="E947" s="15" t="s">
        <v>579</v>
      </c>
      <c r="F947" s="14"/>
      <c r="G947" s="85">
        <f>G948</f>
        <v>0</v>
      </c>
      <c r="H947" s="85">
        <v>0</v>
      </c>
      <c r="I947" s="85">
        <v>0</v>
      </c>
      <c r="J947" s="1"/>
    </row>
    <row r="948" spans="1:11" ht="25.5" hidden="1">
      <c r="A948" s="16" t="s">
        <v>30</v>
      </c>
      <c r="B948" s="14">
        <v>757</v>
      </c>
      <c r="C948" s="15" t="s">
        <v>44</v>
      </c>
      <c r="D948" s="15" t="s">
        <v>19</v>
      </c>
      <c r="E948" s="15" t="s">
        <v>579</v>
      </c>
      <c r="F948" s="15" t="s">
        <v>31</v>
      </c>
      <c r="G948" s="85">
        <f>G949</f>
        <v>0</v>
      </c>
      <c r="H948" s="8">
        <f>H949</f>
        <v>0</v>
      </c>
      <c r="I948" s="8">
        <f>I949</f>
        <v>0</v>
      </c>
      <c r="J948" s="1"/>
    </row>
    <row r="949" spans="1:11" hidden="1">
      <c r="A949" s="16" t="s">
        <v>32</v>
      </c>
      <c r="B949" s="14">
        <v>757</v>
      </c>
      <c r="C949" s="15" t="s">
        <v>44</v>
      </c>
      <c r="D949" s="15" t="s">
        <v>19</v>
      </c>
      <c r="E949" s="15" t="s">
        <v>579</v>
      </c>
      <c r="F949" s="15" t="s">
        <v>33</v>
      </c>
      <c r="G949" s="85">
        <f>'прил 5,'!G183</f>
        <v>0</v>
      </c>
      <c r="H949" s="85">
        <v>0</v>
      </c>
      <c r="I949" s="85">
        <v>0</v>
      </c>
      <c r="J949" s="1"/>
    </row>
    <row r="950" spans="1:11" ht="68.25" hidden="1" customHeight="1">
      <c r="A950" s="23" t="s">
        <v>581</v>
      </c>
      <c r="B950" s="14">
        <v>757</v>
      </c>
      <c r="C950" s="15" t="s">
        <v>44</v>
      </c>
      <c r="D950" s="15" t="s">
        <v>19</v>
      </c>
      <c r="E950" s="15" t="s">
        <v>580</v>
      </c>
      <c r="F950" s="14"/>
      <c r="G950" s="85">
        <f>G953+G951</f>
        <v>0</v>
      </c>
      <c r="H950" s="85">
        <f t="shared" ref="H950:I950" si="259">H953+H951</f>
        <v>0</v>
      </c>
      <c r="I950" s="85">
        <f t="shared" si="259"/>
        <v>0</v>
      </c>
      <c r="J950" s="1"/>
    </row>
    <row r="951" spans="1:11" ht="19.5" hidden="1" customHeight="1">
      <c r="A951" s="130" t="s">
        <v>156</v>
      </c>
      <c r="B951" s="14">
        <v>757</v>
      </c>
      <c r="C951" s="15" t="s">
        <v>44</v>
      </c>
      <c r="D951" s="15" t="s">
        <v>19</v>
      </c>
      <c r="E951" s="15" t="s">
        <v>580</v>
      </c>
      <c r="F951" s="14">
        <v>500</v>
      </c>
      <c r="G951" s="85">
        <f>G952</f>
        <v>0</v>
      </c>
      <c r="H951" s="70"/>
      <c r="I951" s="70"/>
      <c r="J951" s="1"/>
    </row>
    <row r="952" spans="1:11" ht="21.75" hidden="1" customHeight="1">
      <c r="A952" s="130" t="s">
        <v>178</v>
      </c>
      <c r="B952" s="14">
        <v>757</v>
      </c>
      <c r="C952" s="15" t="s">
        <v>44</v>
      </c>
      <c r="D952" s="15" t="s">
        <v>19</v>
      </c>
      <c r="E952" s="15" t="s">
        <v>580</v>
      </c>
      <c r="F952" s="14">
        <v>520</v>
      </c>
      <c r="G952" s="85">
        <f>'прил 5,'!G187</f>
        <v>0</v>
      </c>
      <c r="H952" s="70"/>
      <c r="I952" s="70"/>
      <c r="J952" s="1"/>
    </row>
    <row r="953" spans="1:11" hidden="1">
      <c r="A953" s="16" t="s">
        <v>63</v>
      </c>
      <c r="B953" s="14">
        <v>757</v>
      </c>
      <c r="C953" s="15" t="s">
        <v>44</v>
      </c>
      <c r="D953" s="15" t="s">
        <v>19</v>
      </c>
      <c r="E953" s="15" t="s">
        <v>580</v>
      </c>
      <c r="F953" s="15" t="s">
        <v>64</v>
      </c>
      <c r="G953" s="85">
        <f>G954</f>
        <v>0</v>
      </c>
      <c r="H953" s="8">
        <f>H954</f>
        <v>0</v>
      </c>
      <c r="I953" s="8">
        <f>I954</f>
        <v>0</v>
      </c>
      <c r="J953" s="1"/>
    </row>
    <row r="954" spans="1:11" hidden="1">
      <c r="A954" s="16" t="s">
        <v>180</v>
      </c>
      <c r="B954" s="14">
        <v>757</v>
      </c>
      <c r="C954" s="15" t="s">
        <v>44</v>
      </c>
      <c r="D954" s="15" t="s">
        <v>19</v>
      </c>
      <c r="E954" s="15" t="s">
        <v>580</v>
      </c>
      <c r="F954" s="15" t="s">
        <v>181</v>
      </c>
      <c r="G954" s="85">
        <f>'прил 5,'!G191</f>
        <v>0</v>
      </c>
      <c r="H954" s="85">
        <v>0</v>
      </c>
      <c r="I954" s="85">
        <v>0</v>
      </c>
      <c r="J954" s="1"/>
    </row>
    <row r="955" spans="1:11" ht="84" hidden="1" customHeight="1">
      <c r="A955" s="16" t="s">
        <v>511</v>
      </c>
      <c r="B955" s="14">
        <v>757</v>
      </c>
      <c r="C955" s="15" t="s">
        <v>26</v>
      </c>
      <c r="D955" s="15" t="s">
        <v>70</v>
      </c>
      <c r="E955" s="15" t="s">
        <v>687</v>
      </c>
      <c r="F955" s="15"/>
      <c r="G955" s="70">
        <f>G956</f>
        <v>0</v>
      </c>
      <c r="H955" s="70">
        <v>0</v>
      </c>
      <c r="I955" s="70">
        <v>0</v>
      </c>
      <c r="J955" s="1"/>
    </row>
    <row r="956" spans="1:11" ht="60" hidden="1" customHeight="1">
      <c r="A956" s="16" t="s">
        <v>30</v>
      </c>
      <c r="B956" s="14">
        <v>757</v>
      </c>
      <c r="C956" s="15" t="s">
        <v>26</v>
      </c>
      <c r="D956" s="15" t="s">
        <v>70</v>
      </c>
      <c r="E956" s="15" t="s">
        <v>687</v>
      </c>
      <c r="F956" s="15" t="s">
        <v>31</v>
      </c>
      <c r="G956" s="70">
        <f>G957</f>
        <v>0</v>
      </c>
      <c r="H956" s="70">
        <v>0</v>
      </c>
      <c r="I956" s="70">
        <v>0</v>
      </c>
      <c r="J956" s="70">
        <f t="shared" ref="J956:K956" si="260">J957</f>
        <v>0</v>
      </c>
      <c r="K956" s="70">
        <f t="shared" si="260"/>
        <v>0</v>
      </c>
    </row>
    <row r="957" spans="1:11" ht="60" hidden="1" customHeight="1">
      <c r="A957" s="16" t="s">
        <v>32</v>
      </c>
      <c r="B957" s="14">
        <v>757</v>
      </c>
      <c r="C957" s="15" t="s">
        <v>26</v>
      </c>
      <c r="D957" s="15" t="s">
        <v>70</v>
      </c>
      <c r="E957" s="15" t="s">
        <v>687</v>
      </c>
      <c r="F957" s="15" t="s">
        <v>33</v>
      </c>
      <c r="G957" s="70"/>
      <c r="H957" s="70"/>
      <c r="I957" s="70"/>
      <c r="J957" s="1"/>
    </row>
    <row r="958" spans="1:11" ht="28.5" customHeight="1">
      <c r="A958" s="16" t="s">
        <v>931</v>
      </c>
      <c r="B958" s="14">
        <v>757</v>
      </c>
      <c r="C958" s="15" t="s">
        <v>44</v>
      </c>
      <c r="D958" s="15" t="s">
        <v>19</v>
      </c>
      <c r="E958" s="15" t="s">
        <v>930</v>
      </c>
      <c r="F958" s="15"/>
      <c r="G958" s="70">
        <f>G959</f>
        <v>12715225.859999999</v>
      </c>
      <c r="H958" s="70">
        <f t="shared" ref="H958:I958" si="261">H959</f>
        <v>0</v>
      </c>
      <c r="I958" s="70">
        <f t="shared" si="261"/>
        <v>0</v>
      </c>
      <c r="J958" s="1"/>
    </row>
    <row r="959" spans="1:11" ht="42" customHeight="1">
      <c r="A959" s="16" t="s">
        <v>30</v>
      </c>
      <c r="B959" s="14">
        <v>757</v>
      </c>
      <c r="C959" s="15" t="s">
        <v>44</v>
      </c>
      <c r="D959" s="15" t="s">
        <v>19</v>
      </c>
      <c r="E959" s="15" t="s">
        <v>930</v>
      </c>
      <c r="F959" s="15" t="s">
        <v>31</v>
      </c>
      <c r="G959" s="70">
        <f>G960</f>
        <v>12715225.859999999</v>
      </c>
      <c r="H959" s="70">
        <f t="shared" ref="H959:I959" si="262">H960</f>
        <v>0</v>
      </c>
      <c r="I959" s="70">
        <f t="shared" si="262"/>
        <v>0</v>
      </c>
      <c r="J959" s="70">
        <f t="shared" ref="J959:K959" si="263">J960</f>
        <v>0</v>
      </c>
      <c r="K959" s="70">
        <f t="shared" si="263"/>
        <v>0</v>
      </c>
    </row>
    <row r="960" spans="1:11" ht="30" customHeight="1">
      <c r="A960" s="16" t="s">
        <v>32</v>
      </c>
      <c r="B960" s="14">
        <v>757</v>
      </c>
      <c r="C960" s="15" t="s">
        <v>44</v>
      </c>
      <c r="D960" s="15" t="s">
        <v>19</v>
      </c>
      <c r="E960" s="15" t="s">
        <v>930</v>
      </c>
      <c r="F960" s="15" t="s">
        <v>33</v>
      </c>
      <c r="G960" s="70">
        <f>'прил 5,'!G258</f>
        <v>12715225.859999999</v>
      </c>
      <c r="H960" s="70">
        <f>'прил 5,'!H258</f>
        <v>0</v>
      </c>
      <c r="I960" s="70">
        <f>'прил 5,'!I258</f>
        <v>0</v>
      </c>
      <c r="J960" s="1"/>
    </row>
    <row r="961" spans="1:20" ht="52.5" customHeight="1">
      <c r="A961" s="16" t="s">
        <v>691</v>
      </c>
      <c r="B961" s="14">
        <v>757</v>
      </c>
      <c r="C961" s="15" t="s">
        <v>44</v>
      </c>
      <c r="D961" s="15" t="s">
        <v>19</v>
      </c>
      <c r="E961" s="15" t="s">
        <v>690</v>
      </c>
      <c r="F961" s="15"/>
      <c r="G961" s="70">
        <f>G962</f>
        <v>0</v>
      </c>
      <c r="H961" s="70">
        <f t="shared" ref="H961:K962" si="264">H962</f>
        <v>5261649.8699999992</v>
      </c>
      <c r="I961" s="70">
        <f t="shared" si="264"/>
        <v>0</v>
      </c>
      <c r="J961" s="1"/>
    </row>
    <row r="962" spans="1:20" ht="36" customHeight="1">
      <c r="A962" s="16" t="s">
        <v>30</v>
      </c>
      <c r="B962" s="14">
        <v>757</v>
      </c>
      <c r="C962" s="15" t="s">
        <v>44</v>
      </c>
      <c r="D962" s="15" t="s">
        <v>19</v>
      </c>
      <c r="E962" s="15" t="s">
        <v>690</v>
      </c>
      <c r="F962" s="15" t="s">
        <v>31</v>
      </c>
      <c r="G962" s="70">
        <f>G963</f>
        <v>0</v>
      </c>
      <c r="H962" s="70">
        <f t="shared" si="264"/>
        <v>5261649.8699999992</v>
      </c>
      <c r="I962" s="70">
        <f t="shared" si="264"/>
        <v>0</v>
      </c>
      <c r="J962" s="70">
        <f t="shared" si="264"/>
        <v>0</v>
      </c>
      <c r="K962" s="70">
        <f t="shared" si="264"/>
        <v>0</v>
      </c>
    </row>
    <row r="963" spans="1:20" ht="26.25" customHeight="1">
      <c r="A963" s="16" t="s">
        <v>32</v>
      </c>
      <c r="B963" s="14">
        <v>757</v>
      </c>
      <c r="C963" s="15" t="s">
        <v>44</v>
      </c>
      <c r="D963" s="15" t="s">
        <v>19</v>
      </c>
      <c r="E963" s="15" t="s">
        <v>690</v>
      </c>
      <c r="F963" s="15" t="s">
        <v>33</v>
      </c>
      <c r="G963" s="70">
        <f>'прил 5,'!G261</f>
        <v>0</v>
      </c>
      <c r="H963" s="70">
        <f>'прил 5,'!H261</f>
        <v>5261649.8699999992</v>
      </c>
      <c r="I963" s="70">
        <f>'прил 5,'!I261</f>
        <v>0</v>
      </c>
      <c r="J963" s="1"/>
    </row>
    <row r="964" spans="1:20" ht="84" hidden="1" customHeight="1">
      <c r="A964" s="16" t="s">
        <v>689</v>
      </c>
      <c r="B964" s="14">
        <v>757</v>
      </c>
      <c r="C964" s="15" t="s">
        <v>26</v>
      </c>
      <c r="D964" s="15" t="s">
        <v>70</v>
      </c>
      <c r="E964" s="15" t="s">
        <v>688</v>
      </c>
      <c r="F964" s="15"/>
      <c r="G964" s="70">
        <f>G965</f>
        <v>0</v>
      </c>
      <c r="H964" s="70">
        <f>H965</f>
        <v>0</v>
      </c>
      <c r="I964" s="70">
        <f>I965</f>
        <v>0</v>
      </c>
      <c r="J964" s="1"/>
    </row>
    <row r="965" spans="1:20" ht="60" hidden="1" customHeight="1">
      <c r="A965" s="16" t="s">
        <v>30</v>
      </c>
      <c r="B965" s="14">
        <v>757</v>
      </c>
      <c r="C965" s="15" t="s">
        <v>26</v>
      </c>
      <c r="D965" s="15" t="s">
        <v>70</v>
      </c>
      <c r="E965" s="15" t="s">
        <v>688</v>
      </c>
      <c r="F965" s="15" t="s">
        <v>31</v>
      </c>
      <c r="G965" s="70">
        <f>G966</f>
        <v>0</v>
      </c>
      <c r="H965" s="70">
        <f t="shared" ref="H965:K965" si="265">H966</f>
        <v>0</v>
      </c>
      <c r="I965" s="70">
        <f t="shared" si="265"/>
        <v>0</v>
      </c>
      <c r="J965" s="70">
        <f t="shared" si="265"/>
        <v>0</v>
      </c>
      <c r="K965" s="70">
        <f t="shared" si="265"/>
        <v>0</v>
      </c>
    </row>
    <row r="966" spans="1:20" ht="60" hidden="1" customHeight="1">
      <c r="A966" s="16" t="s">
        <v>32</v>
      </c>
      <c r="B966" s="14">
        <v>757</v>
      </c>
      <c r="C966" s="15" t="s">
        <v>26</v>
      </c>
      <c r="D966" s="15" t="s">
        <v>70</v>
      </c>
      <c r="E966" s="15" t="s">
        <v>688</v>
      </c>
      <c r="F966" s="15" t="s">
        <v>33</v>
      </c>
      <c r="G966" s="70"/>
      <c r="H966" s="70"/>
      <c r="I966" s="70"/>
      <c r="J966" s="1"/>
    </row>
    <row r="967" spans="1:20" ht="28.5" customHeight="1">
      <c r="A967" s="16" t="s">
        <v>938</v>
      </c>
      <c r="B967" s="14">
        <v>757</v>
      </c>
      <c r="C967" s="15" t="s">
        <v>44</v>
      </c>
      <c r="D967" s="15" t="s">
        <v>19</v>
      </c>
      <c r="E967" s="15" t="s">
        <v>937</v>
      </c>
      <c r="F967" s="15"/>
      <c r="G967" s="70">
        <f>G968</f>
        <v>65359.48</v>
      </c>
      <c r="H967" s="70">
        <f t="shared" ref="H967:I967" si="266">H968</f>
        <v>0</v>
      </c>
      <c r="I967" s="70">
        <f t="shared" si="266"/>
        <v>0</v>
      </c>
      <c r="J967" s="177"/>
      <c r="K967" s="186"/>
      <c r="L967" s="186"/>
      <c r="M967" s="186"/>
      <c r="N967" s="186"/>
      <c r="O967" s="186"/>
      <c r="P967" s="186"/>
      <c r="Q967" s="186"/>
      <c r="R967" s="186"/>
      <c r="S967" s="1"/>
      <c r="T967" s="1"/>
    </row>
    <row r="968" spans="1:20" ht="36" customHeight="1">
      <c r="A968" s="16" t="s">
        <v>939</v>
      </c>
      <c r="B968" s="14">
        <v>757</v>
      </c>
      <c r="C968" s="15" t="s">
        <v>44</v>
      </c>
      <c r="D968" s="15" t="s">
        <v>19</v>
      </c>
      <c r="E968" s="15" t="s">
        <v>936</v>
      </c>
      <c r="F968" s="15"/>
      <c r="G968" s="70">
        <f>G969</f>
        <v>65359.48</v>
      </c>
      <c r="H968" s="70">
        <f t="shared" ref="H968:I969" si="267">H969</f>
        <v>0</v>
      </c>
      <c r="I968" s="70">
        <f t="shared" si="267"/>
        <v>0</v>
      </c>
      <c r="J968" s="177"/>
      <c r="K968" s="186"/>
      <c r="L968" s="186"/>
      <c r="M968" s="186"/>
      <c r="N968" s="186"/>
      <c r="O968" s="186"/>
      <c r="P968" s="186"/>
      <c r="Q968" s="186"/>
      <c r="R968" s="186"/>
      <c r="S968" s="1"/>
      <c r="T968" s="1"/>
    </row>
    <row r="969" spans="1:20" ht="41.25" customHeight="1">
      <c r="A969" s="16" t="s">
        <v>30</v>
      </c>
      <c r="B969" s="14">
        <v>757</v>
      </c>
      <c r="C969" s="15" t="s">
        <v>44</v>
      </c>
      <c r="D969" s="15" t="s">
        <v>19</v>
      </c>
      <c r="E969" s="15" t="s">
        <v>936</v>
      </c>
      <c r="F969" s="15" t="s">
        <v>31</v>
      </c>
      <c r="G969" s="70">
        <f>G970</f>
        <v>65359.48</v>
      </c>
      <c r="H969" s="70">
        <f t="shared" si="267"/>
        <v>0</v>
      </c>
      <c r="I969" s="70">
        <f t="shared" si="267"/>
        <v>0</v>
      </c>
      <c r="J969" s="177"/>
      <c r="K969" s="177"/>
      <c r="L969" s="177"/>
      <c r="M969" s="186"/>
      <c r="N969" s="186"/>
      <c r="O969" s="186"/>
      <c r="P969" s="186"/>
      <c r="Q969" s="186"/>
      <c r="R969" s="186"/>
      <c r="S969" s="1"/>
      <c r="T969" s="1"/>
    </row>
    <row r="970" spans="1:20" ht="22.5" customHeight="1">
      <c r="A970" s="16" t="s">
        <v>32</v>
      </c>
      <c r="B970" s="14">
        <v>757</v>
      </c>
      <c r="C970" s="15" t="s">
        <v>44</v>
      </c>
      <c r="D970" s="15" t="s">
        <v>19</v>
      </c>
      <c r="E970" s="15" t="s">
        <v>936</v>
      </c>
      <c r="F970" s="15" t="s">
        <v>33</v>
      </c>
      <c r="G970" s="70">
        <v>65359.48</v>
      </c>
      <c r="H970" s="70">
        <v>0</v>
      </c>
      <c r="I970" s="70">
        <v>0</v>
      </c>
      <c r="J970" s="177"/>
      <c r="K970" s="186"/>
      <c r="L970" s="186"/>
      <c r="M970" s="186"/>
      <c r="N970" s="186"/>
      <c r="O970" s="186"/>
      <c r="P970" s="186"/>
      <c r="Q970" s="186"/>
      <c r="R970" s="186"/>
      <c r="S970" s="1"/>
      <c r="T970" s="1"/>
    </row>
    <row r="971" spans="1:20" ht="37.5" customHeight="1">
      <c r="A971" s="16" t="s">
        <v>435</v>
      </c>
      <c r="B971" s="14">
        <v>757</v>
      </c>
      <c r="C971" s="15" t="s">
        <v>44</v>
      </c>
      <c r="D971" s="15" t="s">
        <v>19</v>
      </c>
      <c r="E971" s="15" t="s">
        <v>407</v>
      </c>
      <c r="F971" s="15"/>
      <c r="G971" s="85">
        <f t="shared" ref="G971:I972" si="268">G972</f>
        <v>128051.19999999998</v>
      </c>
      <c r="H971" s="8">
        <f>H972</f>
        <v>0</v>
      </c>
      <c r="I971" s="8">
        <f t="shared" si="268"/>
        <v>0</v>
      </c>
      <c r="J971" s="2">
        <v>25800</v>
      </c>
      <c r="K971" s="2" t="e">
        <f>G971+G974+G998+G816+G783+G805+G813+G879+#REF!+G899+G906+G908+G911+G914+G926+G938</f>
        <v>#REF!</v>
      </c>
      <c r="Q971" s="173"/>
    </row>
    <row r="972" spans="1:20" ht="25.5">
      <c r="A972" s="16" t="s">
        <v>30</v>
      </c>
      <c r="B972" s="14">
        <v>757</v>
      </c>
      <c r="C972" s="15" t="s">
        <v>44</v>
      </c>
      <c r="D972" s="15" t="s">
        <v>19</v>
      </c>
      <c r="E972" s="15" t="s">
        <v>407</v>
      </c>
      <c r="F972" s="15" t="s">
        <v>31</v>
      </c>
      <c r="G972" s="85">
        <f t="shared" si="268"/>
        <v>128051.19999999998</v>
      </c>
      <c r="H972" s="8">
        <f t="shared" si="268"/>
        <v>0</v>
      </c>
      <c r="I972" s="8">
        <f t="shared" si="268"/>
        <v>0</v>
      </c>
      <c r="J972" s="2">
        <v>60633148</v>
      </c>
    </row>
    <row r="973" spans="1:20">
      <c r="A973" s="16" t="s">
        <v>32</v>
      </c>
      <c r="B973" s="14">
        <v>757</v>
      </c>
      <c r="C973" s="15" t="s">
        <v>44</v>
      </c>
      <c r="D973" s="15" t="s">
        <v>19</v>
      </c>
      <c r="E973" s="15" t="s">
        <v>407</v>
      </c>
      <c r="F973" s="15" t="s">
        <v>33</v>
      </c>
      <c r="G973" s="85">
        <f>'прил 5,'!G233</f>
        <v>128051.19999999998</v>
      </c>
      <c r="H973" s="8">
        <f>'прил 5,'!H233</f>
        <v>0</v>
      </c>
      <c r="I973" s="8">
        <f>'прил 5,'!I233</f>
        <v>0</v>
      </c>
      <c r="J973" s="2">
        <v>7498067</v>
      </c>
    </row>
    <row r="974" spans="1:20" ht="93" hidden="1" customHeight="1">
      <c r="A974" s="16" t="s">
        <v>271</v>
      </c>
      <c r="B974" s="14">
        <v>757</v>
      </c>
      <c r="C974" s="15" t="s">
        <v>26</v>
      </c>
      <c r="D974" s="15" t="s">
        <v>70</v>
      </c>
      <c r="E974" s="15" t="s">
        <v>592</v>
      </c>
      <c r="F974" s="15"/>
      <c r="G974" s="87">
        <f>G976</f>
        <v>125300</v>
      </c>
      <c r="H974" s="8">
        <v>0</v>
      </c>
      <c r="I974" s="8">
        <v>0</v>
      </c>
      <c r="J974" s="1"/>
    </row>
    <row r="975" spans="1:20" ht="36" hidden="1" customHeight="1">
      <c r="A975" s="16" t="s">
        <v>30</v>
      </c>
      <c r="B975" s="14">
        <v>757</v>
      </c>
      <c r="C975" s="15" t="s">
        <v>26</v>
      </c>
      <c r="D975" s="15" t="s">
        <v>70</v>
      </c>
      <c r="E975" s="15" t="s">
        <v>592</v>
      </c>
      <c r="F975" s="15" t="s">
        <v>31</v>
      </c>
      <c r="G975" s="87">
        <f>G976</f>
        <v>125300</v>
      </c>
      <c r="H975" s="8">
        <v>0</v>
      </c>
      <c r="I975" s="8">
        <v>0</v>
      </c>
      <c r="J975" s="1"/>
    </row>
    <row r="976" spans="1:20" ht="19.5" hidden="1" customHeight="1">
      <c r="A976" s="16" t="s">
        <v>32</v>
      </c>
      <c r="B976" s="14">
        <v>757</v>
      </c>
      <c r="C976" s="15" t="s">
        <v>26</v>
      </c>
      <c r="D976" s="15" t="s">
        <v>70</v>
      </c>
      <c r="E976" s="15" t="s">
        <v>592</v>
      </c>
      <c r="F976" s="15" t="s">
        <v>33</v>
      </c>
      <c r="G976" s="87">
        <f>'прил 5,'!G61</f>
        <v>125300</v>
      </c>
      <c r="H976" s="8">
        <v>0</v>
      </c>
      <c r="I976" s="8">
        <v>0</v>
      </c>
      <c r="J976" s="1"/>
    </row>
    <row r="977" spans="1:20" ht="69" customHeight="1">
      <c r="A977" s="16" t="s">
        <v>1049</v>
      </c>
      <c r="B977" s="14">
        <v>757</v>
      </c>
      <c r="C977" s="15" t="s">
        <v>44</v>
      </c>
      <c r="D977" s="15" t="s">
        <v>19</v>
      </c>
      <c r="E977" s="15" t="s">
        <v>1048</v>
      </c>
      <c r="F977" s="15"/>
      <c r="G977" s="8">
        <f t="shared" ref="G977:I978" si="269">G978</f>
        <v>0</v>
      </c>
      <c r="H977" s="8">
        <f t="shared" si="269"/>
        <v>100239.22</v>
      </c>
      <c r="I977" s="8">
        <f t="shared" si="269"/>
        <v>100239.22</v>
      </c>
      <c r="J977" s="178"/>
      <c r="K977" s="186"/>
      <c r="L977" s="186"/>
      <c r="M977" s="186"/>
      <c r="N977" s="186"/>
      <c r="O977" s="186"/>
      <c r="P977" s="186"/>
      <c r="Q977" s="186"/>
      <c r="R977" s="186"/>
      <c r="S977" s="1"/>
      <c r="T977" s="1"/>
    </row>
    <row r="978" spans="1:20" ht="25.5">
      <c r="A978" s="16" t="s">
        <v>30</v>
      </c>
      <c r="B978" s="14">
        <v>757</v>
      </c>
      <c r="C978" s="15" t="s">
        <v>44</v>
      </c>
      <c r="D978" s="15" t="s">
        <v>19</v>
      </c>
      <c r="E978" s="15" t="s">
        <v>1048</v>
      </c>
      <c r="F978" s="15" t="s">
        <v>31</v>
      </c>
      <c r="G978" s="8">
        <f t="shared" si="269"/>
        <v>0</v>
      </c>
      <c r="H978" s="8">
        <f t="shared" si="269"/>
        <v>100239.22</v>
      </c>
      <c r="I978" s="8">
        <f t="shared" si="269"/>
        <v>100239.22</v>
      </c>
      <c r="J978" s="178"/>
      <c r="K978" s="186"/>
      <c r="L978" s="186"/>
      <c r="M978" s="186"/>
      <c r="N978" s="186"/>
      <c r="O978" s="186"/>
      <c r="P978" s="186"/>
      <c r="Q978" s="186"/>
      <c r="R978" s="186"/>
      <c r="S978" s="1"/>
      <c r="T978" s="1"/>
    </row>
    <row r="979" spans="1:20">
      <c r="A979" s="16" t="s">
        <v>32</v>
      </c>
      <c r="B979" s="14">
        <v>757</v>
      </c>
      <c r="C979" s="15" t="s">
        <v>44</v>
      </c>
      <c r="D979" s="15" t="s">
        <v>19</v>
      </c>
      <c r="E979" s="15" t="s">
        <v>1048</v>
      </c>
      <c r="F979" s="15" t="s">
        <v>33</v>
      </c>
      <c r="G979" s="8"/>
      <c r="H979" s="8">
        <v>100239.22</v>
      </c>
      <c r="I979" s="8">
        <v>100239.22</v>
      </c>
      <c r="J979" s="178"/>
      <c r="K979" s="186"/>
      <c r="L979" s="186"/>
      <c r="M979" s="186"/>
      <c r="N979" s="186"/>
      <c r="O979" s="186"/>
      <c r="P979" s="186"/>
      <c r="Q979" s="186"/>
      <c r="R979" s="186"/>
      <c r="S979" s="1"/>
      <c r="T979" s="1"/>
    </row>
    <row r="980" spans="1:20" ht="59.25" customHeight="1">
      <c r="A980" s="50" t="s">
        <v>935</v>
      </c>
      <c r="B980" s="15" t="s">
        <v>51</v>
      </c>
      <c r="C980" s="15" t="s">
        <v>44</v>
      </c>
      <c r="D980" s="15" t="s">
        <v>19</v>
      </c>
      <c r="E980" s="15" t="s">
        <v>934</v>
      </c>
      <c r="F980" s="15"/>
      <c r="G980" s="85">
        <f>G981</f>
        <v>519291.86</v>
      </c>
      <c r="H980" s="85">
        <f t="shared" ref="H980:I980" si="270">H981</f>
        <v>519291.86</v>
      </c>
      <c r="I980" s="85">
        <f t="shared" si="270"/>
        <v>519291.86</v>
      </c>
      <c r="J980" s="177"/>
      <c r="K980" s="186"/>
      <c r="L980" s="186"/>
      <c r="M980" s="186"/>
      <c r="N980" s="186"/>
      <c r="O980" s="186"/>
      <c r="P980" s="186"/>
      <c r="Q980" s="186"/>
      <c r="R980" s="186"/>
      <c r="S980" s="1"/>
      <c r="T980" s="1"/>
    </row>
    <row r="981" spans="1:20" ht="39.75" customHeight="1">
      <c r="A981" s="16" t="s">
        <v>30</v>
      </c>
      <c r="B981" s="15" t="s">
        <v>51</v>
      </c>
      <c r="C981" s="15" t="s">
        <v>44</v>
      </c>
      <c r="D981" s="15" t="s">
        <v>19</v>
      </c>
      <c r="E981" s="15" t="s">
        <v>934</v>
      </c>
      <c r="F981" s="15" t="s">
        <v>31</v>
      </c>
      <c r="G981" s="85">
        <f>G982</f>
        <v>519291.86</v>
      </c>
      <c r="H981" s="85">
        <f t="shared" ref="H981:I981" si="271">H982</f>
        <v>519291.86</v>
      </c>
      <c r="I981" s="85">
        <f t="shared" si="271"/>
        <v>519291.86</v>
      </c>
      <c r="J981" s="177"/>
      <c r="K981" s="186"/>
      <c r="L981" s="186"/>
      <c r="M981" s="186"/>
      <c r="N981" s="186"/>
      <c r="O981" s="186"/>
      <c r="P981" s="186"/>
      <c r="Q981" s="186"/>
      <c r="R981" s="186"/>
      <c r="S981" s="1"/>
      <c r="T981" s="1"/>
    </row>
    <row r="982" spans="1:20" ht="19.5" customHeight="1">
      <c r="A982" s="50" t="s">
        <v>32</v>
      </c>
      <c r="B982" s="15" t="s">
        <v>51</v>
      </c>
      <c r="C982" s="15" t="s">
        <v>44</v>
      </c>
      <c r="D982" s="15" t="s">
        <v>19</v>
      </c>
      <c r="E982" s="15" t="s">
        <v>934</v>
      </c>
      <c r="F982" s="15" t="s">
        <v>33</v>
      </c>
      <c r="G982" s="85">
        <v>519291.86</v>
      </c>
      <c r="H982" s="85">
        <v>519291.86</v>
      </c>
      <c r="I982" s="85">
        <v>519291.86</v>
      </c>
      <c r="J982" s="177"/>
      <c r="K982" s="186"/>
      <c r="L982" s="186"/>
      <c r="M982" s="186"/>
      <c r="N982" s="186"/>
      <c r="O982" s="186"/>
      <c r="P982" s="186"/>
      <c r="Q982" s="186"/>
      <c r="R982" s="186"/>
      <c r="S982" s="1"/>
      <c r="T982" s="1"/>
    </row>
    <row r="983" spans="1:20" ht="25.5" hidden="1" customHeight="1">
      <c r="A983" s="80" t="s">
        <v>933</v>
      </c>
      <c r="B983" s="14">
        <v>757</v>
      </c>
      <c r="C983" s="15" t="s">
        <v>44</v>
      </c>
      <c r="D983" s="15" t="s">
        <v>19</v>
      </c>
      <c r="E983" s="15" t="s">
        <v>932</v>
      </c>
      <c r="F983" s="14"/>
      <c r="G983" s="87">
        <f t="shared" ref="G983:I984" si="272">G984</f>
        <v>0</v>
      </c>
      <c r="H983" s="70">
        <f t="shared" si="272"/>
        <v>0</v>
      </c>
      <c r="I983" s="70">
        <f t="shared" si="272"/>
        <v>0</v>
      </c>
      <c r="J983" s="177"/>
      <c r="K983" s="186"/>
      <c r="L983" s="186"/>
      <c r="M983" s="186"/>
      <c r="N983" s="186"/>
      <c r="O983" s="186"/>
      <c r="P983" s="186"/>
      <c r="Q983" s="186"/>
      <c r="R983" s="186"/>
      <c r="S983" s="1"/>
      <c r="T983" s="1"/>
    </row>
    <row r="984" spans="1:20" ht="25.5" hidden="1">
      <c r="A984" s="16" t="s">
        <v>30</v>
      </c>
      <c r="B984" s="14">
        <v>757</v>
      </c>
      <c r="C984" s="15" t="s">
        <v>44</v>
      </c>
      <c r="D984" s="15" t="s">
        <v>19</v>
      </c>
      <c r="E984" s="15" t="s">
        <v>932</v>
      </c>
      <c r="F984" s="15" t="s">
        <v>31</v>
      </c>
      <c r="G984" s="95">
        <f t="shared" si="272"/>
        <v>0</v>
      </c>
      <c r="H984" s="25">
        <f t="shared" si="272"/>
        <v>0</v>
      </c>
      <c r="I984" s="25">
        <f t="shared" si="272"/>
        <v>0</v>
      </c>
      <c r="J984" s="179"/>
      <c r="K984" s="186"/>
      <c r="L984" s="186"/>
      <c r="M984" s="186"/>
      <c r="N984" s="186"/>
      <c r="O984" s="186"/>
      <c r="P984" s="186"/>
      <c r="Q984" s="186"/>
      <c r="R984" s="186"/>
      <c r="S984" s="1"/>
      <c r="T984" s="1"/>
    </row>
    <row r="985" spans="1:20" hidden="1">
      <c r="A985" s="16" t="s">
        <v>32</v>
      </c>
      <c r="B985" s="14">
        <v>757</v>
      </c>
      <c r="C985" s="15" t="s">
        <v>44</v>
      </c>
      <c r="D985" s="15" t="s">
        <v>19</v>
      </c>
      <c r="E985" s="15" t="s">
        <v>932</v>
      </c>
      <c r="F985" s="15" t="s">
        <v>33</v>
      </c>
      <c r="G985" s="95"/>
      <c r="H985" s="25">
        <v>0</v>
      </c>
      <c r="I985" s="25">
        <v>0</v>
      </c>
      <c r="J985" s="179"/>
      <c r="K985" s="186"/>
      <c r="L985" s="186"/>
      <c r="M985" s="186"/>
      <c r="N985" s="186"/>
      <c r="O985" s="186"/>
      <c r="P985" s="186"/>
      <c r="Q985" s="186"/>
      <c r="R985" s="186"/>
      <c r="S985" s="1"/>
      <c r="T985" s="1"/>
    </row>
    <row r="986" spans="1:20" ht="25.5" hidden="1" customHeight="1">
      <c r="A986" s="80" t="s">
        <v>933</v>
      </c>
      <c r="B986" s="14">
        <v>757</v>
      </c>
      <c r="C986" s="15" t="s">
        <v>44</v>
      </c>
      <c r="D986" s="15" t="s">
        <v>19</v>
      </c>
      <c r="E986" s="15" t="s">
        <v>932</v>
      </c>
      <c r="F986" s="14"/>
      <c r="G986" s="87">
        <f>G989+G992</f>
        <v>12000000</v>
      </c>
      <c r="H986" s="70">
        <f t="shared" ref="H986:I986" si="273">H987</f>
        <v>0</v>
      </c>
      <c r="I986" s="70">
        <f t="shared" si="273"/>
        <v>0</v>
      </c>
      <c r="J986" s="177"/>
      <c r="K986" s="186"/>
      <c r="L986" s="186"/>
      <c r="M986" s="186"/>
      <c r="N986" s="186"/>
      <c r="O986" s="186"/>
      <c r="P986" s="186"/>
      <c r="Q986" s="186"/>
      <c r="R986" s="186"/>
      <c r="S986" s="1"/>
      <c r="T986" s="1"/>
    </row>
    <row r="987" spans="1:20" ht="25.5" hidden="1">
      <c r="A987" s="16" t="s">
        <v>30</v>
      </c>
      <c r="B987" s="14">
        <v>757</v>
      </c>
      <c r="C987" s="15" t="s">
        <v>44</v>
      </c>
      <c r="D987" s="15" t="s">
        <v>19</v>
      </c>
      <c r="E987" s="15" t="s">
        <v>932</v>
      </c>
      <c r="F987" s="15" t="s">
        <v>31</v>
      </c>
      <c r="G987" s="95">
        <f>G988</f>
        <v>0</v>
      </c>
      <c r="H987" s="25">
        <f>H988</f>
        <v>0</v>
      </c>
      <c r="I987" s="25">
        <f>I988</f>
        <v>0</v>
      </c>
      <c r="J987" s="179"/>
      <c r="K987" s="186"/>
      <c r="L987" s="186"/>
      <c r="M987" s="186"/>
      <c r="N987" s="186"/>
      <c r="O987" s="186"/>
      <c r="P987" s="186"/>
      <c r="Q987" s="186"/>
      <c r="R987" s="186"/>
      <c r="S987" s="1"/>
      <c r="T987" s="1"/>
    </row>
    <row r="988" spans="1:20" hidden="1">
      <c r="A988" s="16" t="s">
        <v>32</v>
      </c>
      <c r="B988" s="14">
        <v>757</v>
      </c>
      <c r="C988" s="15" t="s">
        <v>44</v>
      </c>
      <c r="D988" s="15" t="s">
        <v>19</v>
      </c>
      <c r="E988" s="15" t="s">
        <v>932</v>
      </c>
      <c r="F988" s="15" t="s">
        <v>33</v>
      </c>
      <c r="G988" s="95"/>
      <c r="H988" s="25"/>
      <c r="I988" s="25"/>
      <c r="J988" s="179"/>
      <c r="K988" s="186"/>
      <c r="L988" s="186"/>
      <c r="M988" s="186"/>
      <c r="N988" s="186"/>
      <c r="O988" s="186"/>
      <c r="P988" s="186"/>
      <c r="Q988" s="186"/>
      <c r="R988" s="186"/>
      <c r="S988" s="1"/>
      <c r="T988" s="1"/>
    </row>
    <row r="989" spans="1:20" ht="25.5">
      <c r="A989" s="16" t="s">
        <v>980</v>
      </c>
      <c r="B989" s="14">
        <v>757</v>
      </c>
      <c r="C989" s="15" t="s">
        <v>44</v>
      </c>
      <c r="D989" s="15" t="s">
        <v>19</v>
      </c>
      <c r="E989" s="15" t="s">
        <v>979</v>
      </c>
      <c r="F989" s="15"/>
      <c r="G989" s="95">
        <f>G990</f>
        <v>2000000</v>
      </c>
      <c r="H989" s="95">
        <f t="shared" ref="H989:I989" si="274">H990</f>
        <v>0</v>
      </c>
      <c r="I989" s="95">
        <f t="shared" si="274"/>
        <v>0</v>
      </c>
      <c r="J989" s="179"/>
      <c r="K989" s="186"/>
      <c r="L989" s="186"/>
      <c r="M989" s="186"/>
      <c r="N989" s="186"/>
      <c r="O989" s="186"/>
      <c r="P989" s="186"/>
      <c r="Q989" s="186"/>
      <c r="R989" s="186"/>
      <c r="S989" s="1"/>
      <c r="T989" s="1"/>
    </row>
    <row r="990" spans="1:20" ht="25.5">
      <c r="A990" s="16" t="s">
        <v>30</v>
      </c>
      <c r="B990" s="14">
        <v>757</v>
      </c>
      <c r="C990" s="15" t="s">
        <v>44</v>
      </c>
      <c r="D990" s="15" t="s">
        <v>19</v>
      </c>
      <c r="E990" s="15" t="s">
        <v>979</v>
      </c>
      <c r="F990" s="15" t="s">
        <v>31</v>
      </c>
      <c r="G990" s="95">
        <f>G991</f>
        <v>2000000</v>
      </c>
      <c r="H990" s="25">
        <f>H991</f>
        <v>0</v>
      </c>
      <c r="I990" s="25">
        <f>I991</f>
        <v>0</v>
      </c>
      <c r="J990" s="179"/>
      <c r="K990" s="186"/>
      <c r="L990" s="186"/>
      <c r="M990" s="186"/>
      <c r="N990" s="186"/>
      <c r="O990" s="186"/>
      <c r="P990" s="186"/>
      <c r="Q990" s="186"/>
      <c r="R990" s="186"/>
      <c r="S990" s="1"/>
      <c r="T990" s="1"/>
    </row>
    <row r="991" spans="1:20">
      <c r="A991" s="16" t="s">
        <v>32</v>
      </c>
      <c r="B991" s="14">
        <v>757</v>
      </c>
      <c r="C991" s="15" t="s">
        <v>44</v>
      </c>
      <c r="D991" s="15" t="s">
        <v>19</v>
      </c>
      <c r="E991" s="15" t="s">
        <v>979</v>
      </c>
      <c r="F991" s="15" t="s">
        <v>33</v>
      </c>
      <c r="G991" s="95">
        <v>2000000</v>
      </c>
      <c r="H991" s="25">
        <v>0</v>
      </c>
      <c r="I991" s="25">
        <v>0</v>
      </c>
      <c r="J991" s="179"/>
      <c r="K991" s="186"/>
      <c r="L991" s="186"/>
      <c r="M991" s="186"/>
      <c r="N991" s="186"/>
      <c r="O991" s="186"/>
      <c r="P991" s="186"/>
      <c r="Q991" s="186"/>
      <c r="R991" s="186"/>
      <c r="S991" s="1"/>
      <c r="T991" s="1"/>
    </row>
    <row r="992" spans="1:20" ht="25.5">
      <c r="A992" s="16" t="s">
        <v>982</v>
      </c>
      <c r="B992" s="14">
        <v>757</v>
      </c>
      <c r="C992" s="15" t="s">
        <v>44</v>
      </c>
      <c r="D992" s="15" t="s">
        <v>19</v>
      </c>
      <c r="E992" s="15" t="s">
        <v>981</v>
      </c>
      <c r="F992" s="15"/>
      <c r="G992" s="95">
        <f>G993</f>
        <v>10000000</v>
      </c>
      <c r="H992" s="95">
        <f t="shared" ref="H992:I992" si="275">H993</f>
        <v>0</v>
      </c>
      <c r="I992" s="95">
        <f t="shared" si="275"/>
        <v>0</v>
      </c>
      <c r="J992" s="179"/>
      <c r="K992" s="186"/>
      <c r="L992" s="186"/>
      <c r="M992" s="186"/>
      <c r="N992" s="186"/>
      <c r="O992" s="186"/>
      <c r="P992" s="186"/>
      <c r="Q992" s="186"/>
      <c r="R992" s="186"/>
      <c r="S992" s="1"/>
      <c r="T992" s="1"/>
    </row>
    <row r="993" spans="1:20" ht="25.5">
      <c r="A993" s="16" t="s">
        <v>30</v>
      </c>
      <c r="B993" s="14">
        <v>757</v>
      </c>
      <c r="C993" s="15" t="s">
        <v>44</v>
      </c>
      <c r="D993" s="15" t="s">
        <v>19</v>
      </c>
      <c r="E993" s="15" t="s">
        <v>981</v>
      </c>
      <c r="F993" s="15" t="s">
        <v>31</v>
      </c>
      <c r="G993" s="95">
        <f>G994</f>
        <v>10000000</v>
      </c>
      <c r="H993" s="25">
        <f>H994</f>
        <v>0</v>
      </c>
      <c r="I993" s="25">
        <f>I994</f>
        <v>0</v>
      </c>
      <c r="J993" s="179"/>
      <c r="K993" s="186"/>
      <c r="L993" s="186"/>
      <c r="M993" s="186"/>
      <c r="N993" s="186"/>
      <c r="O993" s="186"/>
      <c r="P993" s="186"/>
      <c r="Q993" s="186"/>
      <c r="R993" s="186"/>
      <c r="S993" s="1"/>
      <c r="T993" s="1"/>
    </row>
    <row r="994" spans="1:20">
      <c r="A994" s="16" t="s">
        <v>32</v>
      </c>
      <c r="B994" s="14">
        <v>757</v>
      </c>
      <c r="C994" s="15" t="s">
        <v>44</v>
      </c>
      <c r="D994" s="15" t="s">
        <v>19</v>
      </c>
      <c r="E994" s="15" t="s">
        <v>981</v>
      </c>
      <c r="F994" s="15" t="s">
        <v>33</v>
      </c>
      <c r="G994" s="95">
        <v>10000000</v>
      </c>
      <c r="H994" s="25">
        <v>0</v>
      </c>
      <c r="I994" s="25">
        <v>0</v>
      </c>
      <c r="J994" s="179"/>
      <c r="K994" s="186"/>
      <c r="L994" s="186"/>
      <c r="M994" s="186"/>
      <c r="N994" s="186"/>
      <c r="O994" s="186"/>
      <c r="P994" s="186"/>
      <c r="Q994" s="186"/>
      <c r="R994" s="186"/>
      <c r="S994" s="1"/>
      <c r="T994" s="1"/>
    </row>
    <row r="995" spans="1:20" ht="79.5" customHeight="1">
      <c r="A995" s="16" t="s">
        <v>575</v>
      </c>
      <c r="B995" s="14">
        <v>757</v>
      </c>
      <c r="C995" s="15" t="s">
        <v>44</v>
      </c>
      <c r="D995" s="15" t="s">
        <v>19</v>
      </c>
      <c r="E995" s="15" t="s">
        <v>1017</v>
      </c>
      <c r="F995" s="15"/>
      <c r="G995" s="70">
        <f>G996</f>
        <v>8764915.6500000004</v>
      </c>
      <c r="H995" s="70">
        <f t="shared" ref="H995:I995" si="276">H996</f>
        <v>0</v>
      </c>
      <c r="I995" s="70">
        <f t="shared" si="276"/>
        <v>0</v>
      </c>
      <c r="J995" s="177"/>
      <c r="K995" s="186"/>
      <c r="L995" s="186"/>
      <c r="M995" s="186"/>
      <c r="N995" s="186"/>
      <c r="O995" s="186"/>
      <c r="P995" s="186"/>
      <c r="Q995" s="186"/>
      <c r="R995" s="186"/>
      <c r="S995" s="1"/>
      <c r="T995" s="1"/>
    </row>
    <row r="996" spans="1:20" ht="25.5">
      <c r="A996" s="16" t="s">
        <v>30</v>
      </c>
      <c r="B996" s="14">
        <v>757</v>
      </c>
      <c r="C996" s="15" t="s">
        <v>44</v>
      </c>
      <c r="D996" s="15" t="s">
        <v>19</v>
      </c>
      <c r="E996" s="15" t="s">
        <v>1017</v>
      </c>
      <c r="F996" s="15" t="s">
        <v>31</v>
      </c>
      <c r="G996" s="70">
        <f>G997</f>
        <v>8764915.6500000004</v>
      </c>
      <c r="H996" s="70">
        <f>H997</f>
        <v>0</v>
      </c>
      <c r="I996" s="70">
        <f>I997</f>
        <v>0</v>
      </c>
      <c r="J996" s="177"/>
      <c r="K996" s="186"/>
      <c r="L996" s="186"/>
      <c r="M996" s="186"/>
      <c r="N996" s="186"/>
      <c r="O996" s="186"/>
      <c r="P996" s="186"/>
      <c r="Q996" s="186"/>
      <c r="R996" s="186"/>
      <c r="S996" s="1"/>
      <c r="T996" s="1"/>
    </row>
    <row r="997" spans="1:20" ht="19.5" customHeight="1">
      <c r="A997" s="16" t="s">
        <v>32</v>
      </c>
      <c r="B997" s="14">
        <v>757</v>
      </c>
      <c r="C997" s="15" t="s">
        <v>44</v>
      </c>
      <c r="D997" s="15" t="s">
        <v>19</v>
      </c>
      <c r="E997" s="15" t="s">
        <v>1017</v>
      </c>
      <c r="F997" s="15" t="s">
        <v>33</v>
      </c>
      <c r="G997" s="70">
        <f>'прил 5,'!G331</f>
        <v>8764915.6500000004</v>
      </c>
      <c r="H997" s="70">
        <v>0</v>
      </c>
      <c r="I997" s="70">
        <v>0</v>
      </c>
      <c r="J997" s="177"/>
      <c r="K997" s="186"/>
      <c r="L997" s="186"/>
      <c r="M997" s="186"/>
      <c r="N997" s="186"/>
      <c r="O997" s="186"/>
      <c r="P997" s="186"/>
      <c r="Q997" s="186"/>
      <c r="R997" s="186"/>
      <c r="S997" s="1"/>
      <c r="T997" s="1"/>
    </row>
    <row r="998" spans="1:20" s="46" customFormat="1" ht="90.75" customHeight="1">
      <c r="A998" s="80" t="s">
        <v>372</v>
      </c>
      <c r="B998" s="14"/>
      <c r="C998" s="15"/>
      <c r="D998" s="15"/>
      <c r="E998" s="15" t="s">
        <v>665</v>
      </c>
      <c r="F998" s="15"/>
      <c r="G998" s="87">
        <f t="shared" ref="G998:I999" si="277">G999</f>
        <v>1180646</v>
      </c>
      <c r="H998" s="70">
        <f t="shared" si="277"/>
        <v>1157334.79</v>
      </c>
      <c r="I998" s="70">
        <f t="shared" si="277"/>
        <v>1157334.79</v>
      </c>
      <c r="J998" s="110">
        <v>37014758</v>
      </c>
      <c r="P998" s="110"/>
      <c r="Q998" s="110"/>
      <c r="R998" s="110"/>
      <c r="S998" s="110"/>
      <c r="T998" s="110"/>
    </row>
    <row r="999" spans="1:20" s="46" customFormat="1" ht="35.25" customHeight="1">
      <c r="A999" s="16" t="s">
        <v>30</v>
      </c>
      <c r="B999" s="14"/>
      <c r="C999" s="15"/>
      <c r="D999" s="15"/>
      <c r="E999" s="15" t="s">
        <v>665</v>
      </c>
      <c r="F999" s="15" t="s">
        <v>31</v>
      </c>
      <c r="G999" s="87">
        <f t="shared" si="277"/>
        <v>1180646</v>
      </c>
      <c r="H999" s="70">
        <f t="shared" si="277"/>
        <v>1157334.79</v>
      </c>
      <c r="I999" s="70">
        <f t="shared" si="277"/>
        <v>1157334.79</v>
      </c>
      <c r="J999" s="110">
        <v>1052448</v>
      </c>
      <c r="P999" s="110"/>
      <c r="Q999" s="110"/>
      <c r="R999" s="110"/>
      <c r="S999" s="110"/>
      <c r="T999" s="110"/>
    </row>
    <row r="1000" spans="1:20" s="46" customFormat="1" ht="21" customHeight="1">
      <c r="A1000" s="16" t="s">
        <v>32</v>
      </c>
      <c r="B1000" s="14"/>
      <c r="C1000" s="15"/>
      <c r="D1000" s="15"/>
      <c r="E1000" s="15" t="s">
        <v>665</v>
      </c>
      <c r="F1000" s="15" t="s">
        <v>33</v>
      </c>
      <c r="G1000" s="87">
        <f>'прил 5,'!G168</f>
        <v>1180646</v>
      </c>
      <c r="H1000" s="70">
        <f>'прил 5,'!H168</f>
        <v>1157334.79</v>
      </c>
      <c r="I1000" s="70">
        <f>'прил 5,'!I168</f>
        <v>1157334.79</v>
      </c>
      <c r="J1000" s="110">
        <v>7890673</v>
      </c>
      <c r="P1000" s="110"/>
      <c r="Q1000" s="110"/>
      <c r="R1000" s="110"/>
      <c r="S1000" s="110"/>
      <c r="T1000" s="110"/>
    </row>
    <row r="1001" spans="1:20" ht="78.75" customHeight="1">
      <c r="A1001" s="82" t="s">
        <v>271</v>
      </c>
      <c r="B1001" s="149">
        <v>757</v>
      </c>
      <c r="C1001" s="84" t="s">
        <v>26</v>
      </c>
      <c r="D1001" s="84" t="s">
        <v>70</v>
      </c>
      <c r="E1001" s="84" t="s">
        <v>592</v>
      </c>
      <c r="F1001" s="84"/>
      <c r="G1001" s="87">
        <f>G1003</f>
        <v>125300</v>
      </c>
      <c r="H1001" s="87">
        <v>0</v>
      </c>
      <c r="I1001" s="87">
        <v>0</v>
      </c>
      <c r="J1001" s="177"/>
      <c r="K1001" s="186"/>
      <c r="L1001" s="186"/>
      <c r="M1001" s="186"/>
      <c r="N1001" s="186"/>
      <c r="O1001" s="186"/>
      <c r="P1001" s="186"/>
      <c r="Q1001" s="186"/>
      <c r="R1001" s="186"/>
      <c r="S1001" s="1"/>
      <c r="T1001" s="1"/>
    </row>
    <row r="1002" spans="1:20" ht="36" customHeight="1">
      <c r="A1002" s="82" t="s">
        <v>30</v>
      </c>
      <c r="B1002" s="149">
        <v>757</v>
      </c>
      <c r="C1002" s="84" t="s">
        <v>26</v>
      </c>
      <c r="D1002" s="84" t="s">
        <v>70</v>
      </c>
      <c r="E1002" s="84" t="s">
        <v>592</v>
      </c>
      <c r="F1002" s="84" t="s">
        <v>31</v>
      </c>
      <c r="G1002" s="87">
        <f>G1003</f>
        <v>125300</v>
      </c>
      <c r="H1002" s="87">
        <v>0</v>
      </c>
      <c r="I1002" s="87">
        <v>0</v>
      </c>
      <c r="J1002" s="177"/>
      <c r="K1002" s="186"/>
      <c r="L1002" s="186"/>
      <c r="M1002" s="186"/>
      <c r="N1002" s="186"/>
      <c r="O1002" s="186"/>
      <c r="P1002" s="186"/>
      <c r="Q1002" s="186"/>
      <c r="R1002" s="186"/>
      <c r="S1002" s="1"/>
      <c r="T1002" s="1"/>
    </row>
    <row r="1003" spans="1:20" ht="19.5" customHeight="1">
      <c r="A1003" s="82" t="s">
        <v>32</v>
      </c>
      <c r="B1003" s="149">
        <v>757</v>
      </c>
      <c r="C1003" s="84" t="s">
        <v>26</v>
      </c>
      <c r="D1003" s="84" t="s">
        <v>70</v>
      </c>
      <c r="E1003" s="84" t="s">
        <v>592</v>
      </c>
      <c r="F1003" s="84" t="s">
        <v>33</v>
      </c>
      <c r="G1003" s="87">
        <f>'прил 5,'!G61</f>
        <v>125300</v>
      </c>
      <c r="H1003" s="87">
        <v>0</v>
      </c>
      <c r="I1003" s="87">
        <v>0</v>
      </c>
      <c r="J1003" s="177"/>
      <c r="K1003" s="186"/>
      <c r="L1003" s="186"/>
      <c r="M1003" s="186"/>
      <c r="N1003" s="186"/>
      <c r="O1003" s="186"/>
      <c r="P1003" s="186"/>
      <c r="Q1003" s="186"/>
      <c r="R1003" s="186"/>
      <c r="S1003" s="1"/>
      <c r="T1003" s="1"/>
    </row>
    <row r="1004" spans="1:20" ht="37.5" customHeight="1">
      <c r="A1004" s="16" t="s">
        <v>184</v>
      </c>
      <c r="B1004" s="14">
        <v>757</v>
      </c>
      <c r="C1004" s="15" t="s">
        <v>44</v>
      </c>
      <c r="D1004" s="15" t="s">
        <v>19</v>
      </c>
      <c r="E1004" s="15" t="s">
        <v>183</v>
      </c>
      <c r="F1004" s="15"/>
      <c r="G1004" s="8">
        <f>G1005</f>
        <v>0</v>
      </c>
      <c r="H1004" s="8">
        <f t="shared" ref="H1004:I1005" si="278">H1005</f>
        <v>1470600</v>
      </c>
      <c r="I1004" s="8">
        <f t="shared" si="278"/>
        <v>0</v>
      </c>
      <c r="J1004" s="1"/>
    </row>
    <row r="1005" spans="1:20" ht="25.5">
      <c r="A1005" s="16" t="s">
        <v>30</v>
      </c>
      <c r="B1005" s="14">
        <v>757</v>
      </c>
      <c r="C1005" s="15" t="s">
        <v>44</v>
      </c>
      <c r="D1005" s="15" t="s">
        <v>19</v>
      </c>
      <c r="E1005" s="15" t="s">
        <v>183</v>
      </c>
      <c r="F1005" s="15" t="s">
        <v>31</v>
      </c>
      <c r="G1005" s="8">
        <f>G1006</f>
        <v>0</v>
      </c>
      <c r="H1005" s="8">
        <f t="shared" si="278"/>
        <v>1470600</v>
      </c>
      <c r="I1005" s="8">
        <f t="shared" si="278"/>
        <v>0</v>
      </c>
      <c r="J1005" s="1"/>
    </row>
    <row r="1006" spans="1:20">
      <c r="A1006" s="16" t="s">
        <v>32</v>
      </c>
      <c r="B1006" s="14">
        <v>757</v>
      </c>
      <c r="C1006" s="15" t="s">
        <v>44</v>
      </c>
      <c r="D1006" s="15" t="s">
        <v>19</v>
      </c>
      <c r="E1006" s="15" t="s">
        <v>183</v>
      </c>
      <c r="F1006" s="15" t="s">
        <v>33</v>
      </c>
      <c r="G1006" s="8">
        <f>'прил 5,'!G255</f>
        <v>0</v>
      </c>
      <c r="H1006" s="8">
        <f>'прил 5,'!H255</f>
        <v>1470600</v>
      </c>
      <c r="I1006" s="8">
        <f>'прил 5,'!I255</f>
        <v>0</v>
      </c>
      <c r="J1006" s="1"/>
    </row>
    <row r="1007" spans="1:20" ht="101.25" hidden="1" customHeight="1">
      <c r="A1007" s="16" t="s">
        <v>271</v>
      </c>
      <c r="B1007" s="14">
        <v>757</v>
      </c>
      <c r="C1007" s="15" t="s">
        <v>26</v>
      </c>
      <c r="D1007" s="15" t="s">
        <v>70</v>
      </c>
      <c r="E1007" s="15" t="s">
        <v>772</v>
      </c>
      <c r="F1007" s="15"/>
      <c r="G1007" s="70">
        <f>G1008</f>
        <v>0</v>
      </c>
      <c r="H1007" s="70">
        <f t="shared" ref="H1007:K1008" si="279">H1008</f>
        <v>0</v>
      </c>
      <c r="I1007" s="70">
        <f t="shared" si="279"/>
        <v>0</v>
      </c>
      <c r="J1007" s="1"/>
    </row>
    <row r="1008" spans="1:20" ht="47.25" hidden="1" customHeight="1">
      <c r="A1008" s="16" t="s">
        <v>30</v>
      </c>
      <c r="B1008" s="14">
        <v>757</v>
      </c>
      <c r="C1008" s="15" t="s">
        <v>26</v>
      </c>
      <c r="D1008" s="15" t="s">
        <v>70</v>
      </c>
      <c r="E1008" s="15" t="s">
        <v>772</v>
      </c>
      <c r="F1008" s="15" t="s">
        <v>31</v>
      </c>
      <c r="G1008" s="70">
        <f>G1009</f>
        <v>0</v>
      </c>
      <c r="H1008" s="70">
        <f t="shared" si="279"/>
        <v>0</v>
      </c>
      <c r="I1008" s="70">
        <f t="shared" si="279"/>
        <v>0</v>
      </c>
      <c r="J1008" s="70">
        <f t="shared" si="279"/>
        <v>0</v>
      </c>
      <c r="K1008" s="70">
        <f t="shared" si="279"/>
        <v>0</v>
      </c>
    </row>
    <row r="1009" spans="1:20" ht="41.25" hidden="1" customHeight="1">
      <c r="A1009" s="16" t="s">
        <v>32</v>
      </c>
      <c r="B1009" s="14">
        <v>757</v>
      </c>
      <c r="C1009" s="15" t="s">
        <v>26</v>
      </c>
      <c r="D1009" s="15" t="s">
        <v>70</v>
      </c>
      <c r="E1009" s="15" t="s">
        <v>772</v>
      </c>
      <c r="F1009" s="15" t="s">
        <v>33</v>
      </c>
      <c r="G1009" s="70"/>
      <c r="H1009" s="70">
        <v>0</v>
      </c>
      <c r="I1009" s="70"/>
      <c r="J1009" s="1"/>
    </row>
    <row r="1010" spans="1:20" s="3" customFormat="1" ht="49.5" hidden="1" customHeight="1">
      <c r="A1010" s="140" t="s">
        <v>890</v>
      </c>
      <c r="B1010" s="14">
        <v>757</v>
      </c>
      <c r="C1010" s="15" t="s">
        <v>44</v>
      </c>
      <c r="D1010" s="15" t="s">
        <v>19</v>
      </c>
      <c r="E1010" s="15" t="s">
        <v>889</v>
      </c>
      <c r="F1010" s="15"/>
      <c r="G1010" s="25">
        <f>G1011</f>
        <v>0</v>
      </c>
      <c r="H1010" s="25">
        <f t="shared" ref="G1010:I1011" si="280">H1011</f>
        <v>0</v>
      </c>
      <c r="I1010" s="25">
        <f t="shared" si="280"/>
        <v>0</v>
      </c>
    </row>
    <row r="1011" spans="1:20" ht="25.5" hidden="1">
      <c r="A1011" s="82" t="s">
        <v>30</v>
      </c>
      <c r="B1011" s="14">
        <v>757</v>
      </c>
      <c r="C1011" s="15" t="s">
        <v>44</v>
      </c>
      <c r="D1011" s="15" t="s">
        <v>19</v>
      </c>
      <c r="E1011" s="15" t="s">
        <v>889</v>
      </c>
      <c r="F1011" s="15" t="s">
        <v>31</v>
      </c>
      <c r="G1011" s="8">
        <f t="shared" si="280"/>
        <v>0</v>
      </c>
      <c r="H1011" s="8">
        <f t="shared" si="280"/>
        <v>0</v>
      </c>
      <c r="I1011" s="8">
        <f t="shared" si="280"/>
        <v>0</v>
      </c>
      <c r="J1011" s="1"/>
      <c r="P1011" s="1"/>
      <c r="Q1011" s="1"/>
      <c r="R1011" s="1"/>
      <c r="S1011" s="1"/>
      <c r="T1011" s="1"/>
    </row>
    <row r="1012" spans="1:20" hidden="1">
      <c r="A1012" s="82" t="s">
        <v>32</v>
      </c>
      <c r="B1012" s="14">
        <v>757</v>
      </c>
      <c r="C1012" s="15" t="s">
        <v>44</v>
      </c>
      <c r="D1012" s="15" t="s">
        <v>19</v>
      </c>
      <c r="E1012" s="15" t="s">
        <v>889</v>
      </c>
      <c r="F1012" s="15" t="s">
        <v>33</v>
      </c>
      <c r="G1012" s="171">
        <v>0</v>
      </c>
      <c r="H1012" s="171"/>
      <c r="I1012" s="171">
        <v>0</v>
      </c>
      <c r="J1012" s="1"/>
      <c r="P1012" s="1"/>
      <c r="Q1012" s="1"/>
      <c r="R1012" s="1"/>
      <c r="S1012" s="1"/>
      <c r="T1012" s="1"/>
    </row>
    <row r="1013" spans="1:20" ht="101.25" hidden="1" customHeight="1">
      <c r="A1013" s="16" t="s">
        <v>271</v>
      </c>
      <c r="B1013" s="14">
        <v>757</v>
      </c>
      <c r="C1013" s="15" t="s">
        <v>26</v>
      </c>
      <c r="D1013" s="15" t="s">
        <v>70</v>
      </c>
      <c r="E1013" s="15" t="s">
        <v>592</v>
      </c>
      <c r="F1013" s="15"/>
      <c r="G1013" s="70">
        <f>G1014+G1017</f>
        <v>0</v>
      </c>
      <c r="H1013" s="70">
        <f t="shared" ref="H1013:K1014" si="281">H1014</f>
        <v>0</v>
      </c>
      <c r="I1013" s="70">
        <f t="shared" si="281"/>
        <v>0</v>
      </c>
      <c r="J1013" s="1"/>
    </row>
    <row r="1014" spans="1:20" ht="47.25" hidden="1" customHeight="1">
      <c r="A1014" s="16" t="s">
        <v>30</v>
      </c>
      <c r="B1014" s="14">
        <v>757</v>
      </c>
      <c r="C1014" s="15" t="s">
        <v>26</v>
      </c>
      <c r="D1014" s="15" t="s">
        <v>70</v>
      </c>
      <c r="E1014" s="15" t="s">
        <v>592</v>
      </c>
      <c r="F1014" s="15" t="s">
        <v>31</v>
      </c>
      <c r="G1014" s="70">
        <f>G1015</f>
        <v>0</v>
      </c>
      <c r="H1014" s="70">
        <f t="shared" si="281"/>
        <v>0</v>
      </c>
      <c r="I1014" s="70">
        <f t="shared" si="281"/>
        <v>0</v>
      </c>
      <c r="J1014" s="70">
        <f t="shared" si="281"/>
        <v>0</v>
      </c>
      <c r="K1014" s="70">
        <f t="shared" si="281"/>
        <v>0</v>
      </c>
    </row>
    <row r="1015" spans="1:20" ht="41.25" hidden="1" customHeight="1">
      <c r="A1015" s="16" t="s">
        <v>32</v>
      </c>
      <c r="B1015" s="14">
        <v>757</v>
      </c>
      <c r="C1015" s="15" t="s">
        <v>26</v>
      </c>
      <c r="D1015" s="15" t="s">
        <v>70</v>
      </c>
      <c r="E1015" s="15" t="s">
        <v>592</v>
      </c>
      <c r="F1015" s="15" t="s">
        <v>33</v>
      </c>
      <c r="G1015" s="70">
        <f>'прил 5,'!G83</f>
        <v>0</v>
      </c>
      <c r="H1015" s="70">
        <f>'прил 5,'!H83</f>
        <v>0</v>
      </c>
      <c r="I1015" s="70">
        <f>'прил 5,'!I83</f>
        <v>0</v>
      </c>
      <c r="J1015" s="1"/>
    </row>
    <row r="1016" spans="1:20" ht="47.25" hidden="1" customHeight="1">
      <c r="A1016" s="82" t="s">
        <v>63</v>
      </c>
      <c r="B1016" s="14">
        <v>757</v>
      </c>
      <c r="C1016" s="15" t="s">
        <v>26</v>
      </c>
      <c r="D1016" s="15" t="s">
        <v>70</v>
      </c>
      <c r="E1016" s="15" t="s">
        <v>592</v>
      </c>
      <c r="F1016" s="15" t="s">
        <v>64</v>
      </c>
      <c r="G1016" s="70">
        <f>G1017</f>
        <v>0</v>
      </c>
      <c r="H1016" s="70">
        <f t="shared" ref="H1016:K1016" si="282">H1017</f>
        <v>0</v>
      </c>
      <c r="I1016" s="70">
        <f t="shared" si="282"/>
        <v>0</v>
      </c>
      <c r="J1016" s="70">
        <f t="shared" si="282"/>
        <v>0</v>
      </c>
      <c r="K1016" s="70">
        <f t="shared" si="282"/>
        <v>0</v>
      </c>
    </row>
    <row r="1017" spans="1:20" ht="41.25" hidden="1" customHeight="1">
      <c r="A1017" s="82" t="s">
        <v>180</v>
      </c>
      <c r="B1017" s="14">
        <v>757</v>
      </c>
      <c r="C1017" s="15" t="s">
        <v>26</v>
      </c>
      <c r="D1017" s="15" t="s">
        <v>70</v>
      </c>
      <c r="E1017" s="15" t="s">
        <v>592</v>
      </c>
      <c r="F1017" s="15" t="s">
        <v>181</v>
      </c>
      <c r="G1017" s="70">
        <f>'прил 5,'!G85</f>
        <v>0</v>
      </c>
      <c r="H1017" s="70">
        <f>'прил 5,'!H85</f>
        <v>0</v>
      </c>
      <c r="I1017" s="70">
        <f>'прил 5,'!I85</f>
        <v>0</v>
      </c>
      <c r="J1017" s="1"/>
    </row>
    <row r="1018" spans="1:20" ht="84" hidden="1" customHeight="1">
      <c r="A1018" s="16" t="s">
        <v>774</v>
      </c>
      <c r="B1018" s="14">
        <v>757</v>
      </c>
      <c r="C1018" s="15" t="s">
        <v>44</v>
      </c>
      <c r="D1018" s="15" t="s">
        <v>19</v>
      </c>
      <c r="E1018" s="15" t="s">
        <v>773</v>
      </c>
      <c r="F1018" s="15"/>
      <c r="G1018" s="70">
        <f>G1019</f>
        <v>0</v>
      </c>
      <c r="H1018" s="70">
        <f t="shared" ref="H1018:K1019" si="283">H1019</f>
        <v>0</v>
      </c>
      <c r="I1018" s="70">
        <f t="shared" si="283"/>
        <v>0</v>
      </c>
      <c r="J1018" s="1"/>
    </row>
    <row r="1019" spans="1:20" ht="60" hidden="1" customHeight="1">
      <c r="A1019" s="82" t="s">
        <v>63</v>
      </c>
      <c r="B1019" s="14">
        <v>757</v>
      </c>
      <c r="C1019" s="15" t="s">
        <v>44</v>
      </c>
      <c r="D1019" s="15" t="s">
        <v>19</v>
      </c>
      <c r="E1019" s="15" t="s">
        <v>831</v>
      </c>
      <c r="F1019" s="15" t="s">
        <v>64</v>
      </c>
      <c r="G1019" s="70">
        <f>G1020</f>
        <v>0</v>
      </c>
      <c r="H1019" s="70">
        <f t="shared" si="283"/>
        <v>0</v>
      </c>
      <c r="I1019" s="70">
        <f t="shared" si="283"/>
        <v>0</v>
      </c>
      <c r="J1019" s="70">
        <f t="shared" si="283"/>
        <v>0</v>
      </c>
      <c r="K1019" s="70">
        <f t="shared" si="283"/>
        <v>0</v>
      </c>
    </row>
    <row r="1020" spans="1:20" ht="60" hidden="1" customHeight="1">
      <c r="A1020" s="82" t="s">
        <v>180</v>
      </c>
      <c r="B1020" s="14">
        <v>757</v>
      </c>
      <c r="C1020" s="15" t="s">
        <v>44</v>
      </c>
      <c r="D1020" s="15" t="s">
        <v>19</v>
      </c>
      <c r="E1020" s="15" t="s">
        <v>773</v>
      </c>
      <c r="F1020" s="15" t="s">
        <v>181</v>
      </c>
      <c r="G1020" s="70">
        <f>'прил 5,'!G268</f>
        <v>0</v>
      </c>
      <c r="H1020" s="70">
        <v>0</v>
      </c>
      <c r="I1020" s="70">
        <v>0</v>
      </c>
      <c r="J1020" s="1"/>
    </row>
    <row r="1021" spans="1:20" ht="84" hidden="1" customHeight="1">
      <c r="A1021" s="16" t="s">
        <v>774</v>
      </c>
      <c r="B1021" s="14">
        <v>757</v>
      </c>
      <c r="C1021" s="15" t="s">
        <v>44</v>
      </c>
      <c r="D1021" s="15" t="s">
        <v>19</v>
      </c>
      <c r="E1021" s="15" t="s">
        <v>574</v>
      </c>
      <c r="F1021" s="15"/>
      <c r="G1021" s="70">
        <f>G1022</f>
        <v>0</v>
      </c>
      <c r="H1021" s="70">
        <f t="shared" ref="H1021:K1022" si="284">H1022</f>
        <v>0</v>
      </c>
      <c r="I1021" s="70">
        <f t="shared" si="284"/>
        <v>0</v>
      </c>
      <c r="J1021" s="1"/>
    </row>
    <row r="1022" spans="1:20" ht="60" hidden="1" customHeight="1">
      <c r="A1022" s="16" t="s">
        <v>30</v>
      </c>
      <c r="B1022" s="14">
        <v>757</v>
      </c>
      <c r="C1022" s="15" t="s">
        <v>44</v>
      </c>
      <c r="D1022" s="15" t="s">
        <v>19</v>
      </c>
      <c r="E1022" s="15" t="s">
        <v>574</v>
      </c>
      <c r="F1022" s="15" t="s">
        <v>31</v>
      </c>
      <c r="G1022" s="70">
        <f>G1023</f>
        <v>0</v>
      </c>
      <c r="H1022" s="70">
        <f t="shared" si="284"/>
        <v>0</v>
      </c>
      <c r="I1022" s="70">
        <f t="shared" si="284"/>
        <v>0</v>
      </c>
      <c r="J1022" s="70">
        <f t="shared" si="284"/>
        <v>0</v>
      </c>
      <c r="K1022" s="70">
        <f t="shared" si="284"/>
        <v>0</v>
      </c>
    </row>
    <row r="1023" spans="1:20" ht="60" hidden="1" customHeight="1">
      <c r="A1023" s="16" t="s">
        <v>32</v>
      </c>
      <c r="B1023" s="14">
        <v>757</v>
      </c>
      <c r="C1023" s="15" t="s">
        <v>44</v>
      </c>
      <c r="D1023" s="15" t="s">
        <v>19</v>
      </c>
      <c r="E1023" s="15" t="s">
        <v>574</v>
      </c>
      <c r="F1023" s="15" t="s">
        <v>33</v>
      </c>
      <c r="G1023" s="70">
        <f>'прил 5,'!G271</f>
        <v>0</v>
      </c>
      <c r="H1023" s="70">
        <v>0</v>
      </c>
      <c r="I1023" s="70">
        <v>0</v>
      </c>
      <c r="J1023" s="1"/>
    </row>
    <row r="1024" spans="1:20" ht="27.75" customHeight="1">
      <c r="A1024" s="82" t="s">
        <v>928</v>
      </c>
      <c r="B1024" s="14">
        <v>757</v>
      </c>
      <c r="C1024" s="15" t="s">
        <v>44</v>
      </c>
      <c r="D1024" s="15" t="s">
        <v>19</v>
      </c>
      <c r="E1024" s="15" t="s">
        <v>929</v>
      </c>
      <c r="F1024" s="15"/>
      <c r="G1024" s="8">
        <f>G1025</f>
        <v>4682558</v>
      </c>
      <c r="H1024" s="8">
        <f t="shared" ref="H1024:I1024" si="285">H1025</f>
        <v>0</v>
      </c>
      <c r="I1024" s="8">
        <f t="shared" si="285"/>
        <v>0</v>
      </c>
      <c r="J1024" s="178"/>
      <c r="K1024" s="90"/>
      <c r="L1024" s="90"/>
      <c r="M1024" s="90"/>
      <c r="N1024" s="90"/>
      <c r="P1024" s="1"/>
      <c r="Q1024" s="1"/>
      <c r="R1024" s="1"/>
      <c r="S1024" s="1"/>
      <c r="T1024" s="1"/>
    </row>
    <row r="1025" spans="1:20" s="3" customFormat="1" ht="22.5" customHeight="1">
      <c r="A1025" s="140" t="s">
        <v>891</v>
      </c>
      <c r="B1025" s="14">
        <v>757</v>
      </c>
      <c r="C1025" s="15" t="s">
        <v>44</v>
      </c>
      <c r="D1025" s="15" t="s">
        <v>19</v>
      </c>
      <c r="E1025" s="15" t="s">
        <v>927</v>
      </c>
      <c r="F1025" s="15"/>
      <c r="G1025" s="25">
        <f>G1026</f>
        <v>4682558</v>
      </c>
      <c r="H1025" s="25">
        <f t="shared" ref="G1025:I1026" si="286">H1026</f>
        <v>0</v>
      </c>
      <c r="I1025" s="25">
        <f t="shared" si="286"/>
        <v>0</v>
      </c>
    </row>
    <row r="1026" spans="1:20" ht="25.5">
      <c r="A1026" s="82" t="s">
        <v>30</v>
      </c>
      <c r="B1026" s="14">
        <v>757</v>
      </c>
      <c r="C1026" s="15" t="s">
        <v>44</v>
      </c>
      <c r="D1026" s="15" t="s">
        <v>19</v>
      </c>
      <c r="E1026" s="15" t="s">
        <v>927</v>
      </c>
      <c r="F1026" s="15" t="s">
        <v>31</v>
      </c>
      <c r="G1026" s="8">
        <f t="shared" si="286"/>
        <v>4682558</v>
      </c>
      <c r="H1026" s="8">
        <f t="shared" si="286"/>
        <v>0</v>
      </c>
      <c r="I1026" s="8">
        <f t="shared" si="286"/>
        <v>0</v>
      </c>
      <c r="J1026" s="1"/>
      <c r="P1026" s="1"/>
      <c r="Q1026" s="1"/>
      <c r="R1026" s="1"/>
      <c r="S1026" s="1"/>
      <c r="T1026" s="1"/>
    </row>
    <row r="1027" spans="1:20">
      <c r="A1027" s="82" t="s">
        <v>32</v>
      </c>
      <c r="B1027" s="14">
        <v>757</v>
      </c>
      <c r="C1027" s="15" t="s">
        <v>44</v>
      </c>
      <c r="D1027" s="15" t="s">
        <v>19</v>
      </c>
      <c r="E1027" s="15" t="s">
        <v>927</v>
      </c>
      <c r="F1027" s="15" t="s">
        <v>33</v>
      </c>
      <c r="G1027" s="8">
        <f>'прил 5,'!G216</f>
        <v>4682558</v>
      </c>
      <c r="H1027" s="8">
        <v>0</v>
      </c>
      <c r="I1027" s="8">
        <v>0</v>
      </c>
      <c r="J1027" s="1"/>
      <c r="P1027" s="1"/>
      <c r="Q1027" s="1"/>
      <c r="R1027" s="1"/>
      <c r="S1027" s="1"/>
      <c r="T1027" s="1"/>
    </row>
    <row r="1028" spans="1:20" s="76" customFormat="1" ht="36.75" customHeight="1">
      <c r="A1028" s="233" t="s">
        <v>484</v>
      </c>
      <c r="B1028" s="35">
        <v>757</v>
      </c>
      <c r="C1028" s="36" t="s">
        <v>72</v>
      </c>
      <c r="D1028" s="36" t="s">
        <v>28</v>
      </c>
      <c r="E1028" s="36" t="s">
        <v>195</v>
      </c>
      <c r="F1028" s="36"/>
      <c r="G1028" s="71">
        <f>G1029+G1032+G1035+G1038</f>
        <v>4266426</v>
      </c>
      <c r="H1028" s="71">
        <f t="shared" ref="H1028:I1028" si="287">H1029+H1032+H1035+H1038</f>
        <v>445360</v>
      </c>
      <c r="I1028" s="71">
        <f t="shared" si="287"/>
        <v>445360</v>
      </c>
      <c r="J1028" s="239">
        <v>18813863</v>
      </c>
      <c r="P1028" s="239"/>
      <c r="Q1028" s="239"/>
      <c r="R1028" s="239"/>
      <c r="S1028" s="239"/>
      <c r="T1028" s="239"/>
    </row>
    <row r="1029" spans="1:20" s="28" customFormat="1" ht="27.75" customHeight="1">
      <c r="A1029" s="37" t="s">
        <v>73</v>
      </c>
      <c r="B1029" s="14">
        <v>757</v>
      </c>
      <c r="C1029" s="15" t="s">
        <v>72</v>
      </c>
      <c r="D1029" s="15" t="s">
        <v>28</v>
      </c>
      <c r="E1029" s="15" t="s">
        <v>206</v>
      </c>
      <c r="F1029" s="15"/>
      <c r="G1029" s="70">
        <f t="shared" ref="G1029:I1030" si="288">G1030</f>
        <v>441360</v>
      </c>
      <c r="H1029" s="70">
        <f t="shared" si="288"/>
        <v>445360</v>
      </c>
      <c r="I1029" s="70">
        <f t="shared" si="288"/>
        <v>445360</v>
      </c>
      <c r="J1029" s="109">
        <v>419925</v>
      </c>
      <c r="P1029" s="109"/>
      <c r="Q1029" s="109"/>
      <c r="R1029" s="109"/>
      <c r="S1029" s="109"/>
      <c r="T1029" s="109"/>
    </row>
    <row r="1030" spans="1:20" s="32" customFormat="1" ht="28.5" customHeight="1">
      <c r="A1030" s="16" t="s">
        <v>36</v>
      </c>
      <c r="B1030" s="14">
        <v>757</v>
      </c>
      <c r="C1030" s="15" t="s">
        <v>72</v>
      </c>
      <c r="D1030" s="15" t="s">
        <v>28</v>
      </c>
      <c r="E1030" s="15" t="s">
        <v>206</v>
      </c>
      <c r="F1030" s="15" t="s">
        <v>37</v>
      </c>
      <c r="G1030" s="70">
        <f t="shared" si="288"/>
        <v>441360</v>
      </c>
      <c r="H1030" s="70">
        <f t="shared" si="288"/>
        <v>445360</v>
      </c>
      <c r="I1030" s="70">
        <f t="shared" si="288"/>
        <v>445360</v>
      </c>
      <c r="J1030" s="31">
        <f>SUM(J1028:J1029)</f>
        <v>19233788</v>
      </c>
      <c r="P1030" s="31"/>
      <c r="Q1030" s="31"/>
      <c r="R1030" s="31"/>
      <c r="S1030" s="31"/>
      <c r="T1030" s="31"/>
    </row>
    <row r="1031" spans="1:20" s="32" customFormat="1" ht="25.5">
      <c r="A1031" s="16" t="s">
        <v>38</v>
      </c>
      <c r="B1031" s="14">
        <v>757</v>
      </c>
      <c r="C1031" s="15" t="s">
        <v>72</v>
      </c>
      <c r="D1031" s="15" t="s">
        <v>28</v>
      </c>
      <c r="E1031" s="15" t="s">
        <v>206</v>
      </c>
      <c r="F1031" s="15" t="s">
        <v>39</v>
      </c>
      <c r="G1031" s="70">
        <f>'прил 5,'!G387+'прил 5,'!G1801</f>
        <v>441360</v>
      </c>
      <c r="H1031" s="70">
        <f>'прил 5,'!H387+'прил 5,'!H1801</f>
        <v>445360</v>
      </c>
      <c r="I1031" s="70">
        <f>'прил 5,'!I387+'прил 5,'!I1801</f>
        <v>445360</v>
      </c>
      <c r="J1031" s="31"/>
      <c r="P1031" s="31"/>
      <c r="Q1031" s="31"/>
      <c r="R1031" s="31"/>
      <c r="S1031" s="31"/>
      <c r="T1031" s="31"/>
    </row>
    <row r="1032" spans="1:20" s="169" customFormat="1" ht="33.75" customHeight="1">
      <c r="A1032" s="139" t="s">
        <v>1120</v>
      </c>
      <c r="B1032" s="84" t="s">
        <v>94</v>
      </c>
      <c r="C1032" s="84" t="s">
        <v>26</v>
      </c>
      <c r="D1032" s="84" t="s">
        <v>70</v>
      </c>
      <c r="E1032" s="84" t="s">
        <v>1119</v>
      </c>
      <c r="F1032" s="84"/>
      <c r="G1032" s="87">
        <f>G1033</f>
        <v>1304678.8</v>
      </c>
      <c r="H1032" s="87">
        <f t="shared" ref="H1032:I1032" si="289">H1033</f>
        <v>0</v>
      </c>
      <c r="I1032" s="87">
        <f t="shared" si="289"/>
        <v>0</v>
      </c>
      <c r="J1032" s="177"/>
      <c r="K1032" s="204"/>
      <c r="L1032" s="204"/>
      <c r="M1032" s="204"/>
      <c r="N1032" s="204"/>
      <c r="O1032" s="204"/>
      <c r="P1032" s="204"/>
      <c r="Q1032" s="204"/>
      <c r="R1032" s="204"/>
    </row>
    <row r="1033" spans="1:20" s="227" customFormat="1" ht="28.5" customHeight="1">
      <c r="A1033" s="82" t="s">
        <v>30</v>
      </c>
      <c r="B1033" s="84" t="s">
        <v>94</v>
      </c>
      <c r="C1033" s="84" t="s">
        <v>26</v>
      </c>
      <c r="D1033" s="84" t="s">
        <v>70</v>
      </c>
      <c r="E1033" s="84" t="s">
        <v>1119</v>
      </c>
      <c r="F1033" s="84" t="s">
        <v>31</v>
      </c>
      <c r="G1033" s="87">
        <f>G1034</f>
        <v>1304678.8</v>
      </c>
      <c r="H1033" s="87">
        <f>H1034</f>
        <v>0</v>
      </c>
      <c r="I1033" s="87">
        <f>I1034</f>
        <v>0</v>
      </c>
      <c r="J1033" s="177"/>
      <c r="K1033" s="203"/>
      <c r="L1033" s="203"/>
      <c r="M1033" s="203"/>
      <c r="N1033" s="203"/>
      <c r="O1033" s="203"/>
      <c r="P1033" s="203"/>
      <c r="Q1033" s="203"/>
      <c r="R1033" s="203"/>
    </row>
    <row r="1034" spans="1:20" s="227" customFormat="1">
      <c r="A1034" s="82" t="s">
        <v>32</v>
      </c>
      <c r="B1034" s="84" t="s">
        <v>94</v>
      </c>
      <c r="C1034" s="84" t="s">
        <v>26</v>
      </c>
      <c r="D1034" s="84" t="s">
        <v>70</v>
      </c>
      <c r="E1034" s="84" t="s">
        <v>1119</v>
      </c>
      <c r="F1034" s="84" t="s">
        <v>33</v>
      </c>
      <c r="G1034" s="87">
        <f>'прил 5,'!G911</f>
        <v>1304678.8</v>
      </c>
      <c r="H1034" s="87">
        <v>0</v>
      </c>
      <c r="I1034" s="87">
        <v>0</v>
      </c>
      <c r="J1034" s="177"/>
      <c r="K1034" s="205"/>
      <c r="L1034" s="203"/>
      <c r="M1034" s="203"/>
      <c r="N1034" s="203"/>
      <c r="O1034" s="203"/>
      <c r="P1034" s="203"/>
      <c r="Q1034" s="203"/>
      <c r="R1034" s="203"/>
    </row>
    <row r="1035" spans="1:20" s="169" customFormat="1" ht="43.5" customHeight="1">
      <c r="A1035" s="139" t="s">
        <v>1121</v>
      </c>
      <c r="B1035" s="84" t="s">
        <v>94</v>
      </c>
      <c r="C1035" s="84" t="s">
        <v>26</v>
      </c>
      <c r="D1035" s="84" t="s">
        <v>70</v>
      </c>
      <c r="E1035" s="84" t="s">
        <v>1122</v>
      </c>
      <c r="F1035" s="84"/>
      <c r="G1035" s="87">
        <f>G1036</f>
        <v>58827.199999999997</v>
      </c>
      <c r="H1035" s="87">
        <f t="shared" ref="H1035:I1035" si="290">H1036</f>
        <v>0</v>
      </c>
      <c r="I1035" s="87">
        <f t="shared" si="290"/>
        <v>0</v>
      </c>
      <c r="J1035" s="177"/>
      <c r="K1035" s="204"/>
      <c r="L1035" s="204"/>
      <c r="M1035" s="204"/>
      <c r="N1035" s="204"/>
      <c r="O1035" s="204"/>
      <c r="P1035" s="204"/>
      <c r="Q1035" s="204"/>
      <c r="R1035" s="204"/>
    </row>
    <row r="1036" spans="1:20" s="227" customFormat="1" ht="28.5" customHeight="1">
      <c r="A1036" s="82" t="s">
        <v>30</v>
      </c>
      <c r="B1036" s="84" t="s">
        <v>94</v>
      </c>
      <c r="C1036" s="84" t="s">
        <v>26</v>
      </c>
      <c r="D1036" s="84" t="s">
        <v>70</v>
      </c>
      <c r="E1036" s="84" t="s">
        <v>1122</v>
      </c>
      <c r="F1036" s="84" t="s">
        <v>31</v>
      </c>
      <c r="G1036" s="87">
        <f>G1037</f>
        <v>58827.199999999997</v>
      </c>
      <c r="H1036" s="87">
        <f>H1037</f>
        <v>0</v>
      </c>
      <c r="I1036" s="87">
        <f>I1037</f>
        <v>0</v>
      </c>
      <c r="J1036" s="177"/>
      <c r="K1036" s="203"/>
      <c r="L1036" s="203"/>
      <c r="M1036" s="203"/>
      <c r="N1036" s="203"/>
      <c r="O1036" s="203"/>
      <c r="P1036" s="203"/>
      <c r="Q1036" s="203"/>
      <c r="R1036" s="203"/>
    </row>
    <row r="1037" spans="1:20" s="227" customFormat="1">
      <c r="A1037" s="82" t="s">
        <v>32</v>
      </c>
      <c r="B1037" s="84" t="s">
        <v>94</v>
      </c>
      <c r="C1037" s="84" t="s">
        <v>26</v>
      </c>
      <c r="D1037" s="84" t="s">
        <v>70</v>
      </c>
      <c r="E1037" s="84" t="s">
        <v>1122</v>
      </c>
      <c r="F1037" s="84" t="s">
        <v>33</v>
      </c>
      <c r="G1037" s="87">
        <f>'прил 5,'!G914</f>
        <v>58827.199999999997</v>
      </c>
      <c r="H1037" s="87">
        <v>0</v>
      </c>
      <c r="I1037" s="87">
        <v>0</v>
      </c>
      <c r="J1037" s="177"/>
      <c r="K1037" s="205"/>
      <c r="L1037" s="203"/>
      <c r="M1037" s="203"/>
      <c r="N1037" s="203"/>
      <c r="O1037" s="203"/>
      <c r="P1037" s="203"/>
      <c r="Q1037" s="203"/>
      <c r="R1037" s="203"/>
    </row>
    <row r="1038" spans="1:20" s="28" customFormat="1" ht="31.5" customHeight="1">
      <c r="A1038" s="37" t="s">
        <v>618</v>
      </c>
      <c r="B1038" s="14">
        <v>793</v>
      </c>
      <c r="C1038" s="15" t="s">
        <v>72</v>
      </c>
      <c r="D1038" s="15" t="s">
        <v>28</v>
      </c>
      <c r="E1038" s="15" t="s">
        <v>546</v>
      </c>
      <c r="F1038" s="15"/>
      <c r="G1038" s="70">
        <f>G1039</f>
        <v>2461560</v>
      </c>
      <c r="H1038" s="70">
        <f t="shared" ref="H1038:I1038" si="291">H1039</f>
        <v>0</v>
      </c>
      <c r="I1038" s="70">
        <f t="shared" si="291"/>
        <v>0</v>
      </c>
      <c r="P1038" s="109"/>
      <c r="Q1038" s="109"/>
      <c r="R1038" s="109"/>
      <c r="S1038" s="109"/>
      <c r="T1038" s="109"/>
    </row>
    <row r="1039" spans="1:20" s="32" customFormat="1" ht="28.5" customHeight="1">
      <c r="A1039" s="16" t="s">
        <v>30</v>
      </c>
      <c r="B1039" s="14">
        <v>793</v>
      </c>
      <c r="C1039" s="15" t="s">
        <v>72</v>
      </c>
      <c r="D1039" s="15" t="s">
        <v>28</v>
      </c>
      <c r="E1039" s="15" t="s">
        <v>546</v>
      </c>
      <c r="F1039" s="15" t="s">
        <v>31</v>
      </c>
      <c r="G1039" s="70">
        <f>G1040</f>
        <v>2461560</v>
      </c>
      <c r="H1039" s="70">
        <f>H1040</f>
        <v>0</v>
      </c>
      <c r="I1039" s="70">
        <f>I1040</f>
        <v>0</v>
      </c>
      <c r="P1039" s="31"/>
      <c r="Q1039" s="31"/>
      <c r="R1039" s="31"/>
      <c r="S1039" s="31"/>
      <c r="T1039" s="31"/>
    </row>
    <row r="1040" spans="1:20" s="32" customFormat="1">
      <c r="A1040" s="16" t="s">
        <v>32</v>
      </c>
      <c r="B1040" s="14">
        <v>793</v>
      </c>
      <c r="C1040" s="15" t="s">
        <v>72</v>
      </c>
      <c r="D1040" s="15" t="s">
        <v>28</v>
      </c>
      <c r="E1040" s="15" t="s">
        <v>546</v>
      </c>
      <c r="F1040" s="15" t="s">
        <v>33</v>
      </c>
      <c r="G1040" s="70">
        <f>'прил 5,'!G917</f>
        <v>2461560</v>
      </c>
      <c r="H1040" s="70">
        <f>'прил 5,'!H917</f>
        <v>0</v>
      </c>
      <c r="I1040" s="70">
        <f>'прил 5,'!I917</f>
        <v>0</v>
      </c>
      <c r="J1040" s="31">
        <f>J1047-G1047</f>
        <v>230000</v>
      </c>
      <c r="P1040" s="31"/>
      <c r="Q1040" s="31"/>
      <c r="R1040" s="31"/>
      <c r="S1040" s="31"/>
      <c r="T1040" s="31"/>
    </row>
    <row r="1041" spans="1:20" s="28" customFormat="1" ht="27.75" hidden="1" customHeight="1">
      <c r="A1041" s="37" t="s">
        <v>702</v>
      </c>
      <c r="B1041" s="14">
        <v>757</v>
      </c>
      <c r="C1041" s="15" t="s">
        <v>26</v>
      </c>
      <c r="D1041" s="15" t="s">
        <v>70</v>
      </c>
      <c r="E1041" s="15" t="s">
        <v>701</v>
      </c>
      <c r="F1041" s="15"/>
      <c r="G1041" s="70">
        <f>G1042</f>
        <v>0</v>
      </c>
      <c r="H1041" s="70">
        <f t="shared" ref="H1041:I1041" si="292">H1042</f>
        <v>0</v>
      </c>
      <c r="I1041" s="70">
        <f t="shared" si="292"/>
        <v>0</v>
      </c>
      <c r="P1041" s="109"/>
      <c r="Q1041" s="109"/>
      <c r="R1041" s="109"/>
      <c r="S1041" s="109"/>
      <c r="T1041" s="109"/>
    </row>
    <row r="1042" spans="1:20" s="32" customFormat="1" ht="28.5" hidden="1" customHeight="1">
      <c r="A1042" s="16" t="s">
        <v>30</v>
      </c>
      <c r="B1042" s="14">
        <v>757</v>
      </c>
      <c r="C1042" s="15" t="s">
        <v>26</v>
      </c>
      <c r="D1042" s="15" t="s">
        <v>70</v>
      </c>
      <c r="E1042" s="15" t="s">
        <v>701</v>
      </c>
      <c r="F1042" s="15" t="s">
        <v>31</v>
      </c>
      <c r="G1042" s="70">
        <f>G1043</f>
        <v>0</v>
      </c>
      <c r="H1042" s="70">
        <f>H1043</f>
        <v>0</v>
      </c>
      <c r="I1042" s="70">
        <f>I1043</f>
        <v>0</v>
      </c>
      <c r="P1042" s="31"/>
      <c r="Q1042" s="31"/>
      <c r="R1042" s="31"/>
      <c r="S1042" s="31"/>
      <c r="T1042" s="31"/>
    </row>
    <row r="1043" spans="1:20" s="32" customFormat="1" hidden="1">
      <c r="A1043" s="16" t="s">
        <v>32</v>
      </c>
      <c r="B1043" s="14">
        <v>757</v>
      </c>
      <c r="C1043" s="15" t="s">
        <v>26</v>
      </c>
      <c r="D1043" s="15" t="s">
        <v>70</v>
      </c>
      <c r="E1043" s="15" t="s">
        <v>701</v>
      </c>
      <c r="F1043" s="15" t="s">
        <v>33</v>
      </c>
      <c r="G1043" s="70">
        <f>'прил 5,'!G884</f>
        <v>0</v>
      </c>
      <c r="H1043" s="70"/>
      <c r="I1043" s="70"/>
      <c r="J1043" s="31">
        <f>J1047-G1047</f>
        <v>230000</v>
      </c>
      <c r="P1043" s="31"/>
      <c r="Q1043" s="31"/>
      <c r="R1043" s="31"/>
      <c r="S1043" s="31"/>
      <c r="T1043" s="31"/>
    </row>
    <row r="1044" spans="1:20" s="28" customFormat="1" ht="27.75" hidden="1" customHeight="1">
      <c r="A1044" s="37" t="s">
        <v>618</v>
      </c>
      <c r="B1044" s="15" t="s">
        <v>94</v>
      </c>
      <c r="C1044" s="15" t="s">
        <v>26</v>
      </c>
      <c r="D1044" s="15" t="s">
        <v>70</v>
      </c>
      <c r="E1044" s="15" t="s">
        <v>546</v>
      </c>
      <c r="F1044" s="15"/>
      <c r="G1044" s="70">
        <f>G1045</f>
        <v>0</v>
      </c>
      <c r="H1044" s="70">
        <f t="shared" ref="H1044:I1044" si="293">H1045</f>
        <v>0</v>
      </c>
      <c r="I1044" s="70">
        <f t="shared" si="293"/>
        <v>0</v>
      </c>
      <c r="P1044" s="109"/>
      <c r="Q1044" s="109"/>
      <c r="R1044" s="109"/>
      <c r="S1044" s="109"/>
      <c r="T1044" s="109"/>
    </row>
    <row r="1045" spans="1:20" s="32" customFormat="1" ht="28.5" hidden="1" customHeight="1">
      <c r="A1045" s="16" t="s">
        <v>30</v>
      </c>
      <c r="B1045" s="15" t="s">
        <v>94</v>
      </c>
      <c r="C1045" s="15" t="s">
        <v>26</v>
      </c>
      <c r="D1045" s="15" t="s">
        <v>70</v>
      </c>
      <c r="E1045" s="15" t="s">
        <v>546</v>
      </c>
      <c r="F1045" s="15" t="s">
        <v>31</v>
      </c>
      <c r="G1045" s="70">
        <f>G1046</f>
        <v>0</v>
      </c>
      <c r="H1045" s="70">
        <f>H1046</f>
        <v>0</v>
      </c>
      <c r="I1045" s="70">
        <f>I1046</f>
        <v>0</v>
      </c>
      <c r="P1045" s="31"/>
      <c r="Q1045" s="31"/>
      <c r="R1045" s="31"/>
      <c r="S1045" s="31"/>
      <c r="T1045" s="31"/>
    </row>
    <row r="1046" spans="1:20" s="32" customFormat="1" hidden="1">
      <c r="A1046" s="16" t="s">
        <v>32</v>
      </c>
      <c r="B1046" s="15" t="s">
        <v>94</v>
      </c>
      <c r="C1046" s="15" t="s">
        <v>26</v>
      </c>
      <c r="D1046" s="15" t="s">
        <v>70</v>
      </c>
      <c r="E1046" s="15" t="s">
        <v>546</v>
      </c>
      <c r="F1046" s="15" t="s">
        <v>33</v>
      </c>
      <c r="G1046" s="70"/>
      <c r="H1046" s="70"/>
      <c r="I1046" s="70"/>
      <c r="J1046" s="31">
        <f>J1050-G1050</f>
        <v>-50000</v>
      </c>
      <c r="P1046" s="31"/>
      <c r="Q1046" s="31"/>
      <c r="R1046" s="31"/>
      <c r="S1046" s="31"/>
      <c r="T1046" s="31"/>
    </row>
    <row r="1047" spans="1:20" s="22" customFormat="1" ht="51.75" customHeight="1">
      <c r="A1047" s="34" t="s">
        <v>476</v>
      </c>
      <c r="B1047" s="35">
        <v>793</v>
      </c>
      <c r="C1047" s="36" t="s">
        <v>54</v>
      </c>
      <c r="D1047" s="36" t="s">
        <v>88</v>
      </c>
      <c r="E1047" s="35" t="s">
        <v>259</v>
      </c>
      <c r="F1047" s="35"/>
      <c r="G1047" s="71">
        <f>G1048</f>
        <v>50000</v>
      </c>
      <c r="H1047" s="71">
        <f t="shared" ref="H1047:I1050" si="294">H1048</f>
        <v>50000</v>
      </c>
      <c r="I1047" s="71">
        <f t="shared" si="294"/>
        <v>50000</v>
      </c>
      <c r="J1047" s="21">
        <v>280000</v>
      </c>
      <c r="P1047" s="21"/>
      <c r="Q1047" s="21"/>
      <c r="R1047" s="21"/>
      <c r="S1047" s="21"/>
      <c r="T1047" s="21"/>
    </row>
    <row r="1048" spans="1:20" ht="36" hidden="1" customHeight="1">
      <c r="A1048" s="16" t="s">
        <v>114</v>
      </c>
      <c r="B1048" s="14">
        <v>793</v>
      </c>
      <c r="C1048" s="15" t="s">
        <v>54</v>
      </c>
      <c r="D1048" s="15" t="s">
        <v>88</v>
      </c>
      <c r="E1048" s="14" t="s">
        <v>259</v>
      </c>
      <c r="F1048" s="14"/>
      <c r="G1048" s="87">
        <f>G1049</f>
        <v>50000</v>
      </c>
      <c r="H1048" s="87">
        <f t="shared" si="294"/>
        <v>50000</v>
      </c>
      <c r="I1048" s="87">
        <f t="shared" si="294"/>
        <v>50000</v>
      </c>
    </row>
    <row r="1049" spans="1:20" ht="39" customHeight="1">
      <c r="A1049" s="16" t="s">
        <v>369</v>
      </c>
      <c r="B1049" s="14">
        <v>793</v>
      </c>
      <c r="C1049" s="15" t="s">
        <v>54</v>
      </c>
      <c r="D1049" s="15" t="s">
        <v>88</v>
      </c>
      <c r="E1049" s="14" t="s">
        <v>260</v>
      </c>
      <c r="F1049" s="14"/>
      <c r="G1049" s="87">
        <f>G1050</f>
        <v>50000</v>
      </c>
      <c r="H1049" s="87">
        <f t="shared" si="294"/>
        <v>50000</v>
      </c>
      <c r="I1049" s="87">
        <f t="shared" si="294"/>
        <v>50000</v>
      </c>
    </row>
    <row r="1050" spans="1:20" ht="27.75" customHeight="1">
      <c r="A1050" s="16" t="s">
        <v>323</v>
      </c>
      <c r="B1050" s="14">
        <v>793</v>
      </c>
      <c r="C1050" s="15" t="s">
        <v>54</v>
      </c>
      <c r="D1050" s="15" t="s">
        <v>88</v>
      </c>
      <c r="E1050" s="14" t="s">
        <v>260</v>
      </c>
      <c r="F1050" s="14">
        <v>200</v>
      </c>
      <c r="G1050" s="87">
        <f>G1051</f>
        <v>50000</v>
      </c>
      <c r="H1050" s="87">
        <f t="shared" si="294"/>
        <v>50000</v>
      </c>
      <c r="I1050" s="87">
        <f t="shared" si="294"/>
        <v>50000</v>
      </c>
    </row>
    <row r="1051" spans="1:20" ht="27.75" customHeight="1">
      <c r="A1051" s="16" t="s">
        <v>38</v>
      </c>
      <c r="B1051" s="14">
        <v>793</v>
      </c>
      <c r="C1051" s="15" t="s">
        <v>54</v>
      </c>
      <c r="D1051" s="15" t="s">
        <v>88</v>
      </c>
      <c r="E1051" s="14" t="s">
        <v>260</v>
      </c>
      <c r="F1051" s="14">
        <v>240</v>
      </c>
      <c r="G1051" s="87">
        <f>'прил 5,'!G1464</f>
        <v>50000</v>
      </c>
      <c r="H1051" s="87">
        <f>'прил 5,'!H1464</f>
        <v>50000</v>
      </c>
      <c r="I1051" s="87">
        <f>'прил 5,'!I1464</f>
        <v>50000</v>
      </c>
    </row>
    <row r="1052" spans="1:20" s="235" customFormat="1" ht="35.25" customHeight="1">
      <c r="A1052" s="34" t="s">
        <v>480</v>
      </c>
      <c r="B1052" s="35">
        <v>757</v>
      </c>
      <c r="C1052" s="36" t="s">
        <v>26</v>
      </c>
      <c r="D1052" s="36" t="s">
        <v>26</v>
      </c>
      <c r="E1052" s="36" t="s">
        <v>197</v>
      </c>
      <c r="F1052" s="36"/>
      <c r="G1052" s="71">
        <f>G1056+G1062+G1059+G1053</f>
        <v>359344.32</v>
      </c>
      <c r="H1052" s="71">
        <f>H1056+H1062+H1059</f>
        <v>189000</v>
      </c>
      <c r="I1052" s="71">
        <f>I1056+I1062+I1059</f>
        <v>189000</v>
      </c>
      <c r="J1052" s="234">
        <v>30000</v>
      </c>
      <c r="P1052" s="234"/>
      <c r="Q1052" s="234"/>
      <c r="R1052" s="234"/>
      <c r="S1052" s="234"/>
      <c r="T1052" s="234"/>
    </row>
    <row r="1053" spans="1:20" s="18" customFormat="1" ht="38.25">
      <c r="A1053" s="82" t="s">
        <v>1127</v>
      </c>
      <c r="B1053" s="84" t="s">
        <v>94</v>
      </c>
      <c r="C1053" s="84" t="s">
        <v>26</v>
      </c>
      <c r="D1053" s="84" t="s">
        <v>26</v>
      </c>
      <c r="E1053" s="84" t="s">
        <v>1128</v>
      </c>
      <c r="F1053" s="84"/>
      <c r="G1053" s="87">
        <f>G1054</f>
        <v>27944.32</v>
      </c>
      <c r="H1053" s="87">
        <f t="shared" ref="H1053:I1054" si="295">H1054</f>
        <v>0</v>
      </c>
      <c r="I1053" s="87">
        <f t="shared" si="295"/>
        <v>0</v>
      </c>
      <c r="J1053" s="177"/>
      <c r="K1053" s="200"/>
      <c r="L1053" s="200"/>
      <c r="M1053" s="200"/>
      <c r="N1053" s="200"/>
      <c r="O1053" s="200"/>
      <c r="P1053" s="200"/>
      <c r="Q1053" s="200"/>
      <c r="R1053" s="200"/>
    </row>
    <row r="1054" spans="1:20" s="18" customFormat="1" ht="25.5">
      <c r="A1054" s="82" t="s">
        <v>30</v>
      </c>
      <c r="B1054" s="84" t="s">
        <v>94</v>
      </c>
      <c r="C1054" s="84" t="s">
        <v>26</v>
      </c>
      <c r="D1054" s="84" t="s">
        <v>26</v>
      </c>
      <c r="E1054" s="84" t="s">
        <v>1128</v>
      </c>
      <c r="F1054" s="84" t="s">
        <v>31</v>
      </c>
      <c r="G1054" s="87">
        <f>G1055</f>
        <v>27944.32</v>
      </c>
      <c r="H1054" s="87">
        <f t="shared" si="295"/>
        <v>0</v>
      </c>
      <c r="I1054" s="87">
        <f t="shared" si="295"/>
        <v>0</v>
      </c>
      <c r="J1054" s="177"/>
      <c r="K1054" s="200"/>
      <c r="L1054" s="200"/>
      <c r="M1054" s="200"/>
      <c r="N1054" s="200"/>
      <c r="O1054" s="200"/>
      <c r="P1054" s="200"/>
      <c r="Q1054" s="200"/>
      <c r="R1054" s="200"/>
    </row>
    <row r="1055" spans="1:20" s="18" customFormat="1">
      <c r="A1055" s="82" t="s">
        <v>32</v>
      </c>
      <c r="B1055" s="84" t="s">
        <v>94</v>
      </c>
      <c r="C1055" s="84" t="s">
        <v>26</v>
      </c>
      <c r="D1055" s="84" t="s">
        <v>26</v>
      </c>
      <c r="E1055" s="84" t="s">
        <v>1128</v>
      </c>
      <c r="F1055" s="84" t="s">
        <v>33</v>
      </c>
      <c r="G1055" s="87">
        <v>27944.32</v>
      </c>
      <c r="H1055" s="87"/>
      <c r="I1055" s="87"/>
      <c r="J1055" s="177"/>
      <c r="K1055" s="200"/>
      <c r="L1055" s="200"/>
      <c r="M1055" s="200"/>
      <c r="N1055" s="200"/>
      <c r="O1055" s="200"/>
      <c r="P1055" s="200"/>
      <c r="Q1055" s="200"/>
      <c r="R1055" s="200"/>
    </row>
    <row r="1056" spans="1:20" s="18" customFormat="1">
      <c r="A1056" s="16" t="s">
        <v>339</v>
      </c>
      <c r="B1056" s="14">
        <v>757</v>
      </c>
      <c r="C1056" s="15" t="s">
        <v>26</v>
      </c>
      <c r="D1056" s="15" t="s">
        <v>26</v>
      </c>
      <c r="E1056" s="15" t="s">
        <v>198</v>
      </c>
      <c r="F1056" s="15"/>
      <c r="G1056" s="164">
        <f>G1057</f>
        <v>187400</v>
      </c>
      <c r="H1056" s="164">
        <f t="shared" ref="H1056:I1056" si="296">H1057</f>
        <v>189000</v>
      </c>
      <c r="I1056" s="164">
        <f t="shared" si="296"/>
        <v>189000</v>
      </c>
      <c r="J1056" s="17">
        <v>100000</v>
      </c>
      <c r="P1056" s="17"/>
      <c r="Q1056" s="17"/>
      <c r="R1056" s="17"/>
      <c r="S1056" s="17"/>
      <c r="T1056" s="17"/>
    </row>
    <row r="1057" spans="1:20" s="18" customFormat="1" ht="25.5">
      <c r="A1057" s="16" t="s">
        <v>36</v>
      </c>
      <c r="B1057" s="14">
        <v>757</v>
      </c>
      <c r="C1057" s="15" t="s">
        <v>26</v>
      </c>
      <c r="D1057" s="15" t="s">
        <v>26</v>
      </c>
      <c r="E1057" s="15" t="s">
        <v>198</v>
      </c>
      <c r="F1057" s="15" t="s">
        <v>37</v>
      </c>
      <c r="G1057" s="87">
        <f>G1058</f>
        <v>187400</v>
      </c>
      <c r="H1057" s="87">
        <f>H1058</f>
        <v>189000</v>
      </c>
      <c r="I1057" s="87">
        <f>I1058</f>
        <v>189000</v>
      </c>
      <c r="J1057" s="17"/>
      <c r="P1057" s="17"/>
      <c r="Q1057" s="17"/>
      <c r="R1057" s="17"/>
      <c r="S1057" s="17"/>
      <c r="T1057" s="17"/>
    </row>
    <row r="1058" spans="1:20" s="18" customFormat="1" ht="25.5">
      <c r="A1058" s="16" t="s">
        <v>38</v>
      </c>
      <c r="B1058" s="14">
        <v>757</v>
      </c>
      <c r="C1058" s="15" t="s">
        <v>26</v>
      </c>
      <c r="D1058" s="15" t="s">
        <v>26</v>
      </c>
      <c r="E1058" s="15" t="s">
        <v>198</v>
      </c>
      <c r="F1058" s="15" t="s">
        <v>39</v>
      </c>
      <c r="G1058" s="87">
        <f>'прил 5,'!G125+'прил 5,'!G1696</f>
        <v>187400</v>
      </c>
      <c r="H1058" s="87">
        <f>'прил 5,'!H125+'прил 5,'!H1696</f>
        <v>189000</v>
      </c>
      <c r="I1058" s="87">
        <f>'прил 5,'!I125+'прил 5,'!I1696</f>
        <v>189000</v>
      </c>
      <c r="J1058" s="87">
        <f>'прил 5,'!K125+'прил 5,'!K1696</f>
        <v>0</v>
      </c>
      <c r="K1058" s="87">
        <f>'прил 5,'!L125+'прил 5,'!L1696</f>
        <v>0</v>
      </c>
      <c r="L1058" s="87">
        <f>'прил 5,'!M125+'прил 5,'!M1696</f>
        <v>0</v>
      </c>
      <c r="M1058" s="87">
        <f>'прил 5,'!N125+'прил 5,'!N1696</f>
        <v>0</v>
      </c>
      <c r="N1058" s="87">
        <f>'прил 5,'!O125+'прил 5,'!O1696</f>
        <v>0</v>
      </c>
      <c r="O1058" s="87">
        <f>'прил 5,'!P125+'прил 5,'!P1696</f>
        <v>0</v>
      </c>
      <c r="P1058" s="17"/>
      <c r="Q1058" s="17"/>
      <c r="R1058" s="17"/>
      <c r="S1058" s="17"/>
      <c r="T1058" s="17"/>
    </row>
    <row r="1059" spans="1:20" s="18" customFormat="1" ht="25.5">
      <c r="A1059" s="16" t="s">
        <v>298</v>
      </c>
      <c r="B1059" s="14">
        <v>793</v>
      </c>
      <c r="C1059" s="15" t="s">
        <v>26</v>
      </c>
      <c r="D1059" s="15" t="s">
        <v>26</v>
      </c>
      <c r="E1059" s="15" t="s">
        <v>803</v>
      </c>
      <c r="F1059" s="15"/>
      <c r="G1059" s="70">
        <f>G1060</f>
        <v>144000</v>
      </c>
      <c r="H1059" s="70"/>
      <c r="I1059" s="70"/>
      <c r="J1059" s="177"/>
      <c r="K1059" s="200"/>
      <c r="L1059" s="200"/>
      <c r="M1059" s="200"/>
      <c r="N1059" s="200"/>
      <c r="O1059" s="200"/>
      <c r="P1059" s="200"/>
      <c r="Q1059" s="200"/>
      <c r="R1059" s="200"/>
    </row>
    <row r="1060" spans="1:20" s="18" customFormat="1" ht="25.5">
      <c r="A1060" s="16" t="s">
        <v>36</v>
      </c>
      <c r="B1060" s="15" t="s">
        <v>844</v>
      </c>
      <c r="C1060" s="15" t="s">
        <v>26</v>
      </c>
      <c r="D1060" s="15" t="s">
        <v>26</v>
      </c>
      <c r="E1060" s="15" t="s">
        <v>803</v>
      </c>
      <c r="F1060" s="15" t="s">
        <v>37</v>
      </c>
      <c r="G1060" s="70">
        <f>G1061</f>
        <v>144000</v>
      </c>
      <c r="H1060" s="70">
        <f>H1061</f>
        <v>0</v>
      </c>
      <c r="I1060" s="70">
        <f>I1061</f>
        <v>0</v>
      </c>
      <c r="J1060" s="177"/>
      <c r="K1060" s="200"/>
      <c r="L1060" s="200"/>
      <c r="M1060" s="200"/>
      <c r="N1060" s="200"/>
      <c r="O1060" s="200"/>
      <c r="P1060" s="200"/>
      <c r="Q1060" s="200"/>
      <c r="R1060" s="200"/>
    </row>
    <row r="1061" spans="1:20" s="18" customFormat="1" ht="25.5">
      <c r="A1061" s="16" t="s">
        <v>38</v>
      </c>
      <c r="B1061" s="15" t="s">
        <v>844</v>
      </c>
      <c r="C1061" s="15" t="s">
        <v>26</v>
      </c>
      <c r="D1061" s="15" t="s">
        <v>26</v>
      </c>
      <c r="E1061" s="15" t="s">
        <v>803</v>
      </c>
      <c r="F1061" s="15" t="s">
        <v>39</v>
      </c>
      <c r="G1061" s="70">
        <f>'прил 5,'!G1699</f>
        <v>144000</v>
      </c>
      <c r="H1061" s="70"/>
      <c r="I1061" s="70"/>
      <c r="J1061" s="177"/>
      <c r="K1061" s="200"/>
      <c r="L1061" s="200"/>
      <c r="M1061" s="200"/>
      <c r="N1061" s="200"/>
      <c r="O1061" s="200"/>
      <c r="P1061" s="200"/>
      <c r="Q1061" s="200"/>
      <c r="R1061" s="200"/>
    </row>
    <row r="1062" spans="1:20" s="18" customFormat="1" ht="25.5" hidden="1">
      <c r="A1062" s="82" t="s">
        <v>298</v>
      </c>
      <c r="B1062" s="14">
        <v>757</v>
      </c>
      <c r="C1062" s="15" t="s">
        <v>26</v>
      </c>
      <c r="D1062" s="15" t="s">
        <v>26</v>
      </c>
      <c r="E1062" s="15" t="s">
        <v>803</v>
      </c>
      <c r="F1062" s="15"/>
      <c r="G1062" s="87">
        <f>G1063</f>
        <v>0</v>
      </c>
      <c r="H1062" s="70"/>
      <c r="I1062" s="70"/>
      <c r="P1062" s="17"/>
      <c r="Q1062" s="17"/>
      <c r="R1062" s="17"/>
      <c r="S1062" s="17"/>
      <c r="T1062" s="17"/>
    </row>
    <row r="1063" spans="1:20" s="18" customFormat="1" ht="25.5" hidden="1">
      <c r="A1063" s="82" t="s">
        <v>36</v>
      </c>
      <c r="B1063" s="14">
        <v>757</v>
      </c>
      <c r="C1063" s="15" t="s">
        <v>26</v>
      </c>
      <c r="D1063" s="15" t="s">
        <v>26</v>
      </c>
      <c r="E1063" s="15" t="s">
        <v>803</v>
      </c>
      <c r="F1063" s="15" t="s">
        <v>37</v>
      </c>
      <c r="G1063" s="87">
        <f>G1064</f>
        <v>0</v>
      </c>
      <c r="H1063" s="70"/>
      <c r="I1063" s="70"/>
      <c r="P1063" s="17"/>
      <c r="Q1063" s="17"/>
      <c r="R1063" s="17"/>
      <c r="S1063" s="17"/>
      <c r="T1063" s="17"/>
    </row>
    <row r="1064" spans="1:20" s="18" customFormat="1" ht="25.5" hidden="1">
      <c r="A1064" s="82" t="s">
        <v>38</v>
      </c>
      <c r="B1064" s="14">
        <v>757</v>
      </c>
      <c r="C1064" s="15" t="s">
        <v>26</v>
      </c>
      <c r="D1064" s="15" t="s">
        <v>26</v>
      </c>
      <c r="E1064" s="15" t="s">
        <v>803</v>
      </c>
      <c r="F1064" s="15" t="s">
        <v>39</v>
      </c>
      <c r="G1064" s="70">
        <f>'прил 5,'!G130</f>
        <v>0</v>
      </c>
      <c r="H1064" s="70"/>
      <c r="I1064" s="70"/>
      <c r="P1064" s="17"/>
      <c r="Q1064" s="17"/>
      <c r="R1064" s="17"/>
      <c r="S1064" s="17"/>
      <c r="T1064" s="17"/>
    </row>
    <row r="1065" spans="1:20" s="22" customFormat="1" ht="51">
      <c r="A1065" s="34" t="s">
        <v>471</v>
      </c>
      <c r="B1065" s="35">
        <v>793</v>
      </c>
      <c r="C1065" s="36" t="s">
        <v>70</v>
      </c>
      <c r="D1065" s="36" t="s">
        <v>309</v>
      </c>
      <c r="E1065" s="36" t="s">
        <v>254</v>
      </c>
      <c r="F1065" s="36"/>
      <c r="G1065" s="71">
        <f>G1066+G1069+G1072</f>
        <v>186600</v>
      </c>
      <c r="H1065" s="71">
        <f t="shared" ref="H1065:I1065" si="297">H1066+H1069+H1072</f>
        <v>110000</v>
      </c>
      <c r="I1065" s="71">
        <f t="shared" si="297"/>
        <v>105000</v>
      </c>
      <c r="J1065" s="21">
        <v>100000</v>
      </c>
      <c r="P1065" s="21"/>
      <c r="Q1065" s="21"/>
      <c r="R1065" s="21"/>
      <c r="S1065" s="21"/>
      <c r="T1065" s="21"/>
    </row>
    <row r="1066" spans="1:20" ht="63.75">
      <c r="A1066" s="16" t="s">
        <v>519</v>
      </c>
      <c r="B1066" s="14">
        <v>793</v>
      </c>
      <c r="C1066" s="15" t="s">
        <v>70</v>
      </c>
      <c r="D1066" s="15" t="s">
        <v>309</v>
      </c>
      <c r="E1066" s="15" t="s">
        <v>255</v>
      </c>
      <c r="F1066" s="15"/>
      <c r="G1066" s="87">
        <f t="shared" ref="G1066:I1067" si="298">G1067</f>
        <v>166600</v>
      </c>
      <c r="H1066" s="87">
        <f t="shared" si="298"/>
        <v>105000</v>
      </c>
      <c r="I1066" s="87">
        <f t="shared" si="298"/>
        <v>105000</v>
      </c>
    </row>
    <row r="1067" spans="1:20" ht="25.5">
      <c r="A1067" s="16" t="s">
        <v>38</v>
      </c>
      <c r="B1067" s="14">
        <v>793</v>
      </c>
      <c r="C1067" s="15" t="s">
        <v>70</v>
      </c>
      <c r="D1067" s="15" t="s">
        <v>309</v>
      </c>
      <c r="E1067" s="15" t="s">
        <v>255</v>
      </c>
      <c r="F1067" s="15" t="s">
        <v>37</v>
      </c>
      <c r="G1067" s="87">
        <f t="shared" si="298"/>
        <v>166600</v>
      </c>
      <c r="H1067" s="87">
        <f t="shared" si="298"/>
        <v>105000</v>
      </c>
      <c r="I1067" s="87">
        <f t="shared" si="298"/>
        <v>105000</v>
      </c>
    </row>
    <row r="1068" spans="1:20" ht="33" customHeight="1">
      <c r="A1068" s="16" t="s">
        <v>38</v>
      </c>
      <c r="B1068" s="14">
        <v>793</v>
      </c>
      <c r="C1068" s="15" t="s">
        <v>70</v>
      </c>
      <c r="D1068" s="15" t="s">
        <v>309</v>
      </c>
      <c r="E1068" s="15" t="s">
        <v>255</v>
      </c>
      <c r="F1068" s="15" t="s">
        <v>39</v>
      </c>
      <c r="G1068" s="87">
        <f>'прил 5,'!G1362</f>
        <v>166600</v>
      </c>
      <c r="H1068" s="87">
        <f>'прил 5,'!H1362</f>
        <v>105000</v>
      </c>
      <c r="I1068" s="87">
        <f>'прил 5,'!I1362</f>
        <v>105000</v>
      </c>
    </row>
    <row r="1069" spans="1:20" ht="38.25">
      <c r="A1069" s="16" t="s">
        <v>416</v>
      </c>
      <c r="B1069" s="14">
        <v>793</v>
      </c>
      <c r="C1069" s="15" t="s">
        <v>70</v>
      </c>
      <c r="D1069" s="15" t="s">
        <v>309</v>
      </c>
      <c r="E1069" s="15" t="s">
        <v>415</v>
      </c>
      <c r="F1069" s="15"/>
      <c r="G1069" s="70">
        <f>G1070</f>
        <v>20000</v>
      </c>
      <c r="H1069" s="70">
        <f t="shared" ref="H1069:I1069" si="299">H1070</f>
        <v>5000</v>
      </c>
      <c r="I1069" s="70">
        <f t="shared" si="299"/>
        <v>0</v>
      </c>
      <c r="J1069" s="1"/>
    </row>
    <row r="1070" spans="1:20" ht="25.5">
      <c r="A1070" s="16" t="s">
        <v>38</v>
      </c>
      <c r="B1070" s="14">
        <v>793</v>
      </c>
      <c r="C1070" s="15" t="s">
        <v>70</v>
      </c>
      <c r="D1070" s="15" t="s">
        <v>309</v>
      </c>
      <c r="E1070" s="15" t="s">
        <v>415</v>
      </c>
      <c r="F1070" s="15" t="s">
        <v>37</v>
      </c>
      <c r="G1070" s="70">
        <f>G1071</f>
        <v>20000</v>
      </c>
      <c r="H1070" s="70">
        <f t="shared" ref="H1070:O1070" si="300">H1071</f>
        <v>5000</v>
      </c>
      <c r="I1070" s="70">
        <f t="shared" si="300"/>
        <v>0</v>
      </c>
      <c r="J1070" s="70">
        <f t="shared" si="300"/>
        <v>0</v>
      </c>
      <c r="K1070" s="70">
        <f t="shared" si="300"/>
        <v>0</v>
      </c>
      <c r="L1070" s="70">
        <f t="shared" si="300"/>
        <v>0</v>
      </c>
      <c r="M1070" s="70">
        <f t="shared" si="300"/>
        <v>0</v>
      </c>
      <c r="N1070" s="70">
        <f t="shared" si="300"/>
        <v>0</v>
      </c>
      <c r="O1070" s="70">
        <f t="shared" si="300"/>
        <v>0</v>
      </c>
    </row>
    <row r="1071" spans="1:20" ht="25.5">
      <c r="A1071" s="16" t="s">
        <v>38</v>
      </c>
      <c r="B1071" s="14">
        <v>793</v>
      </c>
      <c r="C1071" s="15" t="s">
        <v>70</v>
      </c>
      <c r="D1071" s="15" t="s">
        <v>309</v>
      </c>
      <c r="E1071" s="15" t="s">
        <v>415</v>
      </c>
      <c r="F1071" s="15" t="s">
        <v>39</v>
      </c>
      <c r="G1071" s="70">
        <f>'прил 5,'!G1365</f>
        <v>20000</v>
      </c>
      <c r="H1071" s="70">
        <f>'прил 5,'!H1365</f>
        <v>5000</v>
      </c>
      <c r="I1071" s="70">
        <f>'прил 5,'!I1365</f>
        <v>0</v>
      </c>
      <c r="J1071" s="1"/>
    </row>
    <row r="1072" spans="1:20" ht="46.5" hidden="1" customHeight="1">
      <c r="A1072" s="57" t="s">
        <v>499</v>
      </c>
      <c r="B1072" s="14">
        <v>793</v>
      </c>
      <c r="C1072" s="15" t="s">
        <v>70</v>
      </c>
      <c r="D1072" s="15" t="s">
        <v>309</v>
      </c>
      <c r="E1072" s="15" t="s">
        <v>784</v>
      </c>
      <c r="F1072" s="15"/>
      <c r="G1072" s="70">
        <f>G1073</f>
        <v>0</v>
      </c>
      <c r="H1072" s="70">
        <f t="shared" ref="H1072:I1072" si="301">H1073</f>
        <v>0</v>
      </c>
      <c r="I1072" s="70">
        <f t="shared" si="301"/>
        <v>0</v>
      </c>
      <c r="J1072" s="1"/>
    </row>
    <row r="1073" spans="1:20" hidden="1">
      <c r="A1073" s="16" t="s">
        <v>323</v>
      </c>
      <c r="B1073" s="14">
        <v>793</v>
      </c>
      <c r="C1073" s="15" t="s">
        <v>70</v>
      </c>
      <c r="D1073" s="15" t="s">
        <v>309</v>
      </c>
      <c r="E1073" s="15" t="s">
        <v>784</v>
      </c>
      <c r="F1073" s="15" t="s">
        <v>37</v>
      </c>
      <c r="G1073" s="70">
        <f>G1074</f>
        <v>0</v>
      </c>
      <c r="H1073" s="70">
        <f>H1074</f>
        <v>0</v>
      </c>
      <c r="I1073" s="70">
        <f>I1074</f>
        <v>0</v>
      </c>
      <c r="J1073" s="1"/>
    </row>
    <row r="1074" spans="1:20" ht="25.5" hidden="1">
      <c r="A1074" s="16" t="s">
        <v>38</v>
      </c>
      <c r="B1074" s="14">
        <v>793</v>
      </c>
      <c r="C1074" s="15" t="s">
        <v>70</v>
      </c>
      <c r="D1074" s="15" t="s">
        <v>309</v>
      </c>
      <c r="E1074" s="15" t="s">
        <v>784</v>
      </c>
      <c r="F1074" s="15" t="s">
        <v>39</v>
      </c>
      <c r="G1074" s="70"/>
      <c r="H1074" s="70"/>
      <c r="I1074" s="70"/>
      <c r="J1074" s="1"/>
    </row>
    <row r="1075" spans="1:20" s="235" customFormat="1" ht="30" hidden="1" customHeight="1">
      <c r="A1075" s="77" t="s">
        <v>482</v>
      </c>
      <c r="B1075" s="36" t="s">
        <v>94</v>
      </c>
      <c r="C1075" s="36" t="s">
        <v>26</v>
      </c>
      <c r="D1075" s="36" t="s">
        <v>19</v>
      </c>
      <c r="E1075" s="36" t="s">
        <v>220</v>
      </c>
      <c r="F1075" s="36"/>
      <c r="G1075" s="71">
        <f>G1076</f>
        <v>0</v>
      </c>
      <c r="H1075" s="71">
        <f>H1076</f>
        <v>0</v>
      </c>
      <c r="I1075" s="71">
        <f>I1076</f>
        <v>0</v>
      </c>
      <c r="J1075" s="234">
        <v>100000</v>
      </c>
      <c r="P1075" s="234"/>
      <c r="Q1075" s="234"/>
      <c r="R1075" s="234"/>
      <c r="S1075" s="234"/>
      <c r="T1075" s="234"/>
    </row>
    <row r="1076" spans="1:20" s="18" customFormat="1" ht="25.5" hidden="1">
      <c r="A1076" s="16" t="s">
        <v>99</v>
      </c>
      <c r="B1076" s="15" t="s">
        <v>94</v>
      </c>
      <c r="C1076" s="15" t="s">
        <v>26</v>
      </c>
      <c r="D1076" s="15" t="s">
        <v>19</v>
      </c>
      <c r="E1076" s="15" t="s">
        <v>221</v>
      </c>
      <c r="F1076" s="15"/>
      <c r="G1076" s="87">
        <f>G1077+G1079</f>
        <v>0</v>
      </c>
      <c r="H1076" s="87">
        <f>H1077+H1079</f>
        <v>0</v>
      </c>
      <c r="I1076" s="87">
        <f>I1077+I1079</f>
        <v>0</v>
      </c>
      <c r="J1076" s="17">
        <v>50000</v>
      </c>
      <c r="P1076" s="17"/>
      <c r="Q1076" s="17"/>
      <c r="R1076" s="17"/>
      <c r="S1076" s="17"/>
      <c r="T1076" s="17"/>
    </row>
    <row r="1077" spans="1:20" s="18" customFormat="1" ht="25.5" hidden="1" customHeight="1">
      <c r="A1077" s="16" t="s">
        <v>353</v>
      </c>
      <c r="B1077" s="14">
        <v>793</v>
      </c>
      <c r="C1077" s="15" t="s">
        <v>69</v>
      </c>
      <c r="D1077" s="15" t="s">
        <v>70</v>
      </c>
      <c r="E1077" s="15" t="s">
        <v>221</v>
      </c>
      <c r="F1077" s="15" t="s">
        <v>149</v>
      </c>
      <c r="G1077" s="87">
        <f>G1078</f>
        <v>0</v>
      </c>
      <c r="H1077" s="87">
        <f>H1078</f>
        <v>0</v>
      </c>
      <c r="I1077" s="87">
        <f>I1078</f>
        <v>0</v>
      </c>
      <c r="J1077" s="17">
        <v>630000</v>
      </c>
      <c r="P1077" s="17"/>
      <c r="Q1077" s="17"/>
      <c r="R1077" s="17"/>
      <c r="S1077" s="17"/>
      <c r="T1077" s="17"/>
    </row>
    <row r="1078" spans="1:20" s="18" customFormat="1" ht="25.5" hidden="1">
      <c r="A1078" s="16" t="s">
        <v>150</v>
      </c>
      <c r="B1078" s="14">
        <v>793</v>
      </c>
      <c r="C1078" s="15" t="s">
        <v>69</v>
      </c>
      <c r="D1078" s="15" t="s">
        <v>70</v>
      </c>
      <c r="E1078" s="15" t="s">
        <v>221</v>
      </c>
      <c r="F1078" s="15" t="s">
        <v>151</v>
      </c>
      <c r="G1078" s="87">
        <f>'прил 5,'!G1741</f>
        <v>0</v>
      </c>
      <c r="H1078" s="87">
        <f>'прил 5,'!H1741</f>
        <v>0</v>
      </c>
      <c r="I1078" s="87">
        <f>'прил 5,'!I1741</f>
        <v>0</v>
      </c>
      <c r="J1078" s="17">
        <f>SUM(J1075:J1077)</f>
        <v>780000</v>
      </c>
      <c r="P1078" s="17"/>
      <c r="Q1078" s="17"/>
      <c r="R1078" s="17"/>
      <c r="S1078" s="17"/>
      <c r="T1078" s="17"/>
    </row>
    <row r="1079" spans="1:20" s="18" customFormat="1" ht="25.5" hidden="1">
      <c r="A1079" s="16" t="s">
        <v>30</v>
      </c>
      <c r="B1079" s="15" t="s">
        <v>94</v>
      </c>
      <c r="C1079" s="15" t="s">
        <v>26</v>
      </c>
      <c r="D1079" s="15" t="s">
        <v>19</v>
      </c>
      <c r="E1079" s="15" t="s">
        <v>221</v>
      </c>
      <c r="F1079" s="15" t="s">
        <v>31</v>
      </c>
      <c r="G1079" s="87">
        <f>G1080</f>
        <v>0</v>
      </c>
      <c r="H1079" s="87">
        <f>H1080</f>
        <v>0</v>
      </c>
      <c r="I1079" s="87">
        <f>I1080</f>
        <v>0</v>
      </c>
      <c r="J1079" s="17"/>
      <c r="P1079" s="17"/>
      <c r="Q1079" s="17"/>
      <c r="R1079" s="17"/>
      <c r="S1079" s="17"/>
      <c r="T1079" s="17"/>
    </row>
    <row r="1080" spans="1:20" s="18" customFormat="1" hidden="1">
      <c r="A1080" s="16" t="s">
        <v>32</v>
      </c>
      <c r="B1080" s="15" t="s">
        <v>94</v>
      </c>
      <c r="C1080" s="15" t="s">
        <v>26</v>
      </c>
      <c r="D1080" s="15" t="s">
        <v>19</v>
      </c>
      <c r="E1080" s="15" t="s">
        <v>221</v>
      </c>
      <c r="F1080" s="15" t="s">
        <v>33</v>
      </c>
      <c r="G1080" s="87">
        <f>'прил 5,'!G560+'прил 5,'!G748</f>
        <v>0</v>
      </c>
      <c r="H1080" s="87">
        <f>'прил 5,'!H560+'прил 5,'!H748</f>
        <v>0</v>
      </c>
      <c r="I1080" s="87">
        <f>'прил 5,'!I560+'прил 5,'!I748</f>
        <v>0</v>
      </c>
      <c r="J1080" s="17"/>
      <c r="P1080" s="17"/>
      <c r="Q1080" s="17"/>
      <c r="R1080" s="17"/>
      <c r="S1080" s="17"/>
      <c r="T1080" s="17"/>
    </row>
    <row r="1081" spans="1:20" s="22" customFormat="1" ht="38.25">
      <c r="A1081" s="34" t="s">
        <v>483</v>
      </c>
      <c r="B1081" s="35">
        <v>793</v>
      </c>
      <c r="C1081" s="36" t="s">
        <v>70</v>
      </c>
      <c r="D1081" s="36" t="s">
        <v>309</v>
      </c>
      <c r="E1081" s="36" t="s">
        <v>256</v>
      </c>
      <c r="F1081" s="36"/>
      <c r="G1081" s="71">
        <f>G1082</f>
        <v>323000</v>
      </c>
      <c r="H1081" s="71">
        <f>H1084+H1085</f>
        <v>328000</v>
      </c>
      <c r="I1081" s="71">
        <f>I1084+I1085</f>
        <v>323000</v>
      </c>
      <c r="J1081" s="21">
        <v>100000</v>
      </c>
      <c r="P1081" s="21"/>
      <c r="Q1081" s="21"/>
      <c r="R1081" s="21"/>
      <c r="S1081" s="21"/>
      <c r="T1081" s="21"/>
    </row>
    <row r="1082" spans="1:20" ht="38.25">
      <c r="A1082" s="16" t="s">
        <v>336</v>
      </c>
      <c r="B1082" s="14">
        <v>793</v>
      </c>
      <c r="C1082" s="15" t="s">
        <v>70</v>
      </c>
      <c r="D1082" s="15" t="s">
        <v>309</v>
      </c>
      <c r="E1082" s="15" t="s">
        <v>257</v>
      </c>
      <c r="F1082" s="15"/>
      <c r="G1082" s="87">
        <f>G1083+G1085</f>
        <v>323000</v>
      </c>
      <c r="H1082" s="87">
        <f t="shared" ref="H1082:I1082" si="302">H1083+H1085</f>
        <v>328000</v>
      </c>
      <c r="I1082" s="87">
        <f t="shared" si="302"/>
        <v>323000</v>
      </c>
      <c r="J1082" s="2">
        <v>75000</v>
      </c>
    </row>
    <row r="1083" spans="1:20" ht="25.5">
      <c r="A1083" s="16" t="s">
        <v>38</v>
      </c>
      <c r="B1083" s="14">
        <v>793</v>
      </c>
      <c r="C1083" s="15" t="s">
        <v>70</v>
      </c>
      <c r="D1083" s="15" t="s">
        <v>309</v>
      </c>
      <c r="E1083" s="15" t="s">
        <v>257</v>
      </c>
      <c r="F1083" s="15" t="s">
        <v>37</v>
      </c>
      <c r="G1083" s="87">
        <f>G1084</f>
        <v>123000</v>
      </c>
      <c r="H1083" s="87">
        <f t="shared" ref="H1083:I1083" si="303">H1084</f>
        <v>128000</v>
      </c>
      <c r="I1083" s="87">
        <f t="shared" si="303"/>
        <v>123000</v>
      </c>
    </row>
    <row r="1084" spans="1:20" ht="31.5" customHeight="1">
      <c r="A1084" s="16" t="s">
        <v>38</v>
      </c>
      <c r="B1084" s="14">
        <v>793</v>
      </c>
      <c r="C1084" s="15" t="s">
        <v>70</v>
      </c>
      <c r="D1084" s="15" t="s">
        <v>309</v>
      </c>
      <c r="E1084" s="15" t="s">
        <v>257</v>
      </c>
      <c r="F1084" s="15" t="s">
        <v>39</v>
      </c>
      <c r="G1084" s="87">
        <f>'прил 5,'!G1372+'прил 5,'!G477</f>
        <v>123000</v>
      </c>
      <c r="H1084" s="87">
        <f>'прил 5,'!H477+'прил 5,'!H1372</f>
        <v>128000</v>
      </c>
      <c r="I1084" s="87">
        <f>'прил 5,'!I477+'прил 5,'!I1372</f>
        <v>123000</v>
      </c>
    </row>
    <row r="1085" spans="1:20" s="18" customFormat="1" ht="25.5">
      <c r="A1085" s="16" t="s">
        <v>30</v>
      </c>
      <c r="B1085" s="14">
        <v>774</v>
      </c>
      <c r="C1085" s="15" t="s">
        <v>70</v>
      </c>
      <c r="D1085" s="15" t="s">
        <v>309</v>
      </c>
      <c r="E1085" s="15" t="s">
        <v>257</v>
      </c>
      <c r="F1085" s="15" t="s">
        <v>31</v>
      </c>
      <c r="G1085" s="70">
        <f t="shared" ref="G1085:I1085" si="304">G1086</f>
        <v>200000</v>
      </c>
      <c r="H1085" s="70">
        <f t="shared" si="304"/>
        <v>200000</v>
      </c>
      <c r="I1085" s="70">
        <f t="shared" si="304"/>
        <v>200000</v>
      </c>
      <c r="P1085" s="17"/>
      <c r="Q1085" s="17"/>
      <c r="R1085" s="17"/>
      <c r="S1085" s="17"/>
      <c r="T1085" s="17"/>
    </row>
    <row r="1086" spans="1:20" s="18" customFormat="1">
      <c r="A1086" s="16" t="s">
        <v>32</v>
      </c>
      <c r="B1086" s="14">
        <v>774</v>
      </c>
      <c r="C1086" s="15" t="s">
        <v>70</v>
      </c>
      <c r="D1086" s="15" t="s">
        <v>309</v>
      </c>
      <c r="E1086" s="15" t="s">
        <v>257</v>
      </c>
      <c r="F1086" s="15" t="s">
        <v>33</v>
      </c>
      <c r="G1086" s="70">
        <f>'прил 5,'!G479</f>
        <v>200000</v>
      </c>
      <c r="H1086" s="70">
        <f>'прил 5,'!H479</f>
        <v>200000</v>
      </c>
      <c r="I1086" s="70">
        <f>'прил 5,'!I479</f>
        <v>200000</v>
      </c>
      <c r="L1086" s="17"/>
      <c r="P1086" s="17"/>
      <c r="Q1086" s="17"/>
      <c r="R1086" s="17"/>
      <c r="S1086" s="17"/>
      <c r="T1086" s="17"/>
    </row>
    <row r="1087" spans="1:20" s="76" customFormat="1" ht="45" customHeight="1">
      <c r="A1087" s="34" t="s">
        <v>442</v>
      </c>
      <c r="B1087" s="35">
        <v>792</v>
      </c>
      <c r="C1087" s="36" t="s">
        <v>19</v>
      </c>
      <c r="D1087" s="36" t="s">
        <v>54</v>
      </c>
      <c r="E1087" s="36" t="s">
        <v>229</v>
      </c>
      <c r="F1087" s="75"/>
      <c r="G1087" s="71">
        <f>G1088+G1096+G1100</f>
        <v>60776905.409999996</v>
      </c>
      <c r="H1087" s="71">
        <f>H1088+H1096+H1100</f>
        <v>40964083.840000004</v>
      </c>
      <c r="I1087" s="71">
        <f>I1088+I1096+I1100</f>
        <v>41911059.609999999</v>
      </c>
      <c r="J1087" s="239">
        <v>1012500</v>
      </c>
      <c r="P1087" s="175"/>
      <c r="Q1087" s="239"/>
      <c r="R1087" s="239"/>
      <c r="S1087" s="239"/>
      <c r="T1087" s="239"/>
    </row>
    <row r="1088" spans="1:20" s="46" customFormat="1" ht="51" customHeight="1">
      <c r="A1088" s="16" t="s">
        <v>162</v>
      </c>
      <c r="B1088" s="14">
        <v>792</v>
      </c>
      <c r="C1088" s="15" t="s">
        <v>19</v>
      </c>
      <c r="D1088" s="15" t="s">
        <v>161</v>
      </c>
      <c r="E1088" s="15" t="s">
        <v>231</v>
      </c>
      <c r="F1088" s="15"/>
      <c r="G1088" s="87">
        <f>G1089</f>
        <v>11937631</v>
      </c>
      <c r="H1088" s="87">
        <f t="shared" ref="H1088:I1088" si="305">H1089</f>
        <v>12101328</v>
      </c>
      <c r="I1088" s="87">
        <f t="shared" si="305"/>
        <v>12270065</v>
      </c>
      <c r="J1088" s="110">
        <v>11992167</v>
      </c>
      <c r="P1088" s="110"/>
      <c r="Q1088" s="110"/>
      <c r="R1088" s="110"/>
      <c r="S1088" s="110"/>
      <c r="T1088" s="110"/>
    </row>
    <row r="1089" spans="1:20" s="46" customFormat="1" ht="34.5" customHeight="1">
      <c r="A1089" s="16" t="s">
        <v>76</v>
      </c>
      <c r="B1089" s="14">
        <v>792</v>
      </c>
      <c r="C1089" s="15" t="s">
        <v>19</v>
      </c>
      <c r="D1089" s="15" t="s">
        <v>161</v>
      </c>
      <c r="E1089" s="15" t="s">
        <v>232</v>
      </c>
      <c r="F1089" s="15"/>
      <c r="G1089" s="87">
        <f>G1090+G1092+G1094</f>
        <v>11937631</v>
      </c>
      <c r="H1089" s="87">
        <f t="shared" ref="H1089:I1089" si="306">H1090+H1092+H1094</f>
        <v>12101328</v>
      </c>
      <c r="I1089" s="87">
        <f t="shared" si="306"/>
        <v>12270065</v>
      </c>
      <c r="J1089" s="110">
        <v>967059</v>
      </c>
      <c r="P1089" s="110"/>
      <c r="Q1089" s="110"/>
      <c r="R1089" s="110"/>
      <c r="S1089" s="110"/>
      <c r="T1089" s="110"/>
    </row>
    <row r="1090" spans="1:20" s="46" customFormat="1" ht="51">
      <c r="A1090" s="16" t="s">
        <v>55</v>
      </c>
      <c r="B1090" s="14">
        <v>792</v>
      </c>
      <c r="C1090" s="15" t="s">
        <v>19</v>
      </c>
      <c r="D1090" s="15" t="s">
        <v>161</v>
      </c>
      <c r="E1090" s="15" t="s">
        <v>232</v>
      </c>
      <c r="F1090" s="15" t="s">
        <v>58</v>
      </c>
      <c r="G1090" s="87">
        <f>G1091</f>
        <v>10609115</v>
      </c>
      <c r="H1090" s="87">
        <f>H1091</f>
        <v>10864936</v>
      </c>
      <c r="I1090" s="87">
        <f>I1091</f>
        <v>10971816</v>
      </c>
      <c r="J1090" s="110">
        <v>26000</v>
      </c>
      <c r="P1090" s="110"/>
      <c r="Q1090" s="110"/>
      <c r="R1090" s="110"/>
      <c r="S1090" s="110"/>
      <c r="T1090" s="110"/>
    </row>
    <row r="1091" spans="1:20" s="46" customFormat="1" ht="25.5">
      <c r="A1091" s="16" t="s">
        <v>56</v>
      </c>
      <c r="B1091" s="14">
        <v>792</v>
      </c>
      <c r="C1091" s="15" t="s">
        <v>19</v>
      </c>
      <c r="D1091" s="15" t="s">
        <v>161</v>
      </c>
      <c r="E1091" s="15" t="s">
        <v>232</v>
      </c>
      <c r="F1091" s="15" t="s">
        <v>59</v>
      </c>
      <c r="G1091" s="87">
        <f>'прил 5,'!G1079</f>
        <v>10609115</v>
      </c>
      <c r="H1091" s="87">
        <f>'прил 5,'!H1079</f>
        <v>10864936</v>
      </c>
      <c r="I1091" s="87">
        <f>'прил 5,'!I1079</f>
        <v>10971816</v>
      </c>
      <c r="J1091" s="110">
        <v>3043600</v>
      </c>
      <c r="P1091" s="110"/>
      <c r="Q1091" s="110"/>
      <c r="R1091" s="110"/>
      <c r="S1091" s="110"/>
      <c r="T1091" s="110"/>
    </row>
    <row r="1092" spans="1:20" s="46" customFormat="1" ht="25.5">
      <c r="A1092" s="16" t="s">
        <v>36</v>
      </c>
      <c r="B1092" s="14">
        <v>792</v>
      </c>
      <c r="C1092" s="15" t="s">
        <v>19</v>
      </c>
      <c r="D1092" s="15" t="s">
        <v>161</v>
      </c>
      <c r="E1092" s="15" t="s">
        <v>232</v>
      </c>
      <c r="F1092" s="15" t="s">
        <v>37</v>
      </c>
      <c r="G1092" s="87">
        <f>G1093</f>
        <v>1302516</v>
      </c>
      <c r="H1092" s="87">
        <f>H1093</f>
        <v>1209392</v>
      </c>
      <c r="I1092" s="87">
        <f>I1093</f>
        <v>1270249</v>
      </c>
      <c r="J1092" s="110">
        <v>50000</v>
      </c>
      <c r="P1092" s="110"/>
      <c r="Q1092" s="110"/>
      <c r="R1092" s="110"/>
      <c r="S1092" s="110"/>
      <c r="T1092" s="110"/>
    </row>
    <row r="1093" spans="1:20" s="46" customFormat="1" ht="25.5">
      <c r="A1093" s="16" t="s">
        <v>38</v>
      </c>
      <c r="B1093" s="14">
        <v>792</v>
      </c>
      <c r="C1093" s="15" t="s">
        <v>19</v>
      </c>
      <c r="D1093" s="15" t="s">
        <v>161</v>
      </c>
      <c r="E1093" s="15" t="s">
        <v>232</v>
      </c>
      <c r="F1093" s="15" t="s">
        <v>39</v>
      </c>
      <c r="G1093" s="87">
        <f>'прил 5,'!G1081</f>
        <v>1302516</v>
      </c>
      <c r="H1093" s="87">
        <f>'прил 5,'!H1081</f>
        <v>1209392</v>
      </c>
      <c r="I1093" s="87">
        <f>'прил 5,'!I1081</f>
        <v>1270249</v>
      </c>
      <c r="J1093" s="110">
        <v>15487188</v>
      </c>
      <c r="P1093" s="110"/>
      <c r="Q1093" s="110"/>
      <c r="R1093" s="110"/>
      <c r="S1093" s="110"/>
      <c r="T1093" s="110"/>
    </row>
    <row r="1094" spans="1:20" s="46" customFormat="1">
      <c r="A1094" s="30" t="s">
        <v>63</v>
      </c>
      <c r="B1094" s="14">
        <v>792</v>
      </c>
      <c r="C1094" s="15" t="s">
        <v>19</v>
      </c>
      <c r="D1094" s="15" t="s">
        <v>161</v>
      </c>
      <c r="E1094" s="15" t="s">
        <v>232</v>
      </c>
      <c r="F1094" s="15" t="s">
        <v>64</v>
      </c>
      <c r="G1094" s="70">
        <f>G1095</f>
        <v>26000</v>
      </c>
      <c r="H1094" s="70">
        <f>H1095</f>
        <v>27000</v>
      </c>
      <c r="I1094" s="70">
        <f>I1095</f>
        <v>28000</v>
      </c>
      <c r="J1094" s="110">
        <v>4802400</v>
      </c>
      <c r="P1094" s="110"/>
      <c r="Q1094" s="110"/>
      <c r="R1094" s="110"/>
      <c r="S1094" s="110"/>
      <c r="T1094" s="110"/>
    </row>
    <row r="1095" spans="1:20" s="46" customFormat="1">
      <c r="A1095" s="30" t="s">
        <v>144</v>
      </c>
      <c r="B1095" s="14">
        <v>792</v>
      </c>
      <c r="C1095" s="15" t="s">
        <v>19</v>
      </c>
      <c r="D1095" s="15" t="s">
        <v>161</v>
      </c>
      <c r="E1095" s="15" t="s">
        <v>232</v>
      </c>
      <c r="F1095" s="15" t="s">
        <v>67</v>
      </c>
      <c r="G1095" s="70">
        <f>'прил 5,'!G1083</f>
        <v>26000</v>
      </c>
      <c r="H1095" s="70">
        <f>'прил 5,'!H1083</f>
        <v>27000</v>
      </c>
      <c r="I1095" s="70">
        <f>'прил 5,'!I1083</f>
        <v>28000</v>
      </c>
      <c r="J1095" s="110">
        <v>16556640</v>
      </c>
      <c r="P1095" s="110"/>
      <c r="Q1095" s="110"/>
      <c r="R1095" s="110"/>
      <c r="S1095" s="110"/>
      <c r="T1095" s="110"/>
    </row>
    <row r="1096" spans="1:20" s="28" customFormat="1" ht="25.5">
      <c r="A1096" s="16" t="s">
        <v>302</v>
      </c>
      <c r="B1096" s="14">
        <v>792</v>
      </c>
      <c r="C1096" s="15" t="s">
        <v>23</v>
      </c>
      <c r="D1096" s="15" t="s">
        <v>19</v>
      </c>
      <c r="E1096" s="15" t="s">
        <v>235</v>
      </c>
      <c r="F1096" s="39"/>
      <c r="G1096" s="87">
        <f>G1097</f>
        <v>390950.79999999981</v>
      </c>
      <c r="H1096" s="87">
        <f t="shared" ref="H1096:I1098" si="307">H1097</f>
        <v>5220000</v>
      </c>
      <c r="I1096" s="87">
        <f t="shared" si="307"/>
        <v>5220000</v>
      </c>
      <c r="J1096" s="109">
        <v>3200000</v>
      </c>
      <c r="P1096" s="109"/>
      <c r="Q1096" s="109"/>
      <c r="R1096" s="109"/>
      <c r="S1096" s="109"/>
      <c r="T1096" s="109"/>
    </row>
    <row r="1097" spans="1:20">
      <c r="A1097" s="16" t="s">
        <v>303</v>
      </c>
      <c r="B1097" s="14">
        <v>792</v>
      </c>
      <c r="C1097" s="15" t="s">
        <v>23</v>
      </c>
      <c r="D1097" s="15" t="s">
        <v>19</v>
      </c>
      <c r="E1097" s="15" t="s">
        <v>236</v>
      </c>
      <c r="F1097" s="15"/>
      <c r="G1097" s="87">
        <f>G1098</f>
        <v>390950.79999999981</v>
      </c>
      <c r="H1097" s="87">
        <f t="shared" si="307"/>
        <v>5220000</v>
      </c>
      <c r="I1097" s="87">
        <f t="shared" si="307"/>
        <v>5220000</v>
      </c>
      <c r="J1097" s="2">
        <f>SUM(J1087:J1096)</f>
        <v>57137554</v>
      </c>
    </row>
    <row r="1098" spans="1:20">
      <c r="A1098" s="16" t="s">
        <v>304</v>
      </c>
      <c r="B1098" s="14">
        <v>792</v>
      </c>
      <c r="C1098" s="15" t="s">
        <v>23</v>
      </c>
      <c r="D1098" s="15" t="s">
        <v>19</v>
      </c>
      <c r="E1098" s="15" t="s">
        <v>236</v>
      </c>
      <c r="F1098" s="15" t="s">
        <v>305</v>
      </c>
      <c r="G1098" s="87">
        <f>G1099</f>
        <v>390950.79999999981</v>
      </c>
      <c r="H1098" s="87">
        <f t="shared" si="307"/>
        <v>5220000</v>
      </c>
      <c r="I1098" s="87">
        <f t="shared" si="307"/>
        <v>5220000</v>
      </c>
      <c r="J1098" s="2">
        <f>H1087-J1097</f>
        <v>-16173470.159999996</v>
      </c>
    </row>
    <row r="1099" spans="1:20">
      <c r="A1099" s="16" t="s">
        <v>306</v>
      </c>
      <c r="B1099" s="14">
        <v>792</v>
      </c>
      <c r="C1099" s="15" t="s">
        <v>23</v>
      </c>
      <c r="D1099" s="15" t="s">
        <v>19</v>
      </c>
      <c r="E1099" s="15" t="s">
        <v>236</v>
      </c>
      <c r="F1099" s="15" t="s">
        <v>307</v>
      </c>
      <c r="G1099" s="87">
        <f>'прил 5,'!G1113+'прил 5,'!G1814</f>
        <v>390950.79999999981</v>
      </c>
      <c r="H1099" s="87">
        <f>'прил 5,'!H1113+'прил 5,'!H1814</f>
        <v>5220000</v>
      </c>
      <c r="I1099" s="87">
        <f>'прил 5,'!I1113+'прил 5,'!I1814</f>
        <v>5220000</v>
      </c>
    </row>
    <row r="1100" spans="1:20" s="18" customFormat="1" ht="38.25">
      <c r="A1100" s="16" t="s">
        <v>155</v>
      </c>
      <c r="B1100" s="14">
        <v>792</v>
      </c>
      <c r="C1100" s="15" t="s">
        <v>309</v>
      </c>
      <c r="D1100" s="15" t="s">
        <v>19</v>
      </c>
      <c r="E1100" s="15" t="s">
        <v>230</v>
      </c>
      <c r="F1100" s="15"/>
      <c r="G1100" s="87">
        <f>G1109+G1113+G1116+G1101+G1104</f>
        <v>48448323.609999999</v>
      </c>
      <c r="H1100" s="87">
        <f t="shared" ref="H1100:I1100" si="308">H1109+H1113+H1116+H1101+H1104</f>
        <v>23642755.84</v>
      </c>
      <c r="I1100" s="87">
        <f t="shared" si="308"/>
        <v>24420994.609999999</v>
      </c>
      <c r="J1100" s="17"/>
      <c r="P1100" s="17"/>
      <c r="Q1100" s="17"/>
      <c r="R1100" s="17"/>
      <c r="S1100" s="17"/>
      <c r="T1100" s="17"/>
    </row>
    <row r="1101" spans="1:20" s="28" customFormat="1" ht="25.5">
      <c r="A1101" s="16" t="s">
        <v>167</v>
      </c>
      <c r="B1101" s="14">
        <v>792</v>
      </c>
      <c r="C1101" s="15" t="s">
        <v>28</v>
      </c>
      <c r="D1101" s="15" t="s">
        <v>70</v>
      </c>
      <c r="E1101" s="15" t="s">
        <v>385</v>
      </c>
      <c r="F1101" s="39"/>
      <c r="G1101" s="87">
        <f t="shared" ref="G1101:I1102" si="309">G1102</f>
        <v>3750613.11</v>
      </c>
      <c r="H1101" s="87">
        <f t="shared" si="309"/>
        <v>3663447.84</v>
      </c>
      <c r="I1101" s="87">
        <f t="shared" si="309"/>
        <v>3793072.21</v>
      </c>
      <c r="J1101" s="109"/>
      <c r="P1101" s="109"/>
      <c r="Q1101" s="109"/>
      <c r="R1101" s="109"/>
      <c r="S1101" s="109"/>
      <c r="T1101" s="109"/>
    </row>
    <row r="1102" spans="1:20">
      <c r="A1102" s="16" t="s">
        <v>156</v>
      </c>
      <c r="B1102" s="14">
        <v>792</v>
      </c>
      <c r="C1102" s="15" t="s">
        <v>28</v>
      </c>
      <c r="D1102" s="15" t="s">
        <v>70</v>
      </c>
      <c r="E1102" s="15" t="s">
        <v>385</v>
      </c>
      <c r="F1102" s="15" t="s">
        <v>157</v>
      </c>
      <c r="G1102" s="87">
        <f t="shared" si="309"/>
        <v>3750613.11</v>
      </c>
      <c r="H1102" s="87">
        <f t="shared" si="309"/>
        <v>3663447.84</v>
      </c>
      <c r="I1102" s="87">
        <f t="shared" si="309"/>
        <v>3793072.21</v>
      </c>
    </row>
    <row r="1103" spans="1:20">
      <c r="A1103" s="16" t="s">
        <v>158</v>
      </c>
      <c r="B1103" s="14">
        <v>792</v>
      </c>
      <c r="C1103" s="15" t="s">
        <v>28</v>
      </c>
      <c r="D1103" s="15" t="s">
        <v>70</v>
      </c>
      <c r="E1103" s="15" t="s">
        <v>385</v>
      </c>
      <c r="F1103" s="15" t="s">
        <v>159</v>
      </c>
      <c r="G1103" s="87">
        <f>'прил 5,'!G1095</f>
        <v>3750613.11</v>
      </c>
      <c r="H1103" s="87">
        <f>'прил 5,'!H1095</f>
        <v>3663447.84</v>
      </c>
      <c r="I1103" s="87">
        <f>'прил 5,'!I1095</f>
        <v>3793072.21</v>
      </c>
    </row>
    <row r="1104" spans="1:20" ht="63.75">
      <c r="A1104" s="16" t="s">
        <v>682</v>
      </c>
      <c r="B1104" s="14">
        <v>792</v>
      </c>
      <c r="C1104" s="15" t="s">
        <v>19</v>
      </c>
      <c r="D1104" s="15" t="s">
        <v>54</v>
      </c>
      <c r="E1104" s="15" t="s">
        <v>680</v>
      </c>
      <c r="F1104" s="15"/>
      <c r="G1104" s="87">
        <f t="shared" ref="G1104:I1105" si="310">G1105</f>
        <v>1330000</v>
      </c>
      <c r="H1104" s="87">
        <f t="shared" si="310"/>
        <v>1330000</v>
      </c>
      <c r="I1104" s="87">
        <f t="shared" si="310"/>
        <v>1330000</v>
      </c>
    </row>
    <row r="1105" spans="1:20">
      <c r="A1105" s="16" t="s">
        <v>156</v>
      </c>
      <c r="B1105" s="14">
        <v>792</v>
      </c>
      <c r="C1105" s="15" t="s">
        <v>19</v>
      </c>
      <c r="D1105" s="15" t="s">
        <v>54</v>
      </c>
      <c r="E1105" s="15" t="s">
        <v>680</v>
      </c>
      <c r="F1105" s="15" t="s">
        <v>157</v>
      </c>
      <c r="G1105" s="87">
        <f t="shared" si="310"/>
        <v>1330000</v>
      </c>
      <c r="H1105" s="87">
        <f t="shared" si="310"/>
        <v>1330000</v>
      </c>
      <c r="I1105" s="87">
        <f t="shared" si="310"/>
        <v>1330000</v>
      </c>
    </row>
    <row r="1106" spans="1:20">
      <c r="A1106" s="16" t="s">
        <v>158</v>
      </c>
      <c r="B1106" s="14">
        <v>792</v>
      </c>
      <c r="C1106" s="15" t="s">
        <v>19</v>
      </c>
      <c r="D1106" s="15" t="s">
        <v>54</v>
      </c>
      <c r="E1106" s="15" t="s">
        <v>680</v>
      </c>
      <c r="F1106" s="15" t="s">
        <v>159</v>
      </c>
      <c r="G1106" s="87">
        <f>'прил 5,'!G1073</f>
        <v>1330000</v>
      </c>
      <c r="H1106" s="87">
        <f>'прил 5,'!H1073</f>
        <v>1330000</v>
      </c>
      <c r="I1106" s="87">
        <f>'прил 5,'!I1073</f>
        <v>1330000</v>
      </c>
    </row>
    <row r="1107" spans="1:20" s="28" customFormat="1" ht="29.25" customHeight="1">
      <c r="A1107" s="16" t="s">
        <v>314</v>
      </c>
      <c r="B1107" s="14">
        <v>792</v>
      </c>
      <c r="C1107" s="15" t="s">
        <v>309</v>
      </c>
      <c r="D1107" s="15" t="s">
        <v>19</v>
      </c>
      <c r="E1107" s="15" t="s">
        <v>237</v>
      </c>
      <c r="F1107" s="15"/>
      <c r="G1107" s="87">
        <f t="shared" ref="G1107:I1108" si="311">G1108</f>
        <v>6314750.5</v>
      </c>
      <c r="H1107" s="87">
        <f t="shared" si="311"/>
        <v>5061414</v>
      </c>
      <c r="I1107" s="87">
        <f t="shared" si="311"/>
        <v>5051800.4000000004</v>
      </c>
      <c r="J1107" s="109"/>
      <c r="P1107" s="109"/>
      <c r="Q1107" s="109"/>
      <c r="R1107" s="109"/>
      <c r="S1107" s="109"/>
      <c r="T1107" s="109"/>
    </row>
    <row r="1108" spans="1:20" s="28" customFormat="1">
      <c r="A1108" s="16" t="s">
        <v>156</v>
      </c>
      <c r="B1108" s="14">
        <v>792</v>
      </c>
      <c r="C1108" s="15" t="s">
        <v>309</v>
      </c>
      <c r="D1108" s="15" t="s">
        <v>19</v>
      </c>
      <c r="E1108" s="15" t="s">
        <v>237</v>
      </c>
      <c r="F1108" s="15" t="s">
        <v>157</v>
      </c>
      <c r="G1108" s="87">
        <f t="shared" si="311"/>
        <v>6314750.5</v>
      </c>
      <c r="H1108" s="87">
        <f t="shared" si="311"/>
        <v>5061414</v>
      </c>
      <c r="I1108" s="87">
        <f t="shared" si="311"/>
        <v>5051800.4000000004</v>
      </c>
      <c r="J1108" s="109"/>
      <c r="P1108" s="109"/>
      <c r="Q1108" s="109"/>
      <c r="R1108" s="109"/>
      <c r="S1108" s="109"/>
      <c r="T1108" s="109"/>
    </row>
    <row r="1109" spans="1:20" s="3" customFormat="1">
      <c r="A1109" s="16" t="s">
        <v>312</v>
      </c>
      <c r="B1109" s="14">
        <v>792</v>
      </c>
      <c r="C1109" s="15" t="s">
        <v>309</v>
      </c>
      <c r="D1109" s="15" t="s">
        <v>19</v>
      </c>
      <c r="E1109" s="15" t="s">
        <v>237</v>
      </c>
      <c r="F1109" s="15" t="s">
        <v>313</v>
      </c>
      <c r="G1109" s="87">
        <f>'прил 5,'!G1123</f>
        <v>6314750.5</v>
      </c>
      <c r="H1109" s="87">
        <f>'прил 5,'!H1123</f>
        <v>5061414</v>
      </c>
      <c r="I1109" s="87">
        <f>'прил 5,'!I1123</f>
        <v>5051800.4000000004</v>
      </c>
      <c r="J1109" s="111"/>
      <c r="P1109" s="111"/>
      <c r="Q1109" s="111"/>
      <c r="R1109" s="111"/>
      <c r="S1109" s="111"/>
      <c r="T1109" s="111"/>
    </row>
    <row r="1110" spans="1:20" s="3" customFormat="1" hidden="1">
      <c r="A1110" s="16" t="s">
        <v>7</v>
      </c>
      <c r="B1110" s="14">
        <v>792</v>
      </c>
      <c r="C1110" s="15" t="s">
        <v>309</v>
      </c>
      <c r="D1110" s="15" t="s">
        <v>19</v>
      </c>
      <c r="E1110" s="15" t="s">
        <v>237</v>
      </c>
      <c r="F1110" s="15" t="s">
        <v>6</v>
      </c>
      <c r="G1110" s="87"/>
      <c r="H1110" s="87"/>
      <c r="I1110" s="87"/>
      <c r="J1110" s="111"/>
      <c r="P1110" s="111"/>
      <c r="Q1110" s="111"/>
      <c r="R1110" s="111"/>
      <c r="S1110" s="111"/>
      <c r="T1110" s="111"/>
    </row>
    <row r="1111" spans="1:20" s="18" customFormat="1" ht="25.5">
      <c r="A1111" s="16" t="s">
        <v>311</v>
      </c>
      <c r="B1111" s="14">
        <v>792</v>
      </c>
      <c r="C1111" s="15" t="s">
        <v>309</v>
      </c>
      <c r="D1111" s="15" t="s">
        <v>19</v>
      </c>
      <c r="E1111" s="15" t="s">
        <v>283</v>
      </c>
      <c r="F1111" s="15"/>
      <c r="G1111" s="87">
        <f t="shared" ref="G1111:I1112" si="312">G1112</f>
        <v>13832299</v>
      </c>
      <c r="H1111" s="87">
        <f t="shared" si="312"/>
        <v>13587894</v>
      </c>
      <c r="I1111" s="87">
        <f t="shared" si="312"/>
        <v>14246122</v>
      </c>
      <c r="J1111" s="17"/>
      <c r="P1111" s="17"/>
      <c r="Q1111" s="17"/>
      <c r="R1111" s="17"/>
      <c r="S1111" s="17"/>
      <c r="T1111" s="17"/>
    </row>
    <row r="1112" spans="1:20" s="18" customFormat="1">
      <c r="A1112" s="16" t="s">
        <v>156</v>
      </c>
      <c r="B1112" s="14">
        <v>792</v>
      </c>
      <c r="C1112" s="15" t="s">
        <v>309</v>
      </c>
      <c r="D1112" s="15" t="s">
        <v>19</v>
      </c>
      <c r="E1112" s="15" t="s">
        <v>283</v>
      </c>
      <c r="F1112" s="15" t="s">
        <v>157</v>
      </c>
      <c r="G1112" s="87">
        <f t="shared" si="312"/>
        <v>13832299</v>
      </c>
      <c r="H1112" s="87">
        <f t="shared" si="312"/>
        <v>13587894</v>
      </c>
      <c r="I1112" s="87">
        <f t="shared" si="312"/>
        <v>14246122</v>
      </c>
      <c r="J1112" s="17"/>
      <c r="P1112" s="17"/>
      <c r="Q1112" s="17"/>
      <c r="R1112" s="17"/>
      <c r="S1112" s="17"/>
      <c r="T1112" s="17"/>
    </row>
    <row r="1113" spans="1:20" s="18" customFormat="1">
      <c r="A1113" s="16" t="s">
        <v>312</v>
      </c>
      <c r="B1113" s="14">
        <v>792</v>
      </c>
      <c r="C1113" s="15" t="s">
        <v>309</v>
      </c>
      <c r="D1113" s="15" t="s">
        <v>19</v>
      </c>
      <c r="E1113" s="15" t="s">
        <v>283</v>
      </c>
      <c r="F1113" s="15" t="s">
        <v>313</v>
      </c>
      <c r="G1113" s="87">
        <f>'прил 5,'!G1120</f>
        <v>13832299</v>
      </c>
      <c r="H1113" s="87">
        <f>'прил 5,'!H1120</f>
        <v>13587894</v>
      </c>
      <c r="I1113" s="87">
        <f>'прил 5,'!I1120</f>
        <v>14246122</v>
      </c>
      <c r="J1113" s="17"/>
      <c r="P1113" s="17"/>
      <c r="Q1113" s="17"/>
      <c r="R1113" s="17"/>
      <c r="S1113" s="17"/>
      <c r="T1113" s="17"/>
    </row>
    <row r="1114" spans="1:20" s="3" customFormat="1" ht="25.5">
      <c r="A1114" s="16" t="s">
        <v>475</v>
      </c>
      <c r="B1114" s="14"/>
      <c r="C1114" s="15"/>
      <c r="D1114" s="15"/>
      <c r="E1114" s="15" t="s">
        <v>238</v>
      </c>
      <c r="F1114" s="15"/>
      <c r="G1114" s="87">
        <f t="shared" ref="G1114:I1115" si="313">G1115</f>
        <v>23220661</v>
      </c>
      <c r="H1114" s="87">
        <f t="shared" si="313"/>
        <v>0</v>
      </c>
      <c r="I1114" s="87">
        <f t="shared" si="313"/>
        <v>0</v>
      </c>
      <c r="J1114" s="111"/>
      <c r="P1114" s="111"/>
      <c r="Q1114" s="111"/>
      <c r="R1114" s="111"/>
      <c r="S1114" s="111"/>
      <c r="T1114" s="111"/>
    </row>
    <row r="1115" spans="1:20" s="3" customFormat="1">
      <c r="A1115" s="16" t="s">
        <v>156</v>
      </c>
      <c r="B1115" s="14">
        <v>792</v>
      </c>
      <c r="C1115" s="15" t="s">
        <v>309</v>
      </c>
      <c r="D1115" s="15" t="s">
        <v>70</v>
      </c>
      <c r="E1115" s="15" t="s">
        <v>238</v>
      </c>
      <c r="F1115" s="15" t="s">
        <v>157</v>
      </c>
      <c r="G1115" s="87">
        <f t="shared" si="313"/>
        <v>23220661</v>
      </c>
      <c r="H1115" s="87">
        <f t="shared" si="313"/>
        <v>0</v>
      </c>
      <c r="I1115" s="87">
        <f t="shared" si="313"/>
        <v>0</v>
      </c>
      <c r="J1115" s="111"/>
      <c r="P1115" s="111"/>
      <c r="Q1115" s="111"/>
      <c r="R1115" s="111"/>
      <c r="S1115" s="111"/>
      <c r="T1115" s="111"/>
    </row>
    <row r="1116" spans="1:20" s="3" customFormat="1">
      <c r="A1116" s="16" t="s">
        <v>178</v>
      </c>
      <c r="B1116" s="14">
        <v>792</v>
      </c>
      <c r="C1116" s="15" t="s">
        <v>309</v>
      </c>
      <c r="D1116" s="15" t="s">
        <v>70</v>
      </c>
      <c r="E1116" s="15" t="s">
        <v>238</v>
      </c>
      <c r="F1116" s="15" t="s">
        <v>179</v>
      </c>
      <c r="G1116" s="87">
        <f>'прил 5,'!G1134</f>
        <v>23220661</v>
      </c>
      <c r="H1116" s="87">
        <f>'прил 5,'!H1134</f>
        <v>0</v>
      </c>
      <c r="I1116" s="87">
        <f>'прил 5,'!I1134</f>
        <v>0</v>
      </c>
      <c r="J1116" s="111"/>
      <c r="P1116" s="111"/>
      <c r="Q1116" s="111"/>
      <c r="R1116" s="111"/>
      <c r="S1116" s="111"/>
      <c r="T1116" s="111"/>
    </row>
    <row r="1117" spans="1:20" s="76" customFormat="1" ht="51">
      <c r="A1117" s="240" t="s">
        <v>485</v>
      </c>
      <c r="B1117" s="35">
        <v>793</v>
      </c>
      <c r="C1117" s="36" t="s">
        <v>70</v>
      </c>
      <c r="D1117" s="36" t="s">
        <v>123</v>
      </c>
      <c r="E1117" s="36" t="s">
        <v>251</v>
      </c>
      <c r="F1117" s="75"/>
      <c r="G1117" s="71">
        <f>G1124+G1129+G1132+G1141+G1144+G1123+G1118+G1135+G1147+G1138</f>
        <v>5726265.8799999999</v>
      </c>
      <c r="H1117" s="71">
        <f>H1123+H1128+H1131+H1134+H1137+H1143</f>
        <v>600000</v>
      </c>
      <c r="I1117" s="71">
        <f>I1123+I1128+I1131+I1134+I1137+I1143</f>
        <v>570000</v>
      </c>
      <c r="J1117" s="239">
        <v>162500</v>
      </c>
      <c r="P1117" s="175"/>
      <c r="Q1117" s="241"/>
      <c r="R1117" s="239"/>
      <c r="S1117" s="239"/>
      <c r="T1117" s="239"/>
    </row>
    <row r="1118" spans="1:20" s="28" customFormat="1" ht="25.5" hidden="1">
      <c r="A1118" s="40" t="s">
        <v>620</v>
      </c>
      <c r="B1118" s="14">
        <v>793</v>
      </c>
      <c r="C1118" s="15" t="s">
        <v>70</v>
      </c>
      <c r="D1118" s="15" t="s">
        <v>69</v>
      </c>
      <c r="E1118" s="15" t="s">
        <v>656</v>
      </c>
      <c r="F1118" s="39"/>
      <c r="G1118" s="87">
        <f>G1119</f>
        <v>0</v>
      </c>
      <c r="H1118" s="70"/>
      <c r="I1118" s="70"/>
      <c r="P1118" s="109"/>
      <c r="Q1118" s="109"/>
      <c r="R1118" s="109"/>
      <c r="S1118" s="109"/>
      <c r="T1118" s="109"/>
    </row>
    <row r="1119" spans="1:20" s="28" customFormat="1" hidden="1">
      <c r="A1119" s="16" t="s">
        <v>156</v>
      </c>
      <c r="B1119" s="14">
        <v>793</v>
      </c>
      <c r="C1119" s="15" t="s">
        <v>70</v>
      </c>
      <c r="D1119" s="15" t="s">
        <v>69</v>
      </c>
      <c r="E1119" s="15" t="s">
        <v>656</v>
      </c>
      <c r="F1119" s="15" t="s">
        <v>157</v>
      </c>
      <c r="G1119" s="87">
        <f>G1120</f>
        <v>0</v>
      </c>
      <c r="H1119" s="70"/>
      <c r="I1119" s="70"/>
      <c r="P1119" s="109"/>
      <c r="Q1119" s="109"/>
      <c r="R1119" s="109"/>
      <c r="S1119" s="109"/>
      <c r="T1119" s="109"/>
    </row>
    <row r="1120" spans="1:20" s="28" customFormat="1" hidden="1">
      <c r="A1120" s="16" t="s">
        <v>170</v>
      </c>
      <c r="B1120" s="14">
        <v>793</v>
      </c>
      <c r="C1120" s="15" t="s">
        <v>70</v>
      </c>
      <c r="D1120" s="15" t="s">
        <v>69</v>
      </c>
      <c r="E1120" s="15" t="s">
        <v>656</v>
      </c>
      <c r="F1120" s="15" t="s">
        <v>171</v>
      </c>
      <c r="G1120" s="87">
        <f>'прил 5,'!G1329</f>
        <v>0</v>
      </c>
      <c r="H1120" s="70"/>
      <c r="I1120" s="70"/>
      <c r="P1120" s="109"/>
      <c r="Q1120" s="109"/>
      <c r="R1120" s="109"/>
      <c r="S1120" s="109"/>
      <c r="T1120" s="109"/>
    </row>
    <row r="1121" spans="1:20" s="28" customFormat="1" ht="54.75" customHeight="1">
      <c r="A1121" s="40" t="s">
        <v>334</v>
      </c>
      <c r="B1121" s="14">
        <v>793</v>
      </c>
      <c r="C1121" s="15" t="s">
        <v>70</v>
      </c>
      <c r="D1121" s="15" t="s">
        <v>123</v>
      </c>
      <c r="E1121" s="15" t="s">
        <v>138</v>
      </c>
      <c r="F1121" s="39"/>
      <c r="G1121" s="70">
        <f>G1122</f>
        <v>90489.88</v>
      </c>
      <c r="H1121" s="70">
        <f t="shared" ref="H1121:I1121" si="314">H1122</f>
        <v>30000</v>
      </c>
      <c r="I1121" s="70">
        <f t="shared" si="314"/>
        <v>0</v>
      </c>
      <c r="P1121" s="109"/>
      <c r="Q1121" s="109"/>
      <c r="R1121" s="109"/>
      <c r="S1121" s="109"/>
      <c r="T1121" s="109"/>
    </row>
    <row r="1122" spans="1:20" s="28" customFormat="1">
      <c r="A1122" s="16" t="s">
        <v>323</v>
      </c>
      <c r="B1122" s="14">
        <v>793</v>
      </c>
      <c r="C1122" s="15" t="s">
        <v>70</v>
      </c>
      <c r="D1122" s="15" t="s">
        <v>123</v>
      </c>
      <c r="E1122" s="15" t="s">
        <v>138</v>
      </c>
      <c r="F1122" s="15" t="s">
        <v>37</v>
      </c>
      <c r="G1122" s="70">
        <f>G1123</f>
        <v>90489.88</v>
      </c>
      <c r="H1122" s="70">
        <f t="shared" ref="H1122:I1122" si="315">H1123</f>
        <v>30000</v>
      </c>
      <c r="I1122" s="70">
        <f t="shared" si="315"/>
        <v>0</v>
      </c>
      <c r="P1122" s="109"/>
      <c r="Q1122" s="109"/>
      <c r="R1122" s="109"/>
      <c r="S1122" s="109"/>
      <c r="T1122" s="109"/>
    </row>
    <row r="1123" spans="1:20" s="28" customFormat="1" ht="25.5">
      <c r="A1123" s="16" t="s">
        <v>38</v>
      </c>
      <c r="B1123" s="14">
        <v>793</v>
      </c>
      <c r="C1123" s="15" t="s">
        <v>70</v>
      </c>
      <c r="D1123" s="15" t="s">
        <v>123</v>
      </c>
      <c r="E1123" s="15" t="s">
        <v>138</v>
      </c>
      <c r="F1123" s="15" t="s">
        <v>39</v>
      </c>
      <c r="G1123" s="70">
        <f>'прил 5,'!G1337</f>
        <v>90489.88</v>
      </c>
      <c r="H1123" s="70">
        <f>'прил 5,'!H1297+'прил 5,'!H1337</f>
        <v>30000</v>
      </c>
      <c r="I1123" s="70">
        <f>'прил 5,'!I1297+'прил 5,'!I1337</f>
        <v>0</v>
      </c>
      <c r="P1123" s="109"/>
      <c r="Q1123" s="109"/>
      <c r="R1123" s="109"/>
      <c r="S1123" s="109"/>
      <c r="T1123" s="109"/>
    </row>
    <row r="1124" spans="1:20" ht="57.75" customHeight="1">
      <c r="A1124" s="57" t="s">
        <v>497</v>
      </c>
      <c r="B1124" s="14">
        <v>793</v>
      </c>
      <c r="C1124" s="15" t="s">
        <v>70</v>
      </c>
      <c r="D1124" s="15" t="s">
        <v>123</v>
      </c>
      <c r="E1124" s="15" t="s">
        <v>252</v>
      </c>
      <c r="F1124" s="15"/>
      <c r="G1124" s="70">
        <f>G1125+G1127</f>
        <v>20000</v>
      </c>
      <c r="H1124" s="70">
        <f>H1125+H1127</f>
        <v>250000</v>
      </c>
      <c r="I1124" s="70">
        <f>I1125+I1127</f>
        <v>250000</v>
      </c>
      <c r="J1124" s="2">
        <v>50000</v>
      </c>
    </row>
    <row r="1125" spans="1:20" hidden="1">
      <c r="A1125" s="16" t="s">
        <v>323</v>
      </c>
      <c r="B1125" s="14">
        <v>793</v>
      </c>
      <c r="C1125" s="15" t="s">
        <v>70</v>
      </c>
      <c r="D1125" s="15" t="s">
        <v>123</v>
      </c>
      <c r="E1125" s="15" t="s">
        <v>252</v>
      </c>
      <c r="F1125" s="15" t="s">
        <v>37</v>
      </c>
      <c r="G1125" s="70">
        <f>G1126</f>
        <v>0</v>
      </c>
      <c r="H1125" s="70">
        <f t="shared" ref="H1125:O1125" si="316">H1126</f>
        <v>0</v>
      </c>
      <c r="I1125" s="70">
        <f t="shared" si="316"/>
        <v>0</v>
      </c>
      <c r="J1125" s="70">
        <f t="shared" si="316"/>
        <v>60000</v>
      </c>
      <c r="K1125" s="70">
        <f t="shared" si="316"/>
        <v>0</v>
      </c>
      <c r="L1125" s="70">
        <f t="shared" si="316"/>
        <v>0</v>
      </c>
      <c r="M1125" s="70">
        <f t="shared" si="316"/>
        <v>0</v>
      </c>
      <c r="N1125" s="70">
        <f t="shared" si="316"/>
        <v>0</v>
      </c>
      <c r="O1125" s="70">
        <f t="shared" si="316"/>
        <v>0</v>
      </c>
    </row>
    <row r="1126" spans="1:20" ht="25.5" hidden="1">
      <c r="A1126" s="16" t="s">
        <v>38</v>
      </c>
      <c r="B1126" s="14">
        <v>793</v>
      </c>
      <c r="C1126" s="15" t="s">
        <v>70</v>
      </c>
      <c r="D1126" s="15" t="s">
        <v>123</v>
      </c>
      <c r="E1126" s="15" t="s">
        <v>252</v>
      </c>
      <c r="F1126" s="15" t="s">
        <v>39</v>
      </c>
      <c r="G1126" s="70">
        <f>'прил 5,'!G1300+'прил 5,'!G1349</f>
        <v>0</v>
      </c>
      <c r="H1126" s="70">
        <f>'прил 5,'!H1300+'прил 5,'!H1349</f>
        <v>0</v>
      </c>
      <c r="I1126" s="70">
        <f>'прил 5,'!I1300+'прил 5,'!I1349</f>
        <v>0</v>
      </c>
      <c r="J1126" s="2">
        <v>60000</v>
      </c>
    </row>
    <row r="1127" spans="1:20" ht="18" customHeight="1">
      <c r="A1127" s="16" t="s">
        <v>115</v>
      </c>
      <c r="B1127" s="14">
        <v>793</v>
      </c>
      <c r="C1127" s="15" t="s">
        <v>70</v>
      </c>
      <c r="D1127" s="15" t="s">
        <v>123</v>
      </c>
      <c r="E1127" s="15" t="s">
        <v>253</v>
      </c>
      <c r="F1127" s="15" t="s">
        <v>64</v>
      </c>
      <c r="G1127" s="70">
        <f>G1128</f>
        <v>20000</v>
      </c>
      <c r="H1127" s="70">
        <f>H1128</f>
        <v>250000</v>
      </c>
      <c r="I1127" s="70">
        <f>I1128</f>
        <v>250000</v>
      </c>
    </row>
    <row r="1128" spans="1:20" ht="18.75" customHeight="1">
      <c r="A1128" s="16" t="s">
        <v>180</v>
      </c>
      <c r="B1128" s="14"/>
      <c r="C1128" s="15"/>
      <c r="D1128" s="15"/>
      <c r="E1128" s="15" t="s">
        <v>253</v>
      </c>
      <c r="F1128" s="15" t="s">
        <v>181</v>
      </c>
      <c r="G1128" s="70">
        <f>'прил 5,'!G1302+'прил 5,'!G1351</f>
        <v>20000</v>
      </c>
      <c r="H1128" s="70">
        <f>'прил 5,'!H1302+'прил 5,'!H1351</f>
        <v>250000</v>
      </c>
      <c r="I1128" s="70">
        <f>'прил 5,'!I1302+'прил 5,'!I1351</f>
        <v>250000</v>
      </c>
      <c r="J1128" s="70">
        <f>'прил 5,'!K1302+'прил 5,'!K1351</f>
        <v>0</v>
      </c>
      <c r="K1128" s="70">
        <f>'прил 5,'!L1302+'прил 5,'!L1351</f>
        <v>0</v>
      </c>
      <c r="L1128" s="70">
        <f>'прил 5,'!M1302+'прил 5,'!M1351</f>
        <v>0</v>
      </c>
      <c r="M1128" s="70">
        <f>'прил 5,'!N1302+'прил 5,'!N1351</f>
        <v>0</v>
      </c>
      <c r="N1128" s="70">
        <f>'прил 5,'!O1302+'прил 5,'!O1351</f>
        <v>0</v>
      </c>
      <c r="O1128" s="70">
        <f>'прил 5,'!P1302+'прил 5,'!P1351</f>
        <v>0</v>
      </c>
    </row>
    <row r="1129" spans="1:20" ht="21" customHeight="1">
      <c r="A1129" s="16" t="s">
        <v>186</v>
      </c>
      <c r="B1129" s="14">
        <v>793</v>
      </c>
      <c r="C1129" s="15" t="s">
        <v>70</v>
      </c>
      <c r="D1129" s="15" t="s">
        <v>69</v>
      </c>
      <c r="E1129" s="15" t="s">
        <v>136</v>
      </c>
      <c r="F1129" s="15"/>
      <c r="G1129" s="70">
        <f t="shared" ref="G1129:G1130" si="317">G1130</f>
        <v>70000</v>
      </c>
      <c r="H1129" s="103">
        <f>H1130</f>
        <v>100000</v>
      </c>
      <c r="I1129" s="103">
        <f>I1130</f>
        <v>100000</v>
      </c>
    </row>
    <row r="1130" spans="1:20" ht="24.75" customHeight="1">
      <c r="A1130" s="16" t="s">
        <v>323</v>
      </c>
      <c r="B1130" s="14">
        <v>793</v>
      </c>
      <c r="C1130" s="15" t="s">
        <v>70</v>
      </c>
      <c r="D1130" s="15" t="s">
        <v>69</v>
      </c>
      <c r="E1130" s="15" t="s">
        <v>136</v>
      </c>
      <c r="F1130" s="15" t="s">
        <v>37</v>
      </c>
      <c r="G1130" s="70">
        <f t="shared" si="317"/>
        <v>70000</v>
      </c>
      <c r="H1130" s="103">
        <f>H1131</f>
        <v>100000</v>
      </c>
      <c r="I1130" s="103">
        <f>I1131</f>
        <v>100000</v>
      </c>
      <c r="J1130" s="2">
        <f>J1128-H1117</f>
        <v>-600000</v>
      </c>
    </row>
    <row r="1131" spans="1:20" ht="25.5">
      <c r="A1131" s="16" t="s">
        <v>38</v>
      </c>
      <c r="B1131" s="14">
        <v>793</v>
      </c>
      <c r="C1131" s="15" t="s">
        <v>70</v>
      </c>
      <c r="D1131" s="15" t="s">
        <v>69</v>
      </c>
      <c r="E1131" s="15" t="s">
        <v>136</v>
      </c>
      <c r="F1131" s="15" t="s">
        <v>39</v>
      </c>
      <c r="G1131" s="70">
        <f>'прил 5,'!G1334</f>
        <v>70000</v>
      </c>
      <c r="H1131" s="70">
        <f>'прил 5,'!H1334</f>
        <v>100000</v>
      </c>
      <c r="I1131" s="70">
        <f>'прил 5,'!I1334</f>
        <v>100000</v>
      </c>
      <c r="J1131" s="70">
        <f>'прил 5,'!K1334</f>
        <v>0</v>
      </c>
      <c r="K1131" s="70">
        <f>'прил 5,'!L1334</f>
        <v>0</v>
      </c>
      <c r="L1131" s="70">
        <f>'прил 5,'!M1334</f>
        <v>0</v>
      </c>
      <c r="M1131" s="70">
        <f>'прил 5,'!N1334</f>
        <v>0</v>
      </c>
      <c r="N1131" s="70">
        <f>'прил 5,'!O1334</f>
        <v>0</v>
      </c>
      <c r="O1131" s="70">
        <f>'прил 5,'!P1334</f>
        <v>0</v>
      </c>
    </row>
    <row r="1132" spans="1:20" ht="38.25" customHeight="1">
      <c r="A1132" s="16" t="s">
        <v>449</v>
      </c>
      <c r="B1132" s="14">
        <v>793</v>
      </c>
      <c r="C1132" s="15" t="s">
        <v>70</v>
      </c>
      <c r="D1132" s="15" t="s">
        <v>123</v>
      </c>
      <c r="E1132" s="15" t="s">
        <v>450</v>
      </c>
      <c r="F1132" s="15"/>
      <c r="G1132" s="70">
        <f t="shared" ref="G1132:I1133" si="318">G1133</f>
        <v>67500</v>
      </c>
      <c r="H1132" s="103">
        <f t="shared" si="318"/>
        <v>67500</v>
      </c>
      <c r="I1132" s="103">
        <f t="shared" si="318"/>
        <v>67500</v>
      </c>
    </row>
    <row r="1133" spans="1:20" ht="21.75" customHeight="1">
      <c r="A1133" s="16" t="s">
        <v>38</v>
      </c>
      <c r="B1133" s="14">
        <v>793</v>
      </c>
      <c r="C1133" s="15" t="s">
        <v>70</v>
      </c>
      <c r="D1133" s="15" t="s">
        <v>123</v>
      </c>
      <c r="E1133" s="15" t="s">
        <v>450</v>
      </c>
      <c r="F1133" s="15" t="s">
        <v>37</v>
      </c>
      <c r="G1133" s="70">
        <f t="shared" si="318"/>
        <v>67500</v>
      </c>
      <c r="H1133" s="103">
        <f t="shared" si="318"/>
        <v>67500</v>
      </c>
      <c r="I1133" s="103">
        <f t="shared" si="318"/>
        <v>67500</v>
      </c>
    </row>
    <row r="1134" spans="1:20" ht="25.5">
      <c r="A1134" s="16" t="s">
        <v>38</v>
      </c>
      <c r="B1134" s="14">
        <v>793</v>
      </c>
      <c r="C1134" s="15" t="s">
        <v>70</v>
      </c>
      <c r="D1134" s="15" t="s">
        <v>123</v>
      </c>
      <c r="E1134" s="15" t="s">
        <v>450</v>
      </c>
      <c r="F1134" s="15" t="s">
        <v>39</v>
      </c>
      <c r="G1134" s="70">
        <f>'прил 5,'!G1305</f>
        <v>67500</v>
      </c>
      <c r="H1134" s="70">
        <f>'прил 5,'!H1305</f>
        <v>67500</v>
      </c>
      <c r="I1134" s="70">
        <f>'прил 5,'!I1305</f>
        <v>67500</v>
      </c>
    </row>
    <row r="1135" spans="1:20" ht="38.25" hidden="1" customHeight="1">
      <c r="A1135" s="16" t="s">
        <v>799</v>
      </c>
      <c r="B1135" s="14">
        <v>793</v>
      </c>
      <c r="C1135" s="15" t="s">
        <v>70</v>
      </c>
      <c r="D1135" s="15" t="s">
        <v>123</v>
      </c>
      <c r="E1135" s="15" t="s">
        <v>798</v>
      </c>
      <c r="F1135" s="15"/>
      <c r="G1135" s="70">
        <f>G1136</f>
        <v>0</v>
      </c>
      <c r="H1135" s="70">
        <f t="shared" ref="H1135:I1136" si="319">H1136</f>
        <v>0</v>
      </c>
      <c r="I1135" s="70">
        <f t="shared" si="319"/>
        <v>0</v>
      </c>
      <c r="J1135" s="1"/>
    </row>
    <row r="1136" spans="1:20" ht="28.5" hidden="1" customHeight="1">
      <c r="A1136" s="16" t="s">
        <v>38</v>
      </c>
      <c r="B1136" s="14">
        <v>793</v>
      </c>
      <c r="C1136" s="15" t="s">
        <v>70</v>
      </c>
      <c r="D1136" s="15" t="s">
        <v>123</v>
      </c>
      <c r="E1136" s="15" t="s">
        <v>798</v>
      </c>
      <c r="F1136" s="15" t="s">
        <v>37</v>
      </c>
      <c r="G1136" s="70">
        <f>G1137</f>
        <v>0</v>
      </c>
      <c r="H1136" s="70">
        <f t="shared" si="319"/>
        <v>0</v>
      </c>
      <c r="I1136" s="70">
        <f t="shared" si="319"/>
        <v>0</v>
      </c>
      <c r="J1136" s="1"/>
    </row>
    <row r="1137" spans="1:20" ht="25.5" hidden="1">
      <c r="A1137" s="16" t="s">
        <v>38</v>
      </c>
      <c r="B1137" s="14">
        <v>793</v>
      </c>
      <c r="C1137" s="15" t="s">
        <v>70</v>
      </c>
      <c r="D1137" s="15" t="s">
        <v>123</v>
      </c>
      <c r="E1137" s="15" t="s">
        <v>798</v>
      </c>
      <c r="F1137" s="15" t="s">
        <v>39</v>
      </c>
      <c r="G1137" s="70">
        <f>'прил 5,'!G1308</f>
        <v>0</v>
      </c>
      <c r="H1137" s="70">
        <v>0</v>
      </c>
      <c r="I1137" s="70">
        <v>0</v>
      </c>
      <c r="J1137" s="1"/>
    </row>
    <row r="1138" spans="1:20" ht="38.25" hidden="1" customHeight="1">
      <c r="A1138" s="16" t="s">
        <v>1073</v>
      </c>
      <c r="B1138" s="14">
        <v>793</v>
      </c>
      <c r="C1138" s="15" t="s">
        <v>70</v>
      </c>
      <c r="D1138" s="15" t="s">
        <v>123</v>
      </c>
      <c r="E1138" s="15" t="s">
        <v>1070</v>
      </c>
      <c r="F1138" s="15"/>
      <c r="G1138" s="70">
        <f>G1139</f>
        <v>0</v>
      </c>
      <c r="H1138" s="70">
        <f t="shared" ref="H1138:I1139" si="320">H1139</f>
        <v>0</v>
      </c>
      <c r="I1138" s="70">
        <f t="shared" si="320"/>
        <v>0</v>
      </c>
      <c r="J1138" s="177"/>
      <c r="K1138" s="186"/>
      <c r="L1138" s="186"/>
      <c r="M1138" s="186"/>
      <c r="N1138" s="186"/>
      <c r="O1138" s="186"/>
      <c r="P1138" s="186"/>
      <c r="Q1138" s="186"/>
      <c r="R1138" s="186"/>
      <c r="S1138" s="1"/>
      <c r="T1138" s="1"/>
    </row>
    <row r="1139" spans="1:20" ht="28.5" hidden="1" customHeight="1">
      <c r="A1139" s="16" t="s">
        <v>38</v>
      </c>
      <c r="B1139" s="14">
        <v>793</v>
      </c>
      <c r="C1139" s="15" t="s">
        <v>70</v>
      </c>
      <c r="D1139" s="15" t="s">
        <v>123</v>
      </c>
      <c r="E1139" s="15" t="s">
        <v>1070</v>
      </c>
      <c r="F1139" s="15" t="s">
        <v>37</v>
      </c>
      <c r="G1139" s="70">
        <f>G1140</f>
        <v>0</v>
      </c>
      <c r="H1139" s="70">
        <f t="shared" si="320"/>
        <v>0</v>
      </c>
      <c r="I1139" s="70">
        <f t="shared" si="320"/>
        <v>0</v>
      </c>
      <c r="J1139" s="177"/>
      <c r="K1139" s="186"/>
      <c r="L1139" s="186"/>
      <c r="M1139" s="186"/>
      <c r="N1139" s="186"/>
      <c r="O1139" s="186"/>
      <c r="P1139" s="186"/>
      <c r="Q1139" s="186"/>
      <c r="R1139" s="186"/>
      <c r="S1139" s="1"/>
      <c r="T1139" s="1"/>
    </row>
    <row r="1140" spans="1:20" ht="25.5" hidden="1">
      <c r="A1140" s="16" t="s">
        <v>38</v>
      </c>
      <c r="B1140" s="14">
        <v>793</v>
      </c>
      <c r="C1140" s="15" t="s">
        <v>70</v>
      </c>
      <c r="D1140" s="15" t="s">
        <v>123</v>
      </c>
      <c r="E1140" s="15" t="s">
        <v>1070</v>
      </c>
      <c r="F1140" s="15" t="s">
        <v>39</v>
      </c>
      <c r="G1140" s="70">
        <f>'прил 5,'!G1340</f>
        <v>0</v>
      </c>
      <c r="H1140" s="70">
        <v>0</v>
      </c>
      <c r="I1140" s="70">
        <v>0</v>
      </c>
      <c r="J1140" s="177"/>
      <c r="K1140" s="186"/>
      <c r="L1140" s="186"/>
      <c r="M1140" s="186"/>
      <c r="N1140" s="186"/>
      <c r="O1140" s="186"/>
      <c r="P1140" s="186"/>
      <c r="Q1140" s="186"/>
      <c r="R1140" s="186"/>
      <c r="S1140" s="1"/>
      <c r="T1140" s="1"/>
    </row>
    <row r="1141" spans="1:20" ht="46.5" customHeight="1">
      <c r="A1141" s="57" t="s">
        <v>788</v>
      </c>
      <c r="B1141" s="14">
        <v>793</v>
      </c>
      <c r="C1141" s="15" t="s">
        <v>70</v>
      </c>
      <c r="D1141" s="15" t="s">
        <v>123</v>
      </c>
      <c r="E1141" s="15" t="s">
        <v>496</v>
      </c>
      <c r="F1141" s="15"/>
      <c r="G1141" s="70">
        <f>G1143</f>
        <v>2978276</v>
      </c>
      <c r="H1141" s="70">
        <f t="shared" ref="H1141:I1141" si="321">H1143</f>
        <v>152500</v>
      </c>
      <c r="I1141" s="70">
        <f t="shared" si="321"/>
        <v>152500</v>
      </c>
      <c r="J1141" s="1"/>
    </row>
    <row r="1142" spans="1:20">
      <c r="A1142" s="16" t="s">
        <v>323</v>
      </c>
      <c r="B1142" s="14">
        <v>793</v>
      </c>
      <c r="C1142" s="15" t="s">
        <v>70</v>
      </c>
      <c r="D1142" s="15" t="s">
        <v>123</v>
      </c>
      <c r="E1142" s="15" t="s">
        <v>496</v>
      </c>
      <c r="F1142" s="15" t="s">
        <v>37</v>
      </c>
      <c r="G1142" s="70">
        <f>G1143</f>
        <v>2978276</v>
      </c>
      <c r="H1142" s="70">
        <f>H1143</f>
        <v>152500</v>
      </c>
      <c r="I1142" s="70">
        <f>I1143</f>
        <v>152500</v>
      </c>
      <c r="J1142" s="1"/>
    </row>
    <row r="1143" spans="1:20" ht="25.5">
      <c r="A1143" s="16" t="s">
        <v>38</v>
      </c>
      <c r="B1143" s="14">
        <v>793</v>
      </c>
      <c r="C1143" s="15" t="s">
        <v>70</v>
      </c>
      <c r="D1143" s="15" t="s">
        <v>123</v>
      </c>
      <c r="E1143" s="15" t="s">
        <v>496</v>
      </c>
      <c r="F1143" s="15" t="s">
        <v>39</v>
      </c>
      <c r="G1143" s="70">
        <f>'прил 5,'!G1311+'прил 5,'!G1343</f>
        <v>2978276</v>
      </c>
      <c r="H1143" s="70">
        <f>'прил 5,'!H1343+'прил 5,'!H1311</f>
        <v>152500</v>
      </c>
      <c r="I1143" s="70">
        <f>'прил 5,'!I1311+'прил 5,'!I1355+'прил 5,'!I1343</f>
        <v>152500</v>
      </c>
      <c r="J1143" s="1"/>
    </row>
    <row r="1144" spans="1:20" ht="46.5" hidden="1" customHeight="1">
      <c r="A1144" s="57" t="s">
        <v>499</v>
      </c>
      <c r="B1144" s="14">
        <v>793</v>
      </c>
      <c r="C1144" s="15" t="s">
        <v>70</v>
      </c>
      <c r="D1144" s="15" t="s">
        <v>123</v>
      </c>
      <c r="E1144" s="15" t="s">
        <v>498</v>
      </c>
      <c r="F1144" s="15"/>
      <c r="G1144" s="70">
        <f>G1145</f>
        <v>0</v>
      </c>
      <c r="H1144" s="70">
        <f t="shared" ref="H1144:I1144" si="322">H1145</f>
        <v>0</v>
      </c>
      <c r="I1144" s="70">
        <f t="shared" si="322"/>
        <v>0</v>
      </c>
      <c r="J1144" s="1"/>
    </row>
    <row r="1145" spans="1:20" hidden="1">
      <c r="A1145" s="16" t="s">
        <v>323</v>
      </c>
      <c r="B1145" s="14">
        <v>793</v>
      </c>
      <c r="C1145" s="15" t="s">
        <v>70</v>
      </c>
      <c r="D1145" s="15" t="s">
        <v>123</v>
      </c>
      <c r="E1145" s="15" t="s">
        <v>498</v>
      </c>
      <c r="F1145" s="15" t="s">
        <v>37</v>
      </c>
      <c r="G1145" s="70">
        <f>G1146</f>
        <v>0</v>
      </c>
      <c r="H1145" s="70">
        <f>H1146</f>
        <v>0</v>
      </c>
      <c r="I1145" s="70">
        <f>I1146</f>
        <v>0</v>
      </c>
      <c r="J1145" s="1"/>
    </row>
    <row r="1146" spans="1:20" ht="25.5" hidden="1">
      <c r="A1146" s="16" t="s">
        <v>38</v>
      </c>
      <c r="B1146" s="14">
        <v>793</v>
      </c>
      <c r="C1146" s="15" t="s">
        <v>70</v>
      </c>
      <c r="D1146" s="15" t="s">
        <v>123</v>
      </c>
      <c r="E1146" s="15" t="s">
        <v>498</v>
      </c>
      <c r="F1146" s="15" t="s">
        <v>39</v>
      </c>
      <c r="G1146" s="70">
        <f>'прил 5,'!G1314</f>
        <v>0</v>
      </c>
      <c r="H1146" s="164">
        <f>'прил 5,'!H1314</f>
        <v>0</v>
      </c>
      <c r="I1146" s="70">
        <f>'прил 5,'!I1314</f>
        <v>0</v>
      </c>
      <c r="J1146" s="70">
        <f>'прил 5,'!K1314</f>
        <v>0</v>
      </c>
      <c r="K1146" s="70">
        <f>'прил 5,'!L1314</f>
        <v>0</v>
      </c>
      <c r="L1146" s="70">
        <f>'прил 5,'!M1314</f>
        <v>0</v>
      </c>
      <c r="M1146" s="70">
        <f>'прил 5,'!N1314</f>
        <v>0</v>
      </c>
      <c r="N1146" s="70">
        <f>'прил 5,'!O1314</f>
        <v>0</v>
      </c>
      <c r="O1146" s="70">
        <f>'прил 5,'!P1314</f>
        <v>0</v>
      </c>
    </row>
    <row r="1147" spans="1:20" ht="79.5" customHeight="1">
      <c r="A1147" s="57" t="s">
        <v>1018</v>
      </c>
      <c r="B1147" s="14">
        <v>793</v>
      </c>
      <c r="C1147" s="15" t="s">
        <v>70</v>
      </c>
      <c r="D1147" s="15" t="s">
        <v>69</v>
      </c>
      <c r="E1147" s="15" t="s">
        <v>498</v>
      </c>
      <c r="F1147" s="15"/>
      <c r="G1147" s="70">
        <f>G1148</f>
        <v>2500000</v>
      </c>
      <c r="H1147" s="70">
        <f t="shared" ref="H1147:I1147" si="323">H1148</f>
        <v>0</v>
      </c>
      <c r="I1147" s="70">
        <f t="shared" si="323"/>
        <v>0</v>
      </c>
      <c r="J1147" s="177"/>
      <c r="K1147" s="177"/>
      <c r="L1147" s="177"/>
      <c r="M1147" s="177"/>
      <c r="N1147" s="177"/>
      <c r="O1147" s="177"/>
      <c r="P1147" s="186"/>
      <c r="Q1147" s="186"/>
      <c r="R1147" s="186"/>
      <c r="S1147" s="1"/>
      <c r="T1147" s="1"/>
    </row>
    <row r="1148" spans="1:20">
      <c r="A1148" s="16" t="s">
        <v>323</v>
      </c>
      <c r="B1148" s="14">
        <v>793</v>
      </c>
      <c r="C1148" s="15" t="s">
        <v>70</v>
      </c>
      <c r="D1148" s="15" t="s">
        <v>69</v>
      </c>
      <c r="E1148" s="15" t="s">
        <v>498</v>
      </c>
      <c r="F1148" s="15" t="s">
        <v>157</v>
      </c>
      <c r="G1148" s="70">
        <f>G1149</f>
        <v>2500000</v>
      </c>
      <c r="H1148" s="70">
        <f>H1149</f>
        <v>0</v>
      </c>
      <c r="I1148" s="70">
        <f>I1149</f>
        <v>0</v>
      </c>
      <c r="J1148" s="177"/>
      <c r="K1148" s="186"/>
      <c r="L1148" s="186"/>
      <c r="M1148" s="186"/>
      <c r="N1148" s="186"/>
      <c r="O1148" s="186"/>
      <c r="P1148" s="186"/>
      <c r="Q1148" s="186"/>
      <c r="R1148" s="186"/>
      <c r="S1148" s="1"/>
      <c r="T1148" s="1"/>
    </row>
    <row r="1149" spans="1:20" ht="25.5">
      <c r="A1149" s="16" t="s">
        <v>38</v>
      </c>
      <c r="B1149" s="14">
        <v>793</v>
      </c>
      <c r="C1149" s="15" t="s">
        <v>70</v>
      </c>
      <c r="D1149" s="15" t="s">
        <v>69</v>
      </c>
      <c r="E1149" s="15" t="s">
        <v>498</v>
      </c>
      <c r="F1149" s="15" t="s">
        <v>179</v>
      </c>
      <c r="G1149" s="70">
        <v>2500000</v>
      </c>
      <c r="H1149" s="70">
        <v>0</v>
      </c>
      <c r="I1149" s="70">
        <v>0</v>
      </c>
      <c r="J1149" s="177"/>
      <c r="K1149" s="186"/>
      <c r="L1149" s="186"/>
      <c r="M1149" s="186"/>
      <c r="N1149" s="186"/>
      <c r="O1149" s="186"/>
      <c r="P1149" s="186"/>
      <c r="Q1149" s="186"/>
      <c r="R1149" s="186"/>
      <c r="S1149" s="1"/>
      <c r="T1149" s="1"/>
    </row>
    <row r="1150" spans="1:20" ht="51">
      <c r="A1150" s="34" t="s">
        <v>443</v>
      </c>
      <c r="B1150" s="14"/>
      <c r="C1150" s="15"/>
      <c r="D1150" s="15"/>
      <c r="E1150" s="36" t="s">
        <v>249</v>
      </c>
      <c r="F1150" s="36"/>
      <c r="G1150" s="71">
        <f>G1154+G1160+G1163+G1157+G1151</f>
        <v>3156434.8600000003</v>
      </c>
      <c r="H1150" s="71">
        <f t="shared" ref="H1150:I1150" si="324">H1154+H1160+H1163+H1157</f>
        <v>2045000</v>
      </c>
      <c r="I1150" s="71">
        <f t="shared" si="324"/>
        <v>2045000</v>
      </c>
      <c r="J1150" s="2">
        <v>3000000</v>
      </c>
    </row>
    <row r="1151" spans="1:20" ht="30.75" customHeight="1">
      <c r="A1151" s="40" t="s">
        <v>827</v>
      </c>
      <c r="B1151" s="14"/>
      <c r="C1151" s="15"/>
      <c r="D1151" s="15"/>
      <c r="E1151" s="15" t="s">
        <v>826</v>
      </c>
      <c r="F1151" s="15"/>
      <c r="G1151" s="70">
        <f>G1152</f>
        <v>324251.62</v>
      </c>
      <c r="H1151" s="70"/>
      <c r="I1151" s="70"/>
      <c r="J1151" s="1"/>
    </row>
    <row r="1152" spans="1:20" ht="30.75" customHeight="1">
      <c r="A1152" s="16" t="s">
        <v>323</v>
      </c>
      <c r="B1152" s="14"/>
      <c r="C1152" s="15"/>
      <c r="D1152" s="15"/>
      <c r="E1152" s="15" t="s">
        <v>826</v>
      </c>
      <c r="F1152" s="15" t="s">
        <v>37</v>
      </c>
      <c r="G1152" s="70">
        <f>G1153</f>
        <v>324251.62</v>
      </c>
      <c r="H1152" s="70"/>
      <c r="I1152" s="70"/>
      <c r="J1152" s="1"/>
    </row>
    <row r="1153" spans="1:20" ht="30.75" customHeight="1">
      <c r="A1153" s="16" t="s">
        <v>38</v>
      </c>
      <c r="B1153" s="14"/>
      <c r="C1153" s="15"/>
      <c r="D1153" s="15"/>
      <c r="E1153" s="15" t="s">
        <v>826</v>
      </c>
      <c r="F1153" s="15" t="s">
        <v>39</v>
      </c>
      <c r="G1153" s="70">
        <f>'прил 5,'!G1250</f>
        <v>324251.62</v>
      </c>
      <c r="H1153" s="70"/>
      <c r="I1153" s="70"/>
      <c r="J1153" s="1"/>
    </row>
    <row r="1154" spans="1:20">
      <c r="A1154" s="40" t="s">
        <v>971</v>
      </c>
      <c r="B1154" s="14">
        <v>793</v>
      </c>
      <c r="C1154" s="15" t="s">
        <v>19</v>
      </c>
      <c r="D1154" s="15" t="s">
        <v>23</v>
      </c>
      <c r="E1154" s="15" t="s">
        <v>400</v>
      </c>
      <c r="F1154" s="15"/>
      <c r="G1154" s="87">
        <f t="shared" ref="G1154:I1155" si="325">G1155</f>
        <v>442418.76</v>
      </c>
      <c r="H1154" s="87">
        <f t="shared" si="325"/>
        <v>1500000</v>
      </c>
      <c r="I1154" s="87">
        <f t="shared" si="325"/>
        <v>1500000</v>
      </c>
      <c r="J1154" s="2">
        <v>40000</v>
      </c>
    </row>
    <row r="1155" spans="1:20" ht="25.5" customHeight="1">
      <c r="A1155" s="16" t="s">
        <v>323</v>
      </c>
      <c r="B1155" s="14">
        <v>793</v>
      </c>
      <c r="C1155" s="15" t="s">
        <v>19</v>
      </c>
      <c r="D1155" s="15" t="s">
        <v>23</v>
      </c>
      <c r="E1155" s="15" t="s">
        <v>400</v>
      </c>
      <c r="F1155" s="15" t="s">
        <v>37</v>
      </c>
      <c r="G1155" s="87">
        <f t="shared" si="325"/>
        <v>442418.76</v>
      </c>
      <c r="H1155" s="87">
        <f t="shared" si="325"/>
        <v>1500000</v>
      </c>
      <c r="I1155" s="87">
        <f t="shared" si="325"/>
        <v>1500000</v>
      </c>
    </row>
    <row r="1156" spans="1:20" ht="25.5" customHeight="1">
      <c r="A1156" s="16" t="s">
        <v>38</v>
      </c>
      <c r="B1156" s="14">
        <v>793</v>
      </c>
      <c r="C1156" s="15" t="s">
        <v>19</v>
      </c>
      <c r="D1156" s="15" t="s">
        <v>23</v>
      </c>
      <c r="E1156" s="15" t="s">
        <v>400</v>
      </c>
      <c r="F1156" s="15" t="s">
        <v>39</v>
      </c>
      <c r="G1156" s="87">
        <f>'прил 5,'!G1238</f>
        <v>442418.76</v>
      </c>
      <c r="H1156" s="87">
        <f>'прил 5,'!H1237</f>
        <v>1500000</v>
      </c>
      <c r="I1156" s="87">
        <f>'прил 5,'!I1237</f>
        <v>1500000</v>
      </c>
    </row>
    <row r="1157" spans="1:20">
      <c r="A1157" s="137" t="s">
        <v>962</v>
      </c>
      <c r="B1157" s="14">
        <v>793</v>
      </c>
      <c r="C1157" s="15" t="s">
        <v>19</v>
      </c>
      <c r="D1157" s="15" t="s">
        <v>23</v>
      </c>
      <c r="E1157" s="15" t="s">
        <v>961</v>
      </c>
      <c r="F1157" s="15"/>
      <c r="G1157" s="70">
        <f t="shared" ref="G1157:I1158" si="326">G1158</f>
        <v>2345764.48</v>
      </c>
      <c r="H1157" s="70">
        <f t="shared" si="326"/>
        <v>500000</v>
      </c>
      <c r="I1157" s="70">
        <f t="shared" si="326"/>
        <v>500000</v>
      </c>
      <c r="J1157" s="177"/>
      <c r="K1157" s="186"/>
      <c r="L1157" s="186"/>
      <c r="M1157" s="186"/>
      <c r="N1157" s="186"/>
      <c r="O1157" s="186"/>
      <c r="P1157" s="186"/>
      <c r="Q1157" s="186"/>
      <c r="R1157" s="186"/>
      <c r="S1157" s="1"/>
      <c r="T1157" s="1"/>
    </row>
    <row r="1158" spans="1:20" ht="34.5" customHeight="1">
      <c r="A1158" s="16" t="s">
        <v>323</v>
      </c>
      <c r="B1158" s="14">
        <v>793</v>
      </c>
      <c r="C1158" s="15" t="s">
        <v>19</v>
      </c>
      <c r="D1158" s="15" t="s">
        <v>23</v>
      </c>
      <c r="E1158" s="15" t="s">
        <v>961</v>
      </c>
      <c r="F1158" s="15" t="s">
        <v>37</v>
      </c>
      <c r="G1158" s="70">
        <f t="shared" si="326"/>
        <v>2345764.48</v>
      </c>
      <c r="H1158" s="70">
        <f t="shared" si="326"/>
        <v>500000</v>
      </c>
      <c r="I1158" s="70">
        <f t="shared" si="326"/>
        <v>500000</v>
      </c>
      <c r="J1158" s="177"/>
      <c r="K1158" s="186"/>
      <c r="L1158" s="186"/>
      <c r="M1158" s="186"/>
      <c r="N1158" s="186"/>
      <c r="O1158" s="186"/>
      <c r="P1158" s="186"/>
      <c r="Q1158" s="186"/>
      <c r="R1158" s="186"/>
      <c r="S1158" s="1"/>
      <c r="T1158" s="1"/>
    </row>
    <row r="1159" spans="1:20" ht="30.75" customHeight="1">
      <c r="A1159" s="16" t="s">
        <v>38</v>
      </c>
      <c r="B1159" s="14">
        <v>793</v>
      </c>
      <c r="C1159" s="15" t="s">
        <v>19</v>
      </c>
      <c r="D1159" s="15" t="s">
        <v>23</v>
      </c>
      <c r="E1159" s="15" t="s">
        <v>961</v>
      </c>
      <c r="F1159" s="15" t="s">
        <v>39</v>
      </c>
      <c r="G1159" s="70">
        <f>'прил 5,'!G1241</f>
        <v>2345764.48</v>
      </c>
      <c r="H1159" s="70">
        <f>'прил 5,'!H1241</f>
        <v>500000</v>
      </c>
      <c r="I1159" s="70">
        <f>'прил 5,'!I1241</f>
        <v>500000</v>
      </c>
      <c r="J1159" s="177"/>
      <c r="K1159" s="186"/>
      <c r="L1159" s="186"/>
      <c r="M1159" s="186"/>
      <c r="N1159" s="186"/>
      <c r="O1159" s="186"/>
      <c r="P1159" s="186"/>
      <c r="Q1159" s="186"/>
      <c r="R1159" s="186"/>
      <c r="S1159" s="1"/>
      <c r="T1159" s="1"/>
    </row>
    <row r="1160" spans="1:20" ht="45" customHeight="1">
      <c r="A1160" s="40" t="s">
        <v>21</v>
      </c>
      <c r="B1160" s="14">
        <v>793</v>
      </c>
      <c r="C1160" s="15" t="s">
        <v>19</v>
      </c>
      <c r="D1160" s="15" t="s">
        <v>23</v>
      </c>
      <c r="E1160" s="15" t="s">
        <v>20</v>
      </c>
      <c r="F1160" s="15"/>
      <c r="G1160" s="87">
        <f t="shared" ref="G1160:I1161" si="327">G1161</f>
        <v>44000</v>
      </c>
      <c r="H1160" s="87">
        <f t="shared" si="327"/>
        <v>45000</v>
      </c>
      <c r="I1160" s="87">
        <f t="shared" si="327"/>
        <v>45000</v>
      </c>
    </row>
    <row r="1161" spans="1:20">
      <c r="A1161" s="16" t="s">
        <v>323</v>
      </c>
      <c r="B1161" s="14">
        <v>793</v>
      </c>
      <c r="C1161" s="15" t="s">
        <v>19</v>
      </c>
      <c r="D1161" s="15" t="s">
        <v>23</v>
      </c>
      <c r="E1161" s="15" t="s">
        <v>20</v>
      </c>
      <c r="F1161" s="15" t="s">
        <v>37</v>
      </c>
      <c r="G1161" s="87">
        <f t="shared" si="327"/>
        <v>44000</v>
      </c>
      <c r="H1161" s="87">
        <f t="shared" si="327"/>
        <v>45000</v>
      </c>
      <c r="I1161" s="87">
        <f t="shared" si="327"/>
        <v>45000</v>
      </c>
    </row>
    <row r="1162" spans="1:20" ht="30.75" customHeight="1">
      <c r="A1162" s="16" t="s">
        <v>38</v>
      </c>
      <c r="B1162" s="14">
        <v>793</v>
      </c>
      <c r="C1162" s="15" t="s">
        <v>19</v>
      </c>
      <c r="D1162" s="15" t="s">
        <v>23</v>
      </c>
      <c r="E1162" s="15" t="s">
        <v>20</v>
      </c>
      <c r="F1162" s="15" t="s">
        <v>39</v>
      </c>
      <c r="G1162" s="87">
        <f>'прил 5,'!G1244</f>
        <v>44000</v>
      </c>
      <c r="H1162" s="87">
        <f>'прил 5,'!H1244</f>
        <v>45000</v>
      </c>
      <c r="I1162" s="87">
        <f>'прил 5,'!I1244</f>
        <v>45000</v>
      </c>
    </row>
    <row r="1163" spans="1:20" ht="25.5" hidden="1">
      <c r="A1163" s="40" t="s">
        <v>827</v>
      </c>
      <c r="B1163" s="14">
        <v>793</v>
      </c>
      <c r="C1163" s="15" t="s">
        <v>19</v>
      </c>
      <c r="D1163" s="15" t="s">
        <v>23</v>
      </c>
      <c r="E1163" s="15" t="s">
        <v>826</v>
      </c>
      <c r="F1163" s="15"/>
      <c r="G1163" s="70">
        <f t="shared" ref="G1163:I1164" si="328">G1164</f>
        <v>0</v>
      </c>
      <c r="H1163" s="70">
        <f t="shared" si="328"/>
        <v>0</v>
      </c>
      <c r="I1163" s="70">
        <f t="shared" si="328"/>
        <v>0</v>
      </c>
      <c r="J1163" s="1"/>
    </row>
    <row r="1164" spans="1:20" ht="20.25" hidden="1" customHeight="1">
      <c r="A1164" s="16" t="s">
        <v>323</v>
      </c>
      <c r="B1164" s="14">
        <v>793</v>
      </c>
      <c r="C1164" s="15" t="s">
        <v>19</v>
      </c>
      <c r="D1164" s="15" t="s">
        <v>23</v>
      </c>
      <c r="E1164" s="15" t="s">
        <v>826</v>
      </c>
      <c r="F1164" s="15" t="s">
        <v>37</v>
      </c>
      <c r="G1164" s="70">
        <f t="shared" si="328"/>
        <v>0</v>
      </c>
      <c r="H1164" s="70">
        <f t="shared" si="328"/>
        <v>0</v>
      </c>
      <c r="I1164" s="70">
        <f t="shared" si="328"/>
        <v>0</v>
      </c>
      <c r="J1164" s="1"/>
    </row>
    <row r="1165" spans="1:20" ht="30.75" hidden="1" customHeight="1">
      <c r="A1165" s="16" t="s">
        <v>38</v>
      </c>
      <c r="B1165" s="14">
        <v>793</v>
      </c>
      <c r="C1165" s="15" t="s">
        <v>19</v>
      </c>
      <c r="D1165" s="15" t="s">
        <v>23</v>
      </c>
      <c r="E1165" s="15" t="s">
        <v>826</v>
      </c>
      <c r="F1165" s="15" t="s">
        <v>39</v>
      </c>
      <c r="G1165" s="70"/>
      <c r="H1165" s="70"/>
      <c r="I1165" s="70"/>
      <c r="J1165" s="1"/>
    </row>
    <row r="1166" spans="1:20" s="22" customFormat="1" ht="69" customHeight="1">
      <c r="A1166" s="34" t="s">
        <v>494</v>
      </c>
      <c r="B1166" s="19">
        <v>795</v>
      </c>
      <c r="C1166" s="36" t="s">
        <v>173</v>
      </c>
      <c r="D1166" s="36" t="s">
        <v>28</v>
      </c>
      <c r="E1166" s="36" t="s">
        <v>295</v>
      </c>
      <c r="F1166" s="36"/>
      <c r="G1166" s="71">
        <f>G1181+G1189+G1206+G1211+G1214+G1220+G1226+G1232+G1235+G1256+G1310+G1339+G1342+G1330+G1229+G1174+G1217+G1203+G1336+G1200+G1253+G1186+G1333</f>
        <v>29888775.340000004</v>
      </c>
      <c r="H1166" s="71">
        <f>H1181+H1189+H1206+H1211+H1214+H1220+H1226+H1232+H1235+H1256+H1310+H1339+H1342+H1330+H1229+H1174+H1217+H1203+H1336+H1200+H1253+H1333</f>
        <v>12721703.07</v>
      </c>
      <c r="I1166" s="71">
        <f t="shared" ref="I1166" si="329">I1181+I1189+I1206+I1211+I1214+I1220+I1226+I1232+I1235+I1256+I1310+I1339+I1342+I1330+I1229+I1174+I1217+I1203+I1336+I1200+I1253</f>
        <v>9120800.0999999996</v>
      </c>
      <c r="J1166" s="21">
        <f>H1168+H1170+H1173+H1185+H1191+H1208+H1210+H1213+H1216+H1222+H1228+H1234+H1237</f>
        <v>9745703.0700000003</v>
      </c>
      <c r="M1166" s="22">
        <v>45000</v>
      </c>
      <c r="P1166" s="21"/>
      <c r="Q1166" s="21"/>
      <c r="R1166" s="21"/>
      <c r="S1166" s="21"/>
      <c r="T1166" s="21"/>
    </row>
    <row r="1167" spans="1:20" s="22" customFormat="1" ht="25.5" hidden="1">
      <c r="A1167" s="16" t="s">
        <v>76</v>
      </c>
      <c r="B1167" s="49">
        <v>795</v>
      </c>
      <c r="C1167" s="66" t="s">
        <v>54</v>
      </c>
      <c r="D1167" s="66" t="s">
        <v>88</v>
      </c>
      <c r="E1167" s="41" t="s">
        <v>282</v>
      </c>
      <c r="F1167" s="66"/>
      <c r="G1167" s="29">
        <f>G1168+G1171+G1172</f>
        <v>0</v>
      </c>
      <c r="H1167" s="29">
        <f t="shared" ref="H1167:I1167" si="330">H1168+H1171+H1172</f>
        <v>0</v>
      </c>
      <c r="I1167" s="29">
        <f t="shared" si="330"/>
        <v>0</v>
      </c>
      <c r="J1167" s="21"/>
      <c r="M1167" s="22">
        <v>10893191</v>
      </c>
      <c r="P1167" s="21"/>
      <c r="Q1167" s="21"/>
      <c r="R1167" s="21"/>
      <c r="S1167" s="21"/>
      <c r="T1167" s="21"/>
    </row>
    <row r="1168" spans="1:20" s="124" customFormat="1" ht="51" hidden="1">
      <c r="A1168" s="146" t="s">
        <v>55</v>
      </c>
      <c r="B1168" s="83">
        <v>795</v>
      </c>
      <c r="C1168" s="147" t="s">
        <v>54</v>
      </c>
      <c r="D1168" s="147" t="s">
        <v>88</v>
      </c>
      <c r="E1168" s="148" t="s">
        <v>282</v>
      </c>
      <c r="F1168" s="148" t="s">
        <v>58</v>
      </c>
      <c r="G1168" s="93">
        <f>G1169</f>
        <v>0</v>
      </c>
      <c r="H1168" s="93">
        <f t="shared" ref="H1168:I1168" si="331">H1169</f>
        <v>0</v>
      </c>
      <c r="I1168" s="93">
        <f t="shared" si="331"/>
        <v>0</v>
      </c>
      <c r="J1168" s="123"/>
      <c r="M1168" s="124">
        <v>431322</v>
      </c>
      <c r="P1168" s="123"/>
      <c r="Q1168" s="123"/>
      <c r="R1168" s="123"/>
      <c r="S1168" s="123"/>
      <c r="T1168" s="123"/>
    </row>
    <row r="1169" spans="1:20" s="124" customFormat="1" ht="25.5" hidden="1">
      <c r="A1169" s="146" t="s">
        <v>56</v>
      </c>
      <c r="B1169" s="83">
        <v>795</v>
      </c>
      <c r="C1169" s="147" t="s">
        <v>54</v>
      </c>
      <c r="D1169" s="147" t="s">
        <v>88</v>
      </c>
      <c r="E1169" s="148" t="s">
        <v>282</v>
      </c>
      <c r="F1169" s="148" t="s">
        <v>59</v>
      </c>
      <c r="G1169" s="93">
        <f>'прил 5,'!G1941</f>
        <v>0</v>
      </c>
      <c r="H1169" s="93">
        <f>'прил 5,'!H1941</f>
        <v>0</v>
      </c>
      <c r="I1169" s="93">
        <f>'прил 5,'!I1941</f>
        <v>0</v>
      </c>
      <c r="J1169" s="123"/>
      <c r="M1169" s="124">
        <v>20000</v>
      </c>
      <c r="P1169" s="123"/>
      <c r="Q1169" s="123"/>
      <c r="R1169" s="123"/>
      <c r="S1169" s="123"/>
      <c r="T1169" s="123"/>
    </row>
    <row r="1170" spans="1:20" s="90" customFormat="1" ht="25.5" hidden="1">
      <c r="A1170" s="82" t="s">
        <v>36</v>
      </c>
      <c r="B1170" s="83">
        <v>795</v>
      </c>
      <c r="C1170" s="147" t="s">
        <v>54</v>
      </c>
      <c r="D1170" s="147" t="s">
        <v>88</v>
      </c>
      <c r="E1170" s="148" t="s">
        <v>282</v>
      </c>
      <c r="F1170" s="84" t="s">
        <v>37</v>
      </c>
      <c r="G1170" s="87">
        <f>G1171</f>
        <v>0</v>
      </c>
      <c r="H1170" s="87">
        <f t="shared" ref="H1170:I1170" si="332">H1171</f>
        <v>0</v>
      </c>
      <c r="I1170" s="87">
        <f t="shared" si="332"/>
        <v>0</v>
      </c>
      <c r="J1170" s="123"/>
      <c r="M1170" s="124">
        <v>1600000</v>
      </c>
      <c r="P1170" s="126"/>
      <c r="Q1170" s="126"/>
      <c r="R1170" s="126"/>
      <c r="S1170" s="126"/>
      <c r="T1170" s="126"/>
    </row>
    <row r="1171" spans="1:20" s="90" customFormat="1" ht="25.5" hidden="1">
      <c r="A1171" s="82" t="s">
        <v>38</v>
      </c>
      <c r="B1171" s="83">
        <v>795</v>
      </c>
      <c r="C1171" s="147" t="s">
        <v>54</v>
      </c>
      <c r="D1171" s="147" t="s">
        <v>88</v>
      </c>
      <c r="E1171" s="148" t="s">
        <v>282</v>
      </c>
      <c r="F1171" s="84" t="s">
        <v>39</v>
      </c>
      <c r="G1171" s="87">
        <f>'прил 5,'!G1943</f>
        <v>0</v>
      </c>
      <c r="H1171" s="87">
        <f>'прил 5,'!H1943</f>
        <v>0</v>
      </c>
      <c r="I1171" s="87">
        <f>'прил 5,'!I1943</f>
        <v>0</v>
      </c>
      <c r="J1171" s="123"/>
      <c r="M1171" s="124">
        <v>800000</v>
      </c>
      <c r="P1171" s="126"/>
      <c r="Q1171" s="126"/>
      <c r="R1171" s="126"/>
      <c r="S1171" s="126"/>
      <c r="T1171" s="126"/>
    </row>
    <row r="1172" spans="1:20" s="150" customFormat="1" ht="25.5" hidden="1">
      <c r="A1172" s="82" t="s">
        <v>38</v>
      </c>
      <c r="B1172" s="149">
        <v>792</v>
      </c>
      <c r="C1172" s="147" t="s">
        <v>54</v>
      </c>
      <c r="D1172" s="147" t="s">
        <v>88</v>
      </c>
      <c r="E1172" s="148" t="s">
        <v>282</v>
      </c>
      <c r="F1172" s="84" t="s">
        <v>64</v>
      </c>
      <c r="G1172" s="87">
        <f>G1173</f>
        <v>0</v>
      </c>
      <c r="H1172" s="87">
        <f t="shared" ref="H1172:I1172" si="333">H1173</f>
        <v>0</v>
      </c>
      <c r="I1172" s="87">
        <f t="shared" si="333"/>
        <v>0</v>
      </c>
      <c r="J1172" s="123"/>
      <c r="M1172" s="124">
        <v>550000</v>
      </c>
      <c r="P1172" s="152"/>
      <c r="Q1172" s="152"/>
      <c r="R1172" s="152"/>
      <c r="S1172" s="152"/>
      <c r="T1172" s="152"/>
    </row>
    <row r="1173" spans="1:20" s="150" customFormat="1" hidden="1">
      <c r="A1173" s="82" t="s">
        <v>144</v>
      </c>
      <c r="B1173" s="149">
        <v>792</v>
      </c>
      <c r="C1173" s="147" t="s">
        <v>54</v>
      </c>
      <c r="D1173" s="147" t="s">
        <v>88</v>
      </c>
      <c r="E1173" s="148" t="s">
        <v>282</v>
      </c>
      <c r="F1173" s="84" t="s">
        <v>67</v>
      </c>
      <c r="G1173" s="87">
        <f>'прил 5,'!G1945</f>
        <v>0</v>
      </c>
      <c r="H1173" s="87">
        <f>'прил 5,'!H1945</f>
        <v>0</v>
      </c>
      <c r="I1173" s="87">
        <f>'прил 5,'!I1945</f>
        <v>0</v>
      </c>
      <c r="J1173" s="123"/>
      <c r="M1173" s="124">
        <v>97644600</v>
      </c>
      <c r="P1173" s="152"/>
      <c r="Q1173" s="152"/>
      <c r="R1173" s="152"/>
      <c r="S1173" s="152"/>
      <c r="T1173" s="152"/>
    </row>
    <row r="1174" spans="1:20" ht="35.25" customHeight="1">
      <c r="A1174" s="37" t="s">
        <v>76</v>
      </c>
      <c r="B1174" s="49">
        <v>793</v>
      </c>
      <c r="C1174" s="15" t="s">
        <v>54</v>
      </c>
      <c r="D1174" s="15" t="s">
        <v>88</v>
      </c>
      <c r="E1174" s="15" t="s">
        <v>282</v>
      </c>
      <c r="F1174" s="15"/>
      <c r="G1174" s="70">
        <f>G1177+G1175+G1179</f>
        <v>129909.92</v>
      </c>
      <c r="H1174" s="8">
        <v>0</v>
      </c>
      <c r="I1174" s="8">
        <v>0</v>
      </c>
      <c r="J1174" s="178"/>
      <c r="K1174" s="186"/>
      <c r="L1174" s="186"/>
      <c r="M1174" s="186"/>
      <c r="N1174" s="186"/>
      <c r="O1174" s="186"/>
      <c r="P1174" s="186"/>
      <c r="Q1174" s="186"/>
      <c r="R1174" s="186"/>
      <c r="S1174" s="1"/>
      <c r="T1174" s="1"/>
    </row>
    <row r="1175" spans="1:20" s="3" customFormat="1" ht="51">
      <c r="A1175" s="56" t="s">
        <v>55</v>
      </c>
      <c r="B1175" s="14">
        <v>795</v>
      </c>
      <c r="C1175" s="15" t="s">
        <v>54</v>
      </c>
      <c r="D1175" s="15" t="s">
        <v>88</v>
      </c>
      <c r="E1175" s="15" t="s">
        <v>282</v>
      </c>
      <c r="F1175" s="15" t="s">
        <v>58</v>
      </c>
      <c r="G1175" s="70">
        <f>G1176</f>
        <v>38392.979999999996</v>
      </c>
      <c r="H1175" s="70">
        <f>H1176</f>
        <v>0</v>
      </c>
      <c r="I1175" s="70">
        <f>I1176</f>
        <v>0</v>
      </c>
      <c r="J1175" s="177"/>
      <c r="K1175" s="199"/>
      <c r="L1175" s="199"/>
      <c r="M1175" s="199"/>
      <c r="N1175" s="199"/>
      <c r="O1175" s="199"/>
      <c r="P1175" s="199"/>
      <c r="Q1175" s="222"/>
      <c r="R1175" s="199"/>
    </row>
    <row r="1176" spans="1:20" s="3" customFormat="1" ht="25.5">
      <c r="A1176" s="56" t="s">
        <v>56</v>
      </c>
      <c r="B1176" s="14">
        <v>795</v>
      </c>
      <c r="C1176" s="15" t="s">
        <v>54</v>
      </c>
      <c r="D1176" s="15" t="s">
        <v>88</v>
      </c>
      <c r="E1176" s="15" t="s">
        <v>282</v>
      </c>
      <c r="F1176" s="15" t="s">
        <v>59</v>
      </c>
      <c r="G1176" s="70">
        <f>'прил 5,'!G2194</f>
        <v>38392.979999999996</v>
      </c>
      <c r="H1176" s="70">
        <v>0</v>
      </c>
      <c r="I1176" s="70">
        <v>0</v>
      </c>
      <c r="J1176" s="177"/>
      <c r="K1176" s="199"/>
      <c r="L1176" s="199"/>
      <c r="M1176" s="199"/>
      <c r="N1176" s="199"/>
      <c r="O1176" s="199"/>
      <c r="P1176" s="199"/>
      <c r="Q1176" s="222"/>
      <c r="R1176" s="199"/>
    </row>
    <row r="1177" spans="1:20" ht="30.75" customHeight="1">
      <c r="A1177" s="16" t="s">
        <v>456</v>
      </c>
      <c r="B1177" s="49">
        <v>793</v>
      </c>
      <c r="C1177" s="15" t="s">
        <v>54</v>
      </c>
      <c r="D1177" s="15" t="s">
        <v>88</v>
      </c>
      <c r="E1177" s="15" t="s">
        <v>282</v>
      </c>
      <c r="F1177" s="15" t="s">
        <v>37</v>
      </c>
      <c r="G1177" s="70">
        <f>G1178</f>
        <v>91393.14</v>
      </c>
      <c r="H1177" s="8">
        <v>0</v>
      </c>
      <c r="I1177" s="8">
        <v>0</v>
      </c>
      <c r="J1177" s="178"/>
      <c r="K1177" s="186"/>
      <c r="L1177" s="186"/>
      <c r="M1177" s="186"/>
      <c r="N1177" s="186"/>
      <c r="O1177" s="186"/>
      <c r="P1177" s="186"/>
      <c r="Q1177" s="186"/>
      <c r="R1177" s="186"/>
      <c r="S1177" s="1"/>
      <c r="T1177" s="1"/>
    </row>
    <row r="1178" spans="1:20" ht="38.25" customHeight="1">
      <c r="A1178" s="16" t="s">
        <v>38</v>
      </c>
      <c r="B1178" s="49">
        <v>793</v>
      </c>
      <c r="C1178" s="15" t="s">
        <v>54</v>
      </c>
      <c r="D1178" s="15" t="s">
        <v>88</v>
      </c>
      <c r="E1178" s="15" t="s">
        <v>282</v>
      </c>
      <c r="F1178" s="15" t="s">
        <v>39</v>
      </c>
      <c r="G1178" s="87">
        <f>'прил 5,'!G2196</f>
        <v>91393.14</v>
      </c>
      <c r="H1178" s="8">
        <v>0</v>
      </c>
      <c r="I1178" s="8">
        <v>0</v>
      </c>
      <c r="J1178" s="178"/>
      <c r="K1178" s="186"/>
      <c r="L1178" s="186"/>
      <c r="M1178" s="186"/>
      <c r="N1178" s="186"/>
      <c r="O1178" s="186"/>
      <c r="P1178" s="186"/>
      <c r="Q1178" s="186"/>
      <c r="R1178" s="186"/>
      <c r="S1178" s="1"/>
      <c r="T1178" s="1"/>
    </row>
    <row r="1179" spans="1:20" ht="26.25" customHeight="1">
      <c r="A1179" s="82" t="s">
        <v>63</v>
      </c>
      <c r="B1179" s="149">
        <v>795</v>
      </c>
      <c r="C1179" s="84" t="s">
        <v>54</v>
      </c>
      <c r="D1179" s="84" t="s">
        <v>88</v>
      </c>
      <c r="E1179" s="84" t="s">
        <v>282</v>
      </c>
      <c r="F1179" s="84" t="s">
        <v>64</v>
      </c>
      <c r="G1179" s="87">
        <f>G1180</f>
        <v>123.8</v>
      </c>
      <c r="H1179" s="85"/>
      <c r="I1179" s="85"/>
      <c r="J1179" s="178"/>
      <c r="K1179" s="69"/>
      <c r="L1179" s="69"/>
      <c r="M1179" s="69"/>
      <c r="N1179" s="69"/>
      <c r="O1179" s="69"/>
      <c r="P1179" s="69"/>
      <c r="Q1179" s="69"/>
      <c r="R1179" s="69"/>
      <c r="S1179" s="1"/>
      <c r="T1179" s="1"/>
    </row>
    <row r="1180" spans="1:20" ht="21" customHeight="1">
      <c r="A1180" s="82" t="s">
        <v>144</v>
      </c>
      <c r="B1180" s="149">
        <v>795</v>
      </c>
      <c r="C1180" s="84" t="s">
        <v>54</v>
      </c>
      <c r="D1180" s="84" t="s">
        <v>88</v>
      </c>
      <c r="E1180" s="84" t="s">
        <v>282</v>
      </c>
      <c r="F1180" s="84" t="s">
        <v>67</v>
      </c>
      <c r="G1180" s="87">
        <v>123.8</v>
      </c>
      <c r="H1180" s="85"/>
      <c r="I1180" s="85"/>
      <c r="J1180" s="178"/>
      <c r="K1180" s="69"/>
      <c r="L1180" s="69"/>
      <c r="M1180" s="69"/>
      <c r="N1180" s="69"/>
      <c r="O1180" s="69"/>
      <c r="P1180" s="69"/>
      <c r="Q1180" s="69"/>
      <c r="R1180" s="69"/>
      <c r="S1180" s="1"/>
      <c r="T1180" s="1"/>
    </row>
    <row r="1181" spans="1:20" s="151" customFormat="1" ht="67.5" customHeight="1">
      <c r="A1181" s="82" t="s">
        <v>320</v>
      </c>
      <c r="B1181" s="83">
        <v>795</v>
      </c>
      <c r="C1181" s="84" t="s">
        <v>173</v>
      </c>
      <c r="D1181" s="84" t="s">
        <v>28</v>
      </c>
      <c r="E1181" s="84" t="s">
        <v>321</v>
      </c>
      <c r="F1181" s="84"/>
      <c r="G1181" s="87">
        <f>G1184+G1182</f>
        <v>776719</v>
      </c>
      <c r="H1181" s="87">
        <f>H1184+H1182</f>
        <v>700000</v>
      </c>
      <c r="I1181" s="87">
        <f t="shared" ref="I1181" si="334">I1184+I1182</f>
        <v>700000</v>
      </c>
      <c r="J1181" s="123"/>
      <c r="M1181" s="124">
        <v>1893100</v>
      </c>
      <c r="P1181" s="174"/>
      <c r="Q1181" s="174"/>
      <c r="R1181" s="174"/>
      <c r="S1181" s="174"/>
      <c r="T1181" s="174"/>
    </row>
    <row r="1182" spans="1:20" ht="25.5">
      <c r="A1182" s="16" t="s">
        <v>36</v>
      </c>
      <c r="B1182" s="49">
        <v>793</v>
      </c>
      <c r="C1182" s="15" t="s">
        <v>173</v>
      </c>
      <c r="D1182" s="15" t="s">
        <v>28</v>
      </c>
      <c r="E1182" s="15" t="s">
        <v>321</v>
      </c>
      <c r="F1182" s="15" t="s">
        <v>37</v>
      </c>
      <c r="G1182" s="70">
        <f>G1183</f>
        <v>0</v>
      </c>
      <c r="H1182" s="70">
        <f>H1183</f>
        <v>700000</v>
      </c>
      <c r="I1182" s="70">
        <f>I1183</f>
        <v>700000</v>
      </c>
      <c r="J1182" s="176"/>
      <c r="P1182" s="1"/>
      <c r="Q1182" s="1"/>
      <c r="R1182" s="1"/>
      <c r="S1182" s="1"/>
      <c r="T1182" s="1"/>
    </row>
    <row r="1183" spans="1:20" ht="25.5">
      <c r="A1183" s="16" t="s">
        <v>38</v>
      </c>
      <c r="B1183" s="49">
        <v>793</v>
      </c>
      <c r="C1183" s="15" t="s">
        <v>173</v>
      </c>
      <c r="D1183" s="15" t="s">
        <v>28</v>
      </c>
      <c r="E1183" s="15" t="s">
        <v>321</v>
      </c>
      <c r="F1183" s="15" t="s">
        <v>39</v>
      </c>
      <c r="G1183" s="70">
        <v>0</v>
      </c>
      <c r="H1183" s="70">
        <v>700000</v>
      </c>
      <c r="I1183" s="70">
        <v>700000</v>
      </c>
      <c r="J1183" s="176"/>
      <c r="P1183" s="1"/>
      <c r="Q1183" s="1"/>
      <c r="R1183" s="1"/>
      <c r="S1183" s="1"/>
      <c r="T1183" s="1"/>
    </row>
    <row r="1184" spans="1:20" s="151" customFormat="1" ht="21.75" customHeight="1">
      <c r="A1184" s="82" t="s">
        <v>156</v>
      </c>
      <c r="B1184" s="83">
        <v>795</v>
      </c>
      <c r="C1184" s="84" t="s">
        <v>173</v>
      </c>
      <c r="D1184" s="84" t="s">
        <v>28</v>
      </c>
      <c r="E1184" s="84" t="s">
        <v>321</v>
      </c>
      <c r="F1184" s="84" t="s">
        <v>157</v>
      </c>
      <c r="G1184" s="87">
        <f t="shared" ref="G1184:I1184" si="335">G1185</f>
        <v>776719</v>
      </c>
      <c r="H1184" s="87">
        <f t="shared" si="335"/>
        <v>0</v>
      </c>
      <c r="I1184" s="87">
        <f t="shared" si="335"/>
        <v>0</v>
      </c>
      <c r="J1184" s="123"/>
      <c r="M1184" s="124">
        <v>2400000</v>
      </c>
      <c r="P1184" s="174"/>
      <c r="Q1184" s="174"/>
      <c r="R1184" s="174"/>
      <c r="S1184" s="174"/>
      <c r="T1184" s="174"/>
    </row>
    <row r="1185" spans="1:20" s="90" customFormat="1" ht="18.75" customHeight="1">
      <c r="A1185" s="82" t="s">
        <v>178</v>
      </c>
      <c r="B1185" s="83">
        <v>795</v>
      </c>
      <c r="C1185" s="84" t="s">
        <v>173</v>
      </c>
      <c r="D1185" s="84" t="s">
        <v>28</v>
      </c>
      <c r="E1185" s="84" t="s">
        <v>321</v>
      </c>
      <c r="F1185" s="84" t="s">
        <v>179</v>
      </c>
      <c r="G1185" s="70">
        <f>'прил 5,'!G1551</f>
        <v>776719</v>
      </c>
      <c r="H1185" s="70">
        <f>'прил 5,'!H1551</f>
        <v>0</v>
      </c>
      <c r="I1185" s="70">
        <f>'прил 5,'!I1551</f>
        <v>0</v>
      </c>
      <c r="J1185" s="123"/>
      <c r="M1185" s="124">
        <v>1000000</v>
      </c>
      <c r="P1185" s="126"/>
      <c r="Q1185" s="126"/>
      <c r="R1185" s="126"/>
      <c r="S1185" s="126"/>
      <c r="T1185" s="126"/>
    </row>
    <row r="1186" spans="1:20" ht="25.5">
      <c r="A1186" s="82" t="s">
        <v>1135</v>
      </c>
      <c r="B1186" s="83">
        <v>793</v>
      </c>
      <c r="C1186" s="84" t="s">
        <v>173</v>
      </c>
      <c r="D1186" s="84" t="s">
        <v>28</v>
      </c>
      <c r="E1186" s="84" t="s">
        <v>1134</v>
      </c>
      <c r="F1186" s="84"/>
      <c r="G1186" s="87">
        <f>G1187</f>
        <v>712816.76</v>
      </c>
      <c r="H1186" s="87">
        <f t="shared" ref="G1186:I1187" si="336">H1187</f>
        <v>0</v>
      </c>
      <c r="I1186" s="87">
        <f t="shared" si="336"/>
        <v>0</v>
      </c>
      <c r="J1186" s="177"/>
      <c r="K1186" s="186"/>
      <c r="L1186" s="186"/>
      <c r="M1186" s="186"/>
      <c r="N1186" s="186"/>
      <c r="O1186" s="186"/>
      <c r="P1186" s="186"/>
      <c r="Q1186" s="186"/>
      <c r="R1186" s="186"/>
      <c r="S1186" s="1"/>
      <c r="T1186" s="1"/>
    </row>
    <row r="1187" spans="1:20" ht="25.5">
      <c r="A1187" s="82" t="s">
        <v>96</v>
      </c>
      <c r="B1187" s="83">
        <v>793</v>
      </c>
      <c r="C1187" s="84" t="s">
        <v>173</v>
      </c>
      <c r="D1187" s="84" t="s">
        <v>28</v>
      </c>
      <c r="E1187" s="84" t="s">
        <v>1134</v>
      </c>
      <c r="F1187" s="84" t="s">
        <v>348</v>
      </c>
      <c r="G1187" s="87">
        <f t="shared" si="336"/>
        <v>712816.76</v>
      </c>
      <c r="H1187" s="87">
        <f t="shared" si="336"/>
        <v>0</v>
      </c>
      <c r="I1187" s="87">
        <f t="shared" si="336"/>
        <v>0</v>
      </c>
      <c r="J1187" s="177"/>
      <c r="K1187" s="186"/>
      <c r="L1187" s="186"/>
      <c r="M1187" s="186"/>
      <c r="N1187" s="186"/>
      <c r="O1187" s="186"/>
      <c r="P1187" s="186"/>
      <c r="Q1187" s="186"/>
      <c r="R1187" s="186"/>
      <c r="S1187" s="1"/>
      <c r="T1187" s="1"/>
    </row>
    <row r="1188" spans="1:20">
      <c r="A1188" s="82" t="s">
        <v>349</v>
      </c>
      <c r="B1188" s="83">
        <v>793</v>
      </c>
      <c r="C1188" s="84" t="s">
        <v>173</v>
      </c>
      <c r="D1188" s="84" t="s">
        <v>28</v>
      </c>
      <c r="E1188" s="84" t="s">
        <v>1134</v>
      </c>
      <c r="F1188" s="84" t="s">
        <v>350</v>
      </c>
      <c r="G1188" s="87">
        <f>'прил 5,'!G1572</f>
        <v>712816.76</v>
      </c>
      <c r="H1188" s="87"/>
      <c r="I1188" s="87"/>
      <c r="J1188" s="177"/>
      <c r="K1188" s="186"/>
      <c r="L1188" s="186"/>
      <c r="M1188" s="186"/>
      <c r="N1188" s="186"/>
      <c r="O1188" s="186"/>
      <c r="P1188" s="186"/>
      <c r="Q1188" s="186"/>
      <c r="R1188" s="186"/>
      <c r="S1188" s="1"/>
      <c r="T1188" s="1"/>
    </row>
    <row r="1189" spans="1:20" s="90" customFormat="1" ht="27.75" customHeight="1">
      <c r="A1189" s="82" t="s">
        <v>756</v>
      </c>
      <c r="B1189" s="83">
        <v>795</v>
      </c>
      <c r="C1189" s="84" t="s">
        <v>173</v>
      </c>
      <c r="D1189" s="84" t="s">
        <v>28</v>
      </c>
      <c r="E1189" s="84" t="s">
        <v>296</v>
      </c>
      <c r="F1189" s="84"/>
      <c r="G1189" s="70">
        <f>G1190+G1192</f>
        <v>7453410.1500000004</v>
      </c>
      <c r="H1189" s="70">
        <f t="shared" ref="G1189:I1190" si="337">H1190</f>
        <v>4900000</v>
      </c>
      <c r="I1189" s="70">
        <f t="shared" si="337"/>
        <v>2200000</v>
      </c>
      <c r="J1189" s="123"/>
      <c r="M1189" s="124">
        <v>662715</v>
      </c>
      <c r="P1189" s="126"/>
      <c r="Q1189" s="126"/>
      <c r="R1189" s="126"/>
      <c r="S1189" s="126"/>
      <c r="T1189" s="126"/>
    </row>
    <row r="1190" spans="1:20" s="90" customFormat="1" ht="25.5">
      <c r="A1190" s="82" t="s">
        <v>36</v>
      </c>
      <c r="B1190" s="83">
        <v>795</v>
      </c>
      <c r="C1190" s="84" t="s">
        <v>173</v>
      </c>
      <c r="D1190" s="84" t="s">
        <v>28</v>
      </c>
      <c r="E1190" s="84" t="s">
        <v>296</v>
      </c>
      <c r="F1190" s="84" t="s">
        <v>37</v>
      </c>
      <c r="G1190" s="70">
        <f t="shared" si="337"/>
        <v>7453410.1500000004</v>
      </c>
      <c r="H1190" s="70">
        <f t="shared" si="337"/>
        <v>4900000</v>
      </c>
      <c r="I1190" s="70">
        <f t="shared" si="337"/>
        <v>2200000</v>
      </c>
      <c r="J1190" s="123"/>
      <c r="M1190" s="124">
        <v>1000000</v>
      </c>
      <c r="P1190" s="126"/>
      <c r="Q1190" s="126"/>
      <c r="R1190" s="126"/>
      <c r="S1190" s="126"/>
      <c r="T1190" s="126"/>
    </row>
    <row r="1191" spans="1:20" s="90" customFormat="1" ht="25.5">
      <c r="A1191" s="82" t="s">
        <v>38</v>
      </c>
      <c r="B1191" s="83">
        <v>795</v>
      </c>
      <c r="C1191" s="84" t="s">
        <v>173</v>
      </c>
      <c r="D1191" s="84" t="s">
        <v>28</v>
      </c>
      <c r="E1191" s="84" t="s">
        <v>296</v>
      </c>
      <c r="F1191" s="84" t="s">
        <v>39</v>
      </c>
      <c r="G1191" s="70">
        <f>'прил 5,'!G1532+'прил 5,'!G2229</f>
        <v>7453410.1500000004</v>
      </c>
      <c r="H1191" s="70">
        <f>'прил 5,'!H1532</f>
        <v>4900000</v>
      </c>
      <c r="I1191" s="70">
        <f>'прил 5,'!I1532</f>
        <v>2200000</v>
      </c>
      <c r="J1191" s="123"/>
      <c r="M1191" s="124">
        <v>200000</v>
      </c>
      <c r="P1191" s="126"/>
      <c r="Q1191" s="126"/>
      <c r="R1191" s="126"/>
      <c r="S1191" s="126"/>
      <c r="T1191" s="126"/>
    </row>
    <row r="1192" spans="1:20" hidden="1">
      <c r="A1192" s="16" t="s">
        <v>63</v>
      </c>
      <c r="B1192" s="49">
        <v>795</v>
      </c>
      <c r="C1192" s="15" t="s">
        <v>173</v>
      </c>
      <c r="D1192" s="15" t="s">
        <v>28</v>
      </c>
      <c r="E1192" s="15" t="s">
        <v>296</v>
      </c>
      <c r="F1192" s="15" t="s">
        <v>64</v>
      </c>
      <c r="G1192" s="70">
        <f>G1193</f>
        <v>0</v>
      </c>
      <c r="H1192" s="70">
        <v>0</v>
      </c>
      <c r="I1192" s="70">
        <v>0</v>
      </c>
      <c r="J1192" s="1"/>
    </row>
    <row r="1193" spans="1:20" hidden="1">
      <c r="A1193" s="16" t="s">
        <v>180</v>
      </c>
      <c r="B1193" s="49">
        <v>795</v>
      </c>
      <c r="C1193" s="15" t="s">
        <v>173</v>
      </c>
      <c r="D1193" s="15" t="s">
        <v>28</v>
      </c>
      <c r="E1193" s="15" t="s">
        <v>296</v>
      </c>
      <c r="F1193" s="15" t="s">
        <v>181</v>
      </c>
      <c r="G1193" s="70">
        <f>'прил 5,'!G1982</f>
        <v>0</v>
      </c>
      <c r="H1193" s="70">
        <v>0</v>
      </c>
      <c r="I1193" s="70">
        <v>0</v>
      </c>
      <c r="J1193" s="1"/>
    </row>
    <row r="1194" spans="1:20" s="90" customFormat="1" hidden="1">
      <c r="A1194" s="82" t="s">
        <v>700</v>
      </c>
      <c r="B1194" s="83">
        <v>795</v>
      </c>
      <c r="C1194" s="84" t="s">
        <v>173</v>
      </c>
      <c r="D1194" s="84" t="s">
        <v>28</v>
      </c>
      <c r="E1194" s="84" t="s">
        <v>699</v>
      </c>
      <c r="F1194" s="84"/>
      <c r="G1194" s="87">
        <f t="shared" ref="G1194:I1195" si="338">G1195</f>
        <v>0</v>
      </c>
      <c r="H1194" s="87">
        <f t="shared" si="338"/>
        <v>0</v>
      </c>
      <c r="I1194" s="87">
        <f t="shared" si="338"/>
        <v>0</v>
      </c>
      <c r="P1194" s="126"/>
      <c r="Q1194" s="126"/>
      <c r="R1194" s="126"/>
      <c r="S1194" s="126"/>
      <c r="T1194" s="126"/>
    </row>
    <row r="1195" spans="1:20" s="90" customFormat="1" ht="25.5" hidden="1">
      <c r="A1195" s="82" t="s">
        <v>36</v>
      </c>
      <c r="B1195" s="83">
        <v>795</v>
      </c>
      <c r="C1195" s="84" t="s">
        <v>173</v>
      </c>
      <c r="D1195" s="84" t="s">
        <v>28</v>
      </c>
      <c r="E1195" s="84" t="s">
        <v>699</v>
      </c>
      <c r="F1195" s="84" t="s">
        <v>37</v>
      </c>
      <c r="G1195" s="87">
        <f t="shared" si="338"/>
        <v>0</v>
      </c>
      <c r="H1195" s="87">
        <f t="shared" si="338"/>
        <v>0</v>
      </c>
      <c r="I1195" s="87">
        <f t="shared" si="338"/>
        <v>0</v>
      </c>
      <c r="P1195" s="126"/>
      <c r="Q1195" s="126"/>
      <c r="R1195" s="126"/>
      <c r="S1195" s="126"/>
      <c r="T1195" s="126"/>
    </row>
    <row r="1196" spans="1:20" s="90" customFormat="1" ht="25.5" hidden="1">
      <c r="A1196" s="82" t="s">
        <v>38</v>
      </c>
      <c r="B1196" s="83">
        <v>795</v>
      </c>
      <c r="C1196" s="84" t="s">
        <v>173</v>
      </c>
      <c r="D1196" s="84" t="s">
        <v>28</v>
      </c>
      <c r="E1196" s="84" t="s">
        <v>699</v>
      </c>
      <c r="F1196" s="84" t="s">
        <v>39</v>
      </c>
      <c r="G1196" s="87">
        <f>'прил 5,'!G1100</f>
        <v>0</v>
      </c>
      <c r="H1196" s="87">
        <v>0</v>
      </c>
      <c r="I1196" s="87">
        <v>0</v>
      </c>
      <c r="P1196" s="126"/>
      <c r="Q1196" s="126"/>
      <c r="R1196" s="126"/>
      <c r="S1196" s="126"/>
      <c r="T1196" s="126"/>
    </row>
    <row r="1197" spans="1:20" hidden="1">
      <c r="A1197" s="16" t="s">
        <v>747</v>
      </c>
      <c r="B1197" s="49">
        <v>795</v>
      </c>
      <c r="C1197" s="15" t="s">
        <v>173</v>
      </c>
      <c r="D1197" s="15" t="s">
        <v>28</v>
      </c>
      <c r="E1197" s="15" t="s">
        <v>746</v>
      </c>
      <c r="F1197" s="15"/>
      <c r="G1197" s="70">
        <f t="shared" ref="G1197:I1198" si="339">G1198</f>
        <v>0</v>
      </c>
      <c r="H1197" s="70">
        <f t="shared" si="339"/>
        <v>0</v>
      </c>
      <c r="I1197" s="70">
        <f t="shared" si="339"/>
        <v>0</v>
      </c>
      <c r="J1197" s="1"/>
    </row>
    <row r="1198" spans="1:20" ht="25.5" hidden="1">
      <c r="A1198" s="16" t="s">
        <v>36</v>
      </c>
      <c r="B1198" s="49">
        <v>795</v>
      </c>
      <c r="C1198" s="15" t="s">
        <v>173</v>
      </c>
      <c r="D1198" s="15" t="s">
        <v>28</v>
      </c>
      <c r="E1198" s="15" t="s">
        <v>746</v>
      </c>
      <c r="F1198" s="15" t="s">
        <v>37</v>
      </c>
      <c r="G1198" s="70">
        <f t="shared" si="339"/>
        <v>0</v>
      </c>
      <c r="H1198" s="70">
        <f t="shared" si="339"/>
        <v>0</v>
      </c>
      <c r="I1198" s="70">
        <f t="shared" si="339"/>
        <v>0</v>
      </c>
      <c r="J1198" s="1"/>
    </row>
    <row r="1199" spans="1:20" ht="25.5" hidden="1">
      <c r="A1199" s="16" t="s">
        <v>38</v>
      </c>
      <c r="B1199" s="49">
        <v>795</v>
      </c>
      <c r="C1199" s="15" t="s">
        <v>173</v>
      </c>
      <c r="D1199" s="15" t="s">
        <v>28</v>
      </c>
      <c r="E1199" s="15" t="s">
        <v>746</v>
      </c>
      <c r="F1199" s="15" t="s">
        <v>39</v>
      </c>
      <c r="G1199" s="70">
        <f>'прил 5,'!G1988</f>
        <v>0</v>
      </c>
      <c r="H1199" s="70">
        <v>0</v>
      </c>
      <c r="I1199" s="70">
        <v>0</v>
      </c>
      <c r="J1199" s="1"/>
    </row>
    <row r="1200" spans="1:20" ht="25.5">
      <c r="A1200" s="82" t="s">
        <v>1069</v>
      </c>
      <c r="B1200" s="49">
        <v>793</v>
      </c>
      <c r="C1200" s="15" t="s">
        <v>173</v>
      </c>
      <c r="D1200" s="15" t="s">
        <v>28</v>
      </c>
      <c r="E1200" s="15" t="s">
        <v>1072</v>
      </c>
      <c r="F1200" s="15"/>
      <c r="G1200" s="70">
        <f>G1201</f>
        <v>270000</v>
      </c>
      <c r="H1200" s="70">
        <f t="shared" ref="G1200:I1201" si="340">H1201</f>
        <v>0</v>
      </c>
      <c r="I1200" s="70">
        <f t="shared" si="340"/>
        <v>0</v>
      </c>
      <c r="J1200" s="177"/>
      <c r="K1200" s="186"/>
      <c r="L1200" s="186"/>
      <c r="M1200" s="186"/>
      <c r="N1200" s="186"/>
      <c r="O1200" s="186"/>
      <c r="P1200" s="186"/>
      <c r="Q1200" s="186"/>
      <c r="R1200" s="186"/>
      <c r="S1200" s="1"/>
      <c r="T1200" s="1"/>
    </row>
    <row r="1201" spans="1:20" ht="25.5">
      <c r="A1201" s="16" t="s">
        <v>36</v>
      </c>
      <c r="B1201" s="49">
        <v>793</v>
      </c>
      <c r="C1201" s="15" t="s">
        <v>173</v>
      </c>
      <c r="D1201" s="15" t="s">
        <v>28</v>
      </c>
      <c r="E1201" s="15" t="s">
        <v>1072</v>
      </c>
      <c r="F1201" s="15" t="s">
        <v>348</v>
      </c>
      <c r="G1201" s="70">
        <f t="shared" si="340"/>
        <v>270000</v>
      </c>
      <c r="H1201" s="70">
        <f t="shared" si="340"/>
        <v>0</v>
      </c>
      <c r="I1201" s="70">
        <f t="shared" si="340"/>
        <v>0</v>
      </c>
      <c r="J1201" s="177"/>
      <c r="K1201" s="186"/>
      <c r="L1201" s="186"/>
      <c r="M1201" s="186"/>
      <c r="N1201" s="186"/>
      <c r="O1201" s="186"/>
      <c r="P1201" s="186"/>
      <c r="Q1201" s="186"/>
      <c r="R1201" s="186"/>
      <c r="S1201" s="1"/>
      <c r="T1201" s="1"/>
    </row>
    <row r="1202" spans="1:20" ht="25.5">
      <c r="A1202" s="16" t="s">
        <v>38</v>
      </c>
      <c r="B1202" s="49">
        <v>793</v>
      </c>
      <c r="C1202" s="15" t="s">
        <v>173</v>
      </c>
      <c r="D1202" s="15" t="s">
        <v>28</v>
      </c>
      <c r="E1202" s="15" t="s">
        <v>1072</v>
      </c>
      <c r="F1202" s="15" t="s">
        <v>350</v>
      </c>
      <c r="G1202" s="70">
        <f>'прил 5,'!G1543</f>
        <v>270000</v>
      </c>
      <c r="H1202" s="70">
        <v>0</v>
      </c>
      <c r="I1202" s="70">
        <v>0</v>
      </c>
      <c r="J1202" s="177"/>
      <c r="K1202" s="186"/>
      <c r="L1202" s="186"/>
      <c r="M1202" s="186"/>
      <c r="N1202" s="186"/>
      <c r="O1202" s="186"/>
      <c r="P1202" s="186"/>
      <c r="Q1202" s="186"/>
      <c r="R1202" s="186"/>
      <c r="S1202" s="1"/>
      <c r="T1202" s="1"/>
    </row>
    <row r="1203" spans="1:20">
      <c r="A1203" s="82" t="s">
        <v>1010</v>
      </c>
      <c r="B1203" s="49">
        <v>793</v>
      </c>
      <c r="C1203" s="15" t="s">
        <v>173</v>
      </c>
      <c r="D1203" s="15" t="s">
        <v>28</v>
      </c>
      <c r="E1203" s="15" t="s">
        <v>1009</v>
      </c>
      <c r="F1203" s="15"/>
      <c r="G1203" s="70">
        <f>G1204</f>
        <v>656946.05000000005</v>
      </c>
      <c r="H1203" s="70">
        <f t="shared" ref="G1203:I1204" si="341">H1204</f>
        <v>0</v>
      </c>
      <c r="I1203" s="70">
        <f t="shared" si="341"/>
        <v>0</v>
      </c>
      <c r="J1203" s="177"/>
      <c r="K1203" s="186"/>
      <c r="L1203" s="186"/>
      <c r="M1203" s="186"/>
      <c r="N1203" s="186"/>
      <c r="O1203" s="186"/>
      <c r="P1203" s="186"/>
      <c r="Q1203" s="186"/>
      <c r="R1203" s="186"/>
      <c r="S1203" s="1"/>
      <c r="T1203" s="1"/>
    </row>
    <row r="1204" spans="1:20" ht="25.5">
      <c r="A1204" s="16" t="s">
        <v>96</v>
      </c>
      <c r="B1204" s="49">
        <v>793</v>
      </c>
      <c r="C1204" s="15" t="s">
        <v>173</v>
      </c>
      <c r="D1204" s="15" t="s">
        <v>28</v>
      </c>
      <c r="E1204" s="15" t="s">
        <v>1009</v>
      </c>
      <c r="F1204" s="15" t="s">
        <v>348</v>
      </c>
      <c r="G1204" s="70">
        <f t="shared" si="341"/>
        <v>656946.05000000005</v>
      </c>
      <c r="H1204" s="70">
        <f t="shared" si="341"/>
        <v>0</v>
      </c>
      <c r="I1204" s="70">
        <f t="shared" si="341"/>
        <v>0</v>
      </c>
      <c r="J1204" s="177"/>
      <c r="K1204" s="186"/>
      <c r="L1204" s="186"/>
      <c r="M1204" s="186"/>
      <c r="N1204" s="186"/>
      <c r="O1204" s="186"/>
      <c r="P1204" s="186"/>
      <c r="Q1204" s="186"/>
      <c r="R1204" s="186"/>
      <c r="S1204" s="1"/>
      <c r="T1204" s="1"/>
    </row>
    <row r="1205" spans="1:20">
      <c r="A1205" s="16" t="s">
        <v>349</v>
      </c>
      <c r="B1205" s="49">
        <v>793</v>
      </c>
      <c r="C1205" s="15" t="s">
        <v>173</v>
      </c>
      <c r="D1205" s="15" t="s">
        <v>28</v>
      </c>
      <c r="E1205" s="15" t="s">
        <v>1009</v>
      </c>
      <c r="F1205" s="15" t="s">
        <v>350</v>
      </c>
      <c r="G1205" s="70">
        <v>656946.05000000005</v>
      </c>
      <c r="H1205" s="70"/>
      <c r="I1205" s="70"/>
      <c r="J1205" s="177"/>
      <c r="K1205" s="186"/>
      <c r="L1205" s="186"/>
      <c r="M1205" s="186"/>
      <c r="N1205" s="186"/>
      <c r="O1205" s="186"/>
      <c r="P1205" s="186"/>
      <c r="Q1205" s="186"/>
      <c r="R1205" s="186"/>
      <c r="S1205" s="1"/>
      <c r="T1205" s="1"/>
    </row>
    <row r="1206" spans="1:20" s="90" customFormat="1">
      <c r="A1206" s="82" t="s">
        <v>116</v>
      </c>
      <c r="B1206" s="83">
        <v>795</v>
      </c>
      <c r="C1206" s="84" t="s">
        <v>173</v>
      </c>
      <c r="D1206" s="84" t="s">
        <v>70</v>
      </c>
      <c r="E1206" s="84" t="s">
        <v>100</v>
      </c>
      <c r="F1206" s="84"/>
      <c r="G1206" s="87">
        <f>G1207+G1209</f>
        <v>560800</v>
      </c>
      <c r="H1206" s="87">
        <f>H1207+H1209</f>
        <v>505000</v>
      </c>
      <c r="I1206" s="87">
        <f>I1207+I1209</f>
        <v>505000</v>
      </c>
      <c r="J1206" s="123"/>
      <c r="M1206" s="124">
        <v>60914</v>
      </c>
      <c r="P1206" s="126"/>
      <c r="Q1206" s="126"/>
      <c r="R1206" s="126"/>
      <c r="S1206" s="126"/>
      <c r="T1206" s="126"/>
    </row>
    <row r="1207" spans="1:20" s="90" customFormat="1" ht="25.5" customHeight="1">
      <c r="A1207" s="82" t="s">
        <v>323</v>
      </c>
      <c r="B1207" s="149">
        <v>793</v>
      </c>
      <c r="C1207" s="84" t="s">
        <v>19</v>
      </c>
      <c r="D1207" s="84" t="s">
        <v>23</v>
      </c>
      <c r="E1207" s="84" t="s">
        <v>100</v>
      </c>
      <c r="F1207" s="84" t="s">
        <v>37</v>
      </c>
      <c r="G1207" s="87">
        <f>G1208</f>
        <v>560800</v>
      </c>
      <c r="H1207" s="87">
        <f>H1208</f>
        <v>505000</v>
      </c>
      <c r="I1207" s="87">
        <f>I1208</f>
        <v>505000</v>
      </c>
      <c r="J1207" s="123"/>
      <c r="M1207" s="124">
        <v>365000</v>
      </c>
      <c r="P1207" s="126"/>
      <c r="Q1207" s="126"/>
      <c r="R1207" s="126"/>
      <c r="S1207" s="126"/>
      <c r="T1207" s="126"/>
    </row>
    <row r="1208" spans="1:20" s="90" customFormat="1" ht="25.5" customHeight="1">
      <c r="A1208" s="82" t="s">
        <v>38</v>
      </c>
      <c r="B1208" s="149">
        <v>793</v>
      </c>
      <c r="C1208" s="84" t="s">
        <v>19</v>
      </c>
      <c r="D1208" s="84" t="s">
        <v>23</v>
      </c>
      <c r="E1208" s="84" t="s">
        <v>100</v>
      </c>
      <c r="F1208" s="84" t="s">
        <v>39</v>
      </c>
      <c r="G1208" s="70">
        <f>'прил 5,'!G1612+'прил 5,'!G2249</f>
        <v>560800</v>
      </c>
      <c r="H1208" s="70">
        <f>'прил 5,'!H1612</f>
        <v>505000</v>
      </c>
      <c r="I1208" s="70">
        <f>'прил 5,'!I1612</f>
        <v>505000</v>
      </c>
      <c r="J1208" s="123"/>
      <c r="M1208" s="124">
        <v>50000</v>
      </c>
      <c r="P1208" s="126"/>
      <c r="Q1208" s="126"/>
      <c r="R1208" s="126"/>
      <c r="S1208" s="126"/>
      <c r="T1208" s="126"/>
    </row>
    <row r="1209" spans="1:20" s="90" customFormat="1" hidden="1">
      <c r="A1209" s="82" t="s">
        <v>156</v>
      </c>
      <c r="B1209" s="83">
        <v>795</v>
      </c>
      <c r="C1209" s="84" t="s">
        <v>173</v>
      </c>
      <c r="D1209" s="84" t="s">
        <v>70</v>
      </c>
      <c r="E1209" s="84" t="s">
        <v>100</v>
      </c>
      <c r="F1209" s="84" t="s">
        <v>157</v>
      </c>
      <c r="G1209" s="70">
        <f>G1210</f>
        <v>0</v>
      </c>
      <c r="H1209" s="70">
        <f t="shared" ref="H1209:I1209" si="342">H1210</f>
        <v>0</v>
      </c>
      <c r="I1209" s="70">
        <f t="shared" si="342"/>
        <v>0</v>
      </c>
      <c r="J1209" s="126"/>
      <c r="M1209" s="90">
        <v>500000</v>
      </c>
      <c r="P1209" s="126"/>
      <c r="Q1209" s="126"/>
      <c r="R1209" s="126"/>
      <c r="S1209" s="126"/>
      <c r="T1209" s="126"/>
    </row>
    <row r="1210" spans="1:20" s="90" customFormat="1" hidden="1">
      <c r="A1210" s="82" t="s">
        <v>178</v>
      </c>
      <c r="B1210" s="83">
        <v>795</v>
      </c>
      <c r="C1210" s="84" t="s">
        <v>173</v>
      </c>
      <c r="D1210" s="84" t="s">
        <v>70</v>
      </c>
      <c r="E1210" s="84" t="s">
        <v>100</v>
      </c>
      <c r="F1210" s="84" t="s">
        <v>179</v>
      </c>
      <c r="G1210" s="70">
        <f>'прил 5,'!G2062</f>
        <v>0</v>
      </c>
      <c r="H1210" s="70">
        <f>'прил 5,'!H2062</f>
        <v>0</v>
      </c>
      <c r="I1210" s="70">
        <f>'прил 5,'!I2062</f>
        <v>0</v>
      </c>
      <c r="J1210" s="126"/>
      <c r="M1210" s="90">
        <f>M1166+M1167+M1168+M1169+M1170+M1171+M1172+M1173+M1181+M1184+M1185+M1189+M1190+M1191+M1206+M1207+M1208+M1209</f>
        <v>120115842</v>
      </c>
      <c r="P1210" s="126"/>
      <c r="Q1210" s="126"/>
      <c r="R1210" s="126"/>
      <c r="S1210" s="126"/>
      <c r="T1210" s="126"/>
    </row>
    <row r="1211" spans="1:20" s="90" customFormat="1" ht="26.25" customHeight="1">
      <c r="A1211" s="82" t="s">
        <v>77</v>
      </c>
      <c r="B1211" s="83">
        <v>795</v>
      </c>
      <c r="C1211" s="84" t="s">
        <v>173</v>
      </c>
      <c r="D1211" s="84" t="s">
        <v>70</v>
      </c>
      <c r="E1211" s="84" t="s">
        <v>78</v>
      </c>
      <c r="F1211" s="84"/>
      <c r="G1211" s="70">
        <f t="shared" ref="G1211:I1212" si="343">G1212</f>
        <v>70000</v>
      </c>
      <c r="H1211" s="70">
        <f t="shared" si="343"/>
        <v>70000</v>
      </c>
      <c r="I1211" s="70">
        <f t="shared" si="343"/>
        <v>70000</v>
      </c>
      <c r="J1211" s="126"/>
      <c r="M1211" s="126">
        <f>M1210-H1166</f>
        <v>107394138.93000001</v>
      </c>
      <c r="P1211" s="126"/>
      <c r="Q1211" s="126"/>
      <c r="R1211" s="126"/>
      <c r="S1211" s="126"/>
      <c r="T1211" s="126"/>
    </row>
    <row r="1212" spans="1:20" s="90" customFormat="1" ht="26.25" customHeight="1">
      <c r="A1212" s="82" t="s">
        <v>36</v>
      </c>
      <c r="B1212" s="83">
        <v>795</v>
      </c>
      <c r="C1212" s="84" t="s">
        <v>173</v>
      </c>
      <c r="D1212" s="84" t="s">
        <v>70</v>
      </c>
      <c r="E1212" s="84" t="s">
        <v>78</v>
      </c>
      <c r="F1212" s="84" t="s">
        <v>37</v>
      </c>
      <c r="G1212" s="70">
        <f t="shared" si="343"/>
        <v>70000</v>
      </c>
      <c r="H1212" s="70">
        <f t="shared" si="343"/>
        <v>70000</v>
      </c>
      <c r="I1212" s="70">
        <f t="shared" si="343"/>
        <v>70000</v>
      </c>
      <c r="J1212" s="126"/>
      <c r="P1212" s="126"/>
      <c r="Q1212" s="126"/>
      <c r="R1212" s="126"/>
      <c r="S1212" s="126"/>
      <c r="T1212" s="126"/>
    </row>
    <row r="1213" spans="1:20" s="90" customFormat="1" ht="25.5">
      <c r="A1213" s="82" t="s">
        <v>38</v>
      </c>
      <c r="B1213" s="83">
        <v>795</v>
      </c>
      <c r="C1213" s="84" t="s">
        <v>173</v>
      </c>
      <c r="D1213" s="84" t="s">
        <v>70</v>
      </c>
      <c r="E1213" s="84" t="s">
        <v>78</v>
      </c>
      <c r="F1213" s="84" t="s">
        <v>39</v>
      </c>
      <c r="G1213" s="70">
        <f>'прил 5,'!G1617</f>
        <v>70000</v>
      </c>
      <c r="H1213" s="70">
        <f>'прил 5,'!H1617</f>
        <v>70000</v>
      </c>
      <c r="I1213" s="70">
        <f>'прил 5,'!I1617</f>
        <v>70000</v>
      </c>
      <c r="J1213" s="126"/>
      <c r="P1213" s="126"/>
      <c r="Q1213" s="126"/>
      <c r="R1213" s="126"/>
      <c r="S1213" s="126"/>
      <c r="T1213" s="126"/>
    </row>
    <row r="1214" spans="1:20" s="90" customFormat="1" ht="34.5" customHeight="1">
      <c r="A1214" s="82" t="s">
        <v>704</v>
      </c>
      <c r="B1214" s="83">
        <v>795</v>
      </c>
      <c r="C1214" s="84" t="s">
        <v>173</v>
      </c>
      <c r="D1214" s="84" t="s">
        <v>70</v>
      </c>
      <c r="E1214" s="84" t="s">
        <v>417</v>
      </c>
      <c r="F1214" s="84"/>
      <c r="G1214" s="70">
        <f t="shared" ref="G1214:I1215" si="344">G1215</f>
        <v>200000</v>
      </c>
      <c r="H1214" s="70">
        <f t="shared" si="344"/>
        <v>200000</v>
      </c>
      <c r="I1214" s="70">
        <f t="shared" si="344"/>
        <v>200000</v>
      </c>
      <c r="J1214" s="126"/>
      <c r="P1214" s="126"/>
      <c r="Q1214" s="126"/>
      <c r="R1214" s="126"/>
      <c r="S1214" s="126"/>
      <c r="T1214" s="126"/>
    </row>
    <row r="1215" spans="1:20" s="90" customFormat="1" ht="34.5" customHeight="1">
      <c r="A1215" s="82" t="s">
        <v>36</v>
      </c>
      <c r="B1215" s="83">
        <v>795</v>
      </c>
      <c r="C1215" s="84" t="s">
        <v>173</v>
      </c>
      <c r="D1215" s="84" t="s">
        <v>70</v>
      </c>
      <c r="E1215" s="84" t="s">
        <v>417</v>
      </c>
      <c r="F1215" s="84" t="s">
        <v>37</v>
      </c>
      <c r="G1215" s="70">
        <f t="shared" si="344"/>
        <v>200000</v>
      </c>
      <c r="H1215" s="70">
        <f t="shared" si="344"/>
        <v>200000</v>
      </c>
      <c r="I1215" s="70">
        <f t="shared" si="344"/>
        <v>200000</v>
      </c>
      <c r="J1215" s="126"/>
      <c r="P1215" s="126"/>
      <c r="Q1215" s="126"/>
      <c r="R1215" s="126"/>
      <c r="S1215" s="126"/>
      <c r="T1215" s="126"/>
    </row>
    <row r="1216" spans="1:20" s="90" customFormat="1" ht="34.5" customHeight="1">
      <c r="A1216" s="82" t="s">
        <v>38</v>
      </c>
      <c r="B1216" s="83">
        <v>795</v>
      </c>
      <c r="C1216" s="84" t="s">
        <v>173</v>
      </c>
      <c r="D1216" s="84" t="s">
        <v>70</v>
      </c>
      <c r="E1216" s="84" t="s">
        <v>417</v>
      </c>
      <c r="F1216" s="84" t="s">
        <v>39</v>
      </c>
      <c r="G1216" s="70">
        <f>'прил 5,'!G1620</f>
        <v>200000</v>
      </c>
      <c r="H1216" s="70">
        <f>'прил 5,'!H1620</f>
        <v>200000</v>
      </c>
      <c r="I1216" s="70">
        <f>'прил 5,'!I1620</f>
        <v>200000</v>
      </c>
      <c r="J1216" s="126"/>
      <c r="P1216" s="126"/>
      <c r="Q1216" s="126"/>
      <c r="R1216" s="126"/>
      <c r="S1216" s="126"/>
      <c r="T1216" s="126"/>
    </row>
    <row r="1217" spans="1:20" ht="28.5" hidden="1" customHeight="1">
      <c r="A1217" s="82" t="s">
        <v>535</v>
      </c>
      <c r="B1217" s="49">
        <v>793</v>
      </c>
      <c r="C1217" s="15" t="s">
        <v>173</v>
      </c>
      <c r="D1217" s="15" t="s">
        <v>28</v>
      </c>
      <c r="E1217" s="15" t="s">
        <v>534</v>
      </c>
      <c r="F1217" s="15"/>
      <c r="G1217" s="70">
        <f>G1218</f>
        <v>0</v>
      </c>
      <c r="H1217" s="70">
        <f t="shared" ref="G1217:I1218" si="345">H1218</f>
        <v>0</v>
      </c>
      <c r="I1217" s="70">
        <f t="shared" si="345"/>
        <v>0</v>
      </c>
      <c r="J1217" s="177"/>
      <c r="K1217" s="186"/>
      <c r="L1217" s="186"/>
      <c r="M1217" s="186"/>
      <c r="N1217" s="186"/>
      <c r="O1217" s="186"/>
      <c r="P1217" s="186"/>
      <c r="Q1217" s="186"/>
      <c r="R1217" s="186"/>
      <c r="S1217" s="1"/>
      <c r="T1217" s="1"/>
    </row>
    <row r="1218" spans="1:20" ht="25.5" hidden="1">
      <c r="A1218" s="16" t="s">
        <v>36</v>
      </c>
      <c r="B1218" s="49">
        <v>793</v>
      </c>
      <c r="C1218" s="15" t="s">
        <v>173</v>
      </c>
      <c r="D1218" s="15" t="s">
        <v>28</v>
      </c>
      <c r="E1218" s="15" t="s">
        <v>534</v>
      </c>
      <c r="F1218" s="15" t="s">
        <v>37</v>
      </c>
      <c r="G1218" s="70">
        <f t="shared" si="345"/>
        <v>0</v>
      </c>
      <c r="H1218" s="70">
        <f t="shared" si="345"/>
        <v>0</v>
      </c>
      <c r="I1218" s="70">
        <f t="shared" si="345"/>
        <v>0</v>
      </c>
      <c r="J1218" s="177"/>
      <c r="K1218" s="186"/>
      <c r="L1218" s="186"/>
      <c r="M1218" s="186"/>
      <c r="N1218" s="186"/>
      <c r="O1218" s="186"/>
      <c r="P1218" s="186"/>
      <c r="Q1218" s="186"/>
      <c r="R1218" s="186"/>
      <c r="S1218" s="1"/>
      <c r="T1218" s="1"/>
    </row>
    <row r="1219" spans="1:20" ht="25.5" hidden="1">
      <c r="A1219" s="16" t="s">
        <v>38</v>
      </c>
      <c r="B1219" s="49">
        <v>793</v>
      </c>
      <c r="C1219" s="15" t="s">
        <v>173</v>
      </c>
      <c r="D1219" s="15" t="s">
        <v>28</v>
      </c>
      <c r="E1219" s="15" t="s">
        <v>534</v>
      </c>
      <c r="F1219" s="15" t="s">
        <v>39</v>
      </c>
      <c r="G1219" s="70"/>
      <c r="H1219" s="70">
        <v>0</v>
      </c>
      <c r="I1219" s="70">
        <v>0</v>
      </c>
      <c r="J1219" s="177"/>
      <c r="K1219" s="186"/>
      <c r="L1219" s="186"/>
      <c r="M1219" s="186"/>
      <c r="N1219" s="186"/>
      <c r="O1219" s="186"/>
      <c r="P1219" s="186"/>
      <c r="Q1219" s="186"/>
      <c r="R1219" s="186"/>
      <c r="S1219" s="1"/>
      <c r="T1219" s="1"/>
    </row>
    <row r="1220" spans="1:20" s="90" customFormat="1" ht="51">
      <c r="A1220" s="82" t="s">
        <v>81</v>
      </c>
      <c r="B1220" s="83">
        <v>795</v>
      </c>
      <c r="C1220" s="84" t="s">
        <v>173</v>
      </c>
      <c r="D1220" s="84" t="s">
        <v>70</v>
      </c>
      <c r="E1220" s="84" t="s">
        <v>80</v>
      </c>
      <c r="F1220" s="84"/>
      <c r="G1220" s="70">
        <f t="shared" ref="G1220:I1221" si="346">G1221</f>
        <v>2930124.22</v>
      </c>
      <c r="H1220" s="70">
        <f t="shared" si="346"/>
        <v>2180000</v>
      </c>
      <c r="I1220" s="70">
        <f t="shared" si="346"/>
        <v>2180000</v>
      </c>
      <c r="J1220" s="126"/>
      <c r="P1220" s="126"/>
      <c r="Q1220" s="126"/>
      <c r="R1220" s="126"/>
      <c r="S1220" s="126"/>
      <c r="T1220" s="126"/>
    </row>
    <row r="1221" spans="1:20" s="90" customFormat="1" ht="25.5" customHeight="1">
      <c r="A1221" s="82" t="s">
        <v>323</v>
      </c>
      <c r="B1221" s="149">
        <v>793</v>
      </c>
      <c r="C1221" s="84" t="s">
        <v>19</v>
      </c>
      <c r="D1221" s="84" t="s">
        <v>23</v>
      </c>
      <c r="E1221" s="84" t="s">
        <v>80</v>
      </c>
      <c r="F1221" s="84" t="s">
        <v>37</v>
      </c>
      <c r="G1221" s="87">
        <f t="shared" si="346"/>
        <v>2930124.22</v>
      </c>
      <c r="H1221" s="87">
        <f t="shared" si="346"/>
        <v>2180000</v>
      </c>
      <c r="I1221" s="87">
        <f t="shared" si="346"/>
        <v>2180000</v>
      </c>
      <c r="J1221" s="126"/>
      <c r="P1221" s="126"/>
      <c r="Q1221" s="126"/>
      <c r="R1221" s="126"/>
      <c r="S1221" s="126"/>
      <c r="T1221" s="126"/>
    </row>
    <row r="1222" spans="1:20" s="90" customFormat="1" ht="25.5" customHeight="1">
      <c r="A1222" s="82" t="s">
        <v>38</v>
      </c>
      <c r="B1222" s="149">
        <v>793</v>
      </c>
      <c r="C1222" s="84" t="s">
        <v>19</v>
      </c>
      <c r="D1222" s="84" t="s">
        <v>23</v>
      </c>
      <c r="E1222" s="84" t="s">
        <v>80</v>
      </c>
      <c r="F1222" s="84" t="s">
        <v>39</v>
      </c>
      <c r="G1222" s="70">
        <f>'прил 5,'!G1494+'прил 5,'!G458+'прил 5,'!G2214</f>
        <v>2930124.22</v>
      </c>
      <c r="H1222" s="70">
        <f>'прил 5,'!H1494+'прил 5,'!H458</f>
        <v>2180000</v>
      </c>
      <c r="I1222" s="70">
        <f>'прил 5,'!I1494+'прил 5,'!I458</f>
        <v>2180000</v>
      </c>
      <c r="J1222" s="126"/>
      <c r="P1222" s="126"/>
      <c r="Q1222" s="126"/>
      <c r="R1222" s="126"/>
      <c r="S1222" s="126"/>
      <c r="T1222" s="126"/>
    </row>
    <row r="1223" spans="1:20" s="90" customFormat="1" ht="20.25" hidden="1" customHeight="1">
      <c r="A1223" s="82" t="s">
        <v>632</v>
      </c>
      <c r="B1223" s="83">
        <v>795</v>
      </c>
      <c r="C1223" s="84" t="s">
        <v>173</v>
      </c>
      <c r="D1223" s="84" t="s">
        <v>28</v>
      </c>
      <c r="E1223" s="84" t="s">
        <v>631</v>
      </c>
      <c r="F1223" s="84"/>
      <c r="G1223" s="70">
        <f t="shared" ref="G1223:I1224" si="347">G1224</f>
        <v>0</v>
      </c>
      <c r="H1223" s="70">
        <f t="shared" si="347"/>
        <v>0</v>
      </c>
      <c r="I1223" s="70">
        <f t="shared" si="347"/>
        <v>0</v>
      </c>
      <c r="P1223" s="126"/>
      <c r="Q1223" s="126"/>
      <c r="R1223" s="126"/>
      <c r="S1223" s="126"/>
      <c r="T1223" s="126"/>
    </row>
    <row r="1224" spans="1:20" s="90" customFormat="1" ht="34.5" hidden="1" customHeight="1">
      <c r="A1224" s="82" t="s">
        <v>36</v>
      </c>
      <c r="B1224" s="83">
        <v>795</v>
      </c>
      <c r="C1224" s="84" t="s">
        <v>173</v>
      </c>
      <c r="D1224" s="84" t="s">
        <v>28</v>
      </c>
      <c r="E1224" s="84" t="s">
        <v>631</v>
      </c>
      <c r="F1224" s="84" t="s">
        <v>37</v>
      </c>
      <c r="G1224" s="70">
        <f t="shared" si="347"/>
        <v>0</v>
      </c>
      <c r="H1224" s="70">
        <f t="shared" si="347"/>
        <v>0</v>
      </c>
      <c r="I1224" s="70">
        <f t="shared" si="347"/>
        <v>0</v>
      </c>
      <c r="P1224" s="126"/>
      <c r="Q1224" s="126"/>
      <c r="R1224" s="126"/>
      <c r="S1224" s="126"/>
      <c r="T1224" s="126"/>
    </row>
    <row r="1225" spans="1:20" s="90" customFormat="1" ht="34.5" hidden="1" customHeight="1">
      <c r="A1225" s="82" t="s">
        <v>38</v>
      </c>
      <c r="B1225" s="83">
        <v>795</v>
      </c>
      <c r="C1225" s="84" t="s">
        <v>173</v>
      </c>
      <c r="D1225" s="84" t="s">
        <v>28</v>
      </c>
      <c r="E1225" s="84" t="s">
        <v>631</v>
      </c>
      <c r="F1225" s="84" t="s">
        <v>39</v>
      </c>
      <c r="G1225" s="70">
        <f>'прил 5,'!G2026</f>
        <v>0</v>
      </c>
      <c r="H1225" s="70"/>
      <c r="I1225" s="70"/>
      <c r="P1225" s="126"/>
      <c r="Q1225" s="126"/>
      <c r="R1225" s="126"/>
      <c r="S1225" s="126"/>
      <c r="T1225" s="126"/>
    </row>
    <row r="1226" spans="1:20" s="90" customFormat="1" ht="31.5" customHeight="1">
      <c r="A1226" s="82" t="s">
        <v>972</v>
      </c>
      <c r="B1226" s="83">
        <v>795</v>
      </c>
      <c r="C1226" s="84" t="s">
        <v>173</v>
      </c>
      <c r="D1226" s="84" t="s">
        <v>70</v>
      </c>
      <c r="E1226" s="84" t="s">
        <v>82</v>
      </c>
      <c r="F1226" s="84"/>
      <c r="G1226" s="70">
        <f t="shared" ref="G1226:I1227" si="348">G1227</f>
        <v>1353350</v>
      </c>
      <c r="H1226" s="70">
        <f t="shared" si="348"/>
        <v>1000000</v>
      </c>
      <c r="I1226" s="70">
        <f t="shared" si="348"/>
        <v>1000000</v>
      </c>
      <c r="J1226" s="126"/>
      <c r="P1226" s="126"/>
      <c r="Q1226" s="126"/>
      <c r="R1226" s="126"/>
      <c r="S1226" s="126"/>
      <c r="T1226" s="126"/>
    </row>
    <row r="1227" spans="1:20" s="90" customFormat="1" ht="21.75" customHeight="1">
      <c r="A1227" s="82" t="s">
        <v>323</v>
      </c>
      <c r="B1227" s="149">
        <v>793</v>
      </c>
      <c r="C1227" s="84" t="s">
        <v>19</v>
      </c>
      <c r="D1227" s="84" t="s">
        <v>23</v>
      </c>
      <c r="E1227" s="84" t="s">
        <v>82</v>
      </c>
      <c r="F1227" s="84" t="s">
        <v>37</v>
      </c>
      <c r="G1227" s="70">
        <f t="shared" si="348"/>
        <v>1353350</v>
      </c>
      <c r="H1227" s="70">
        <f t="shared" si="348"/>
        <v>1000000</v>
      </c>
      <c r="I1227" s="70">
        <f t="shared" si="348"/>
        <v>1000000</v>
      </c>
      <c r="J1227" s="126"/>
      <c r="P1227" s="126"/>
      <c r="Q1227" s="126"/>
      <c r="R1227" s="126"/>
      <c r="S1227" s="126"/>
      <c r="T1227" s="126"/>
    </row>
    <row r="1228" spans="1:20" s="90" customFormat="1" ht="29.25" customHeight="1">
      <c r="A1228" s="82" t="s">
        <v>38</v>
      </c>
      <c r="B1228" s="149">
        <v>793</v>
      </c>
      <c r="C1228" s="84" t="s">
        <v>19</v>
      </c>
      <c r="D1228" s="84" t="s">
        <v>23</v>
      </c>
      <c r="E1228" s="84" t="s">
        <v>82</v>
      </c>
      <c r="F1228" s="84" t="s">
        <v>39</v>
      </c>
      <c r="G1228" s="70">
        <f>'прил 5,'!G1497</f>
        <v>1353350</v>
      </c>
      <c r="H1228" s="70">
        <f>'прил 5,'!H1497</f>
        <v>1000000</v>
      </c>
      <c r="I1228" s="70">
        <f>'прил 5,'!I1497</f>
        <v>1000000</v>
      </c>
      <c r="J1228" s="126"/>
      <c r="P1228" s="126"/>
      <c r="Q1228" s="126"/>
      <c r="R1228" s="126"/>
      <c r="S1228" s="126"/>
      <c r="T1228" s="126"/>
    </row>
    <row r="1229" spans="1:20" s="18" customFormat="1" ht="35.25" customHeight="1">
      <c r="A1229" s="16" t="s">
        <v>966</v>
      </c>
      <c r="B1229" s="49">
        <v>793</v>
      </c>
      <c r="C1229" s="15" t="s">
        <v>173</v>
      </c>
      <c r="D1229" s="15" t="s">
        <v>19</v>
      </c>
      <c r="E1229" s="15" t="s">
        <v>965</v>
      </c>
      <c r="F1229" s="15"/>
      <c r="G1229" s="70">
        <f t="shared" ref="G1229:I1230" si="349">G1230</f>
        <v>875000</v>
      </c>
      <c r="H1229" s="70">
        <f t="shared" si="349"/>
        <v>875000</v>
      </c>
      <c r="I1229" s="70">
        <f t="shared" si="349"/>
        <v>875000</v>
      </c>
      <c r="J1229" s="177"/>
      <c r="K1229" s="200"/>
      <c r="L1229" s="200"/>
      <c r="M1229" s="200"/>
      <c r="N1229" s="200"/>
      <c r="O1229" s="200"/>
      <c r="P1229" s="200"/>
      <c r="Q1229" s="200"/>
      <c r="R1229" s="200"/>
    </row>
    <row r="1230" spans="1:20" ht="35.25" customHeight="1">
      <c r="A1230" s="16" t="s">
        <v>36</v>
      </c>
      <c r="B1230" s="49">
        <v>793</v>
      </c>
      <c r="C1230" s="15" t="s">
        <v>173</v>
      </c>
      <c r="D1230" s="15" t="s">
        <v>19</v>
      </c>
      <c r="E1230" s="15" t="s">
        <v>965</v>
      </c>
      <c r="F1230" s="15" t="s">
        <v>37</v>
      </c>
      <c r="G1230" s="70">
        <f t="shared" si="349"/>
        <v>875000</v>
      </c>
      <c r="H1230" s="70">
        <f t="shared" si="349"/>
        <v>875000</v>
      </c>
      <c r="I1230" s="70">
        <f t="shared" si="349"/>
        <v>875000</v>
      </c>
      <c r="J1230" s="177"/>
      <c r="K1230" s="186"/>
      <c r="L1230" s="186"/>
      <c r="M1230" s="186"/>
      <c r="N1230" s="186"/>
      <c r="O1230" s="186"/>
      <c r="P1230" s="186"/>
      <c r="Q1230" s="186"/>
      <c r="R1230" s="186"/>
      <c r="S1230" s="1"/>
      <c r="T1230" s="1"/>
    </row>
    <row r="1231" spans="1:20" s="18" customFormat="1" ht="35.25" customHeight="1">
      <c r="A1231" s="16" t="s">
        <v>38</v>
      </c>
      <c r="B1231" s="49">
        <v>793</v>
      </c>
      <c r="C1231" s="15" t="s">
        <v>173</v>
      </c>
      <c r="D1231" s="15" t="s">
        <v>19</v>
      </c>
      <c r="E1231" s="15" t="s">
        <v>965</v>
      </c>
      <c r="F1231" s="15" t="s">
        <v>39</v>
      </c>
      <c r="G1231" s="70">
        <f>'прил 5,'!G1500</f>
        <v>875000</v>
      </c>
      <c r="H1231" s="70">
        <f>'прил 5,'!H1500</f>
        <v>875000</v>
      </c>
      <c r="I1231" s="70">
        <f>'прил 5,'!I1500</f>
        <v>875000</v>
      </c>
      <c r="J1231" s="177"/>
      <c r="K1231" s="200"/>
      <c r="L1231" s="200"/>
      <c r="M1231" s="200"/>
      <c r="N1231" s="200"/>
      <c r="O1231" s="200"/>
      <c r="P1231" s="200"/>
      <c r="Q1231" s="200"/>
      <c r="R1231" s="200"/>
    </row>
    <row r="1232" spans="1:20" s="90" customFormat="1" ht="21.75" customHeight="1">
      <c r="A1232" s="82" t="s">
        <v>85</v>
      </c>
      <c r="B1232" s="83">
        <v>795</v>
      </c>
      <c r="C1232" s="84" t="s">
        <v>173</v>
      </c>
      <c r="D1232" s="84" t="s">
        <v>70</v>
      </c>
      <c r="E1232" s="84" t="s">
        <v>84</v>
      </c>
      <c r="F1232" s="84"/>
      <c r="G1232" s="70">
        <f t="shared" ref="G1232:I1233" si="350">G1233</f>
        <v>617693.68999999994</v>
      </c>
      <c r="H1232" s="70">
        <f t="shared" si="350"/>
        <v>781000</v>
      </c>
      <c r="I1232" s="70">
        <f t="shared" si="350"/>
        <v>781000</v>
      </c>
      <c r="J1232" s="126"/>
      <c r="P1232" s="126"/>
      <c r="Q1232" s="126"/>
      <c r="R1232" s="126"/>
      <c r="S1232" s="126"/>
      <c r="T1232" s="126"/>
    </row>
    <row r="1233" spans="1:20" s="90" customFormat="1" ht="21.75" customHeight="1">
      <c r="A1233" s="82" t="s">
        <v>323</v>
      </c>
      <c r="B1233" s="149">
        <v>793</v>
      </c>
      <c r="C1233" s="84" t="s">
        <v>19</v>
      </c>
      <c r="D1233" s="84" t="s">
        <v>23</v>
      </c>
      <c r="E1233" s="84" t="s">
        <v>84</v>
      </c>
      <c r="F1233" s="84" t="s">
        <v>37</v>
      </c>
      <c r="G1233" s="70">
        <f t="shared" si="350"/>
        <v>617693.68999999994</v>
      </c>
      <c r="H1233" s="70">
        <f t="shared" si="350"/>
        <v>781000</v>
      </c>
      <c r="I1233" s="70">
        <f t="shared" si="350"/>
        <v>781000</v>
      </c>
      <c r="J1233" s="126"/>
      <c r="P1233" s="126"/>
      <c r="Q1233" s="126"/>
      <c r="R1233" s="126"/>
      <c r="S1233" s="126"/>
      <c r="T1233" s="126"/>
    </row>
    <row r="1234" spans="1:20" s="90" customFormat="1" ht="30.75" customHeight="1">
      <c r="A1234" s="82" t="s">
        <v>38</v>
      </c>
      <c r="B1234" s="149">
        <v>793</v>
      </c>
      <c r="C1234" s="84" t="s">
        <v>19</v>
      </c>
      <c r="D1234" s="84" t="s">
        <v>23</v>
      </c>
      <c r="E1234" s="84" t="s">
        <v>84</v>
      </c>
      <c r="F1234" s="84" t="s">
        <v>39</v>
      </c>
      <c r="G1234" s="70">
        <f>'прил 5,'!G1957+'прил 5,'!G1490+'прил 5,'!G454+'прил 5,'!G1503+'прил 5,'!G2211</f>
        <v>617693.68999999994</v>
      </c>
      <c r="H1234" s="70">
        <f>'прил 5,'!H1957+'прил 5,'!H1490+'прил 5,'!H454+'прил 5,'!H1503+'прил 5,'!H2211</f>
        <v>781000</v>
      </c>
      <c r="I1234" s="70">
        <f>'прил 5,'!I1957+'прил 5,'!I1490+'прил 5,'!I454+'прил 5,'!I1503+'прил 5,'!I2211</f>
        <v>781000</v>
      </c>
      <c r="J1234" s="87">
        <f>'прил 5,'!K1957+'прил 5,'!K1490</f>
        <v>0</v>
      </c>
      <c r="K1234" s="87">
        <f>'прил 5,'!L1957+'прил 5,'!L1490</f>
        <v>0</v>
      </c>
      <c r="L1234" s="87">
        <f>'прил 5,'!M1957+'прил 5,'!M1490</f>
        <v>0</v>
      </c>
      <c r="M1234" s="87">
        <f>'прил 5,'!N1957+'прил 5,'!N1490</f>
        <v>0</v>
      </c>
      <c r="N1234" s="87">
        <f>'прил 5,'!O1957+'прил 5,'!O1490</f>
        <v>0</v>
      </c>
      <c r="O1234" s="87">
        <f>'прил 5,'!P1957+'прил 5,'!P1490</f>
        <v>0</v>
      </c>
      <c r="P1234" s="126"/>
      <c r="Q1234" s="126"/>
      <c r="R1234" s="126"/>
      <c r="S1234" s="126"/>
      <c r="T1234" s="126"/>
    </row>
    <row r="1235" spans="1:20" s="150" customFormat="1" ht="17.25" customHeight="1">
      <c r="A1235" s="82" t="s">
        <v>381</v>
      </c>
      <c r="B1235" s="149">
        <v>793</v>
      </c>
      <c r="C1235" s="84" t="s">
        <v>173</v>
      </c>
      <c r="D1235" s="84" t="s">
        <v>70</v>
      </c>
      <c r="E1235" s="84" t="s">
        <v>380</v>
      </c>
      <c r="F1235" s="84"/>
      <c r="G1235" s="70">
        <f t="shared" ref="G1235:O1236" si="351">G1236</f>
        <v>9607</v>
      </c>
      <c r="H1235" s="70">
        <f t="shared" si="351"/>
        <v>109703.07</v>
      </c>
      <c r="I1235" s="70">
        <f t="shared" si="351"/>
        <v>109800.1</v>
      </c>
      <c r="J1235" s="152"/>
      <c r="P1235" s="152"/>
      <c r="Q1235" s="152"/>
      <c r="R1235" s="152"/>
      <c r="S1235" s="152"/>
      <c r="T1235" s="152"/>
    </row>
    <row r="1236" spans="1:20" s="150" customFormat="1" ht="17.25" customHeight="1">
      <c r="A1236" s="82" t="s">
        <v>323</v>
      </c>
      <c r="B1236" s="149">
        <v>793</v>
      </c>
      <c r="C1236" s="84" t="s">
        <v>173</v>
      </c>
      <c r="D1236" s="84" t="s">
        <v>70</v>
      </c>
      <c r="E1236" s="84" t="s">
        <v>380</v>
      </c>
      <c r="F1236" s="84" t="s">
        <v>37</v>
      </c>
      <c r="G1236" s="70">
        <f t="shared" si="351"/>
        <v>9607</v>
      </c>
      <c r="H1236" s="70">
        <f t="shared" si="351"/>
        <v>109703.07</v>
      </c>
      <c r="I1236" s="70">
        <f t="shared" si="351"/>
        <v>109800.1</v>
      </c>
      <c r="J1236" s="163">
        <f t="shared" si="351"/>
        <v>0</v>
      </c>
      <c r="K1236" s="163">
        <f t="shared" si="351"/>
        <v>0</v>
      </c>
      <c r="L1236" s="163">
        <f t="shared" si="351"/>
        <v>0</v>
      </c>
      <c r="M1236" s="163">
        <f t="shared" si="351"/>
        <v>0</v>
      </c>
      <c r="N1236" s="163">
        <f t="shared" si="351"/>
        <v>0</v>
      </c>
      <c r="O1236" s="163">
        <f t="shared" si="351"/>
        <v>0</v>
      </c>
      <c r="P1236" s="152"/>
      <c r="Q1236" s="152"/>
      <c r="R1236" s="152"/>
      <c r="S1236" s="152"/>
      <c r="T1236" s="152"/>
    </row>
    <row r="1237" spans="1:20" s="150" customFormat="1" ht="28.5" customHeight="1">
      <c r="A1237" s="82" t="s">
        <v>38</v>
      </c>
      <c r="B1237" s="149">
        <v>793</v>
      </c>
      <c r="C1237" s="84" t="s">
        <v>173</v>
      </c>
      <c r="D1237" s="84" t="s">
        <v>70</v>
      </c>
      <c r="E1237" s="84" t="s">
        <v>380</v>
      </c>
      <c r="F1237" s="84" t="s">
        <v>39</v>
      </c>
      <c r="G1237" s="70">
        <v>9607</v>
      </c>
      <c r="H1237" s="70">
        <f>'прил 5,'!H1470+'прил 5,'!H2057+'прил 5,'!H1599</f>
        <v>109703.07</v>
      </c>
      <c r="I1237" s="70">
        <f>'прил 5,'!I1470+'прил 5,'!I2057+'прил 5,'!I1599</f>
        <v>109800.1</v>
      </c>
      <c r="J1237" s="152"/>
      <c r="P1237" s="152"/>
      <c r="Q1237" s="152"/>
      <c r="R1237" s="152"/>
      <c r="S1237" s="152"/>
      <c r="T1237" s="152"/>
    </row>
    <row r="1238" spans="1:20" s="150" customFormat="1" ht="27.75" hidden="1" customHeight="1">
      <c r="A1238" s="82" t="s">
        <v>537</v>
      </c>
      <c r="B1238" s="83">
        <v>795</v>
      </c>
      <c r="C1238" s="153" t="s">
        <v>173</v>
      </c>
      <c r="D1238" s="153" t="s">
        <v>19</v>
      </c>
      <c r="E1238" s="84" t="s">
        <v>536</v>
      </c>
      <c r="F1238" s="84"/>
      <c r="G1238" s="70">
        <f t="shared" ref="G1238:I1239" si="352">G1239</f>
        <v>0</v>
      </c>
      <c r="H1238" s="70">
        <f t="shared" si="352"/>
        <v>0</v>
      </c>
      <c r="I1238" s="70">
        <f t="shared" si="352"/>
        <v>0</v>
      </c>
      <c r="P1238" s="152"/>
      <c r="Q1238" s="152"/>
      <c r="R1238" s="152"/>
      <c r="S1238" s="152"/>
      <c r="T1238" s="152"/>
    </row>
    <row r="1239" spans="1:20" s="150" customFormat="1" ht="28.5" hidden="1" customHeight="1">
      <c r="A1239" s="82" t="s">
        <v>323</v>
      </c>
      <c r="B1239" s="83">
        <v>795</v>
      </c>
      <c r="C1239" s="153" t="s">
        <v>173</v>
      </c>
      <c r="D1239" s="153" t="s">
        <v>19</v>
      </c>
      <c r="E1239" s="84" t="s">
        <v>536</v>
      </c>
      <c r="F1239" s="84" t="s">
        <v>37</v>
      </c>
      <c r="G1239" s="70">
        <f t="shared" si="352"/>
        <v>0</v>
      </c>
      <c r="H1239" s="70">
        <f t="shared" si="352"/>
        <v>0</v>
      </c>
      <c r="I1239" s="70">
        <f t="shared" si="352"/>
        <v>0</v>
      </c>
      <c r="P1239" s="152"/>
      <c r="Q1239" s="152"/>
      <c r="R1239" s="152"/>
      <c r="S1239" s="152"/>
      <c r="T1239" s="152"/>
    </row>
    <row r="1240" spans="1:20" s="150" customFormat="1" ht="28.5" hidden="1" customHeight="1">
      <c r="A1240" s="82" t="s">
        <v>38</v>
      </c>
      <c r="B1240" s="83">
        <v>795</v>
      </c>
      <c r="C1240" s="153" t="s">
        <v>173</v>
      </c>
      <c r="D1240" s="153" t="s">
        <v>19</v>
      </c>
      <c r="E1240" s="84" t="s">
        <v>536</v>
      </c>
      <c r="F1240" s="84" t="s">
        <v>39</v>
      </c>
      <c r="G1240" s="70"/>
      <c r="H1240" s="70">
        <v>0</v>
      </c>
      <c r="I1240" s="70">
        <v>0</v>
      </c>
      <c r="P1240" s="152"/>
      <c r="Q1240" s="152"/>
      <c r="R1240" s="152"/>
      <c r="S1240" s="152"/>
      <c r="T1240" s="152"/>
    </row>
    <row r="1241" spans="1:20" s="90" customFormat="1" ht="25.5" hidden="1" customHeight="1">
      <c r="A1241" s="82" t="s">
        <v>508</v>
      </c>
      <c r="B1241" s="83">
        <v>795</v>
      </c>
      <c r="C1241" s="84" t="s">
        <v>173</v>
      </c>
      <c r="D1241" s="84" t="s">
        <v>28</v>
      </c>
      <c r="E1241" s="84" t="s">
        <v>462</v>
      </c>
      <c r="F1241" s="84"/>
      <c r="G1241" s="70">
        <f t="shared" ref="G1241:I1242" si="353">G1242</f>
        <v>0</v>
      </c>
      <c r="H1241" s="70">
        <f t="shared" si="353"/>
        <v>0</v>
      </c>
      <c r="I1241" s="70">
        <f t="shared" si="353"/>
        <v>0</v>
      </c>
      <c r="J1241" s="126"/>
      <c r="P1241" s="126"/>
      <c r="Q1241" s="126"/>
      <c r="R1241" s="126"/>
      <c r="S1241" s="126"/>
      <c r="T1241" s="126"/>
    </row>
    <row r="1242" spans="1:20" s="90" customFormat="1" ht="34.5" hidden="1" customHeight="1">
      <c r="A1242" s="82" t="s">
        <v>36</v>
      </c>
      <c r="B1242" s="83">
        <v>795</v>
      </c>
      <c r="C1242" s="84" t="s">
        <v>173</v>
      </c>
      <c r="D1242" s="84" t="s">
        <v>28</v>
      </c>
      <c r="E1242" s="84" t="s">
        <v>462</v>
      </c>
      <c r="F1242" s="84" t="s">
        <v>348</v>
      </c>
      <c r="G1242" s="70">
        <f t="shared" si="353"/>
        <v>0</v>
      </c>
      <c r="H1242" s="70">
        <f t="shared" si="353"/>
        <v>0</v>
      </c>
      <c r="I1242" s="70">
        <f t="shared" si="353"/>
        <v>0</v>
      </c>
      <c r="J1242" s="126"/>
      <c r="P1242" s="126"/>
      <c r="Q1242" s="126"/>
      <c r="R1242" s="126"/>
      <c r="S1242" s="126"/>
      <c r="T1242" s="126"/>
    </row>
    <row r="1243" spans="1:20" s="90" customFormat="1" ht="34.5" hidden="1" customHeight="1">
      <c r="A1243" s="82" t="s">
        <v>38</v>
      </c>
      <c r="B1243" s="83">
        <v>795</v>
      </c>
      <c r="C1243" s="84" t="s">
        <v>173</v>
      </c>
      <c r="D1243" s="84" t="s">
        <v>28</v>
      </c>
      <c r="E1243" s="84" t="s">
        <v>462</v>
      </c>
      <c r="F1243" s="84" t="s">
        <v>350</v>
      </c>
      <c r="G1243" s="70">
        <f>'прил 5,'!G2006</f>
        <v>0</v>
      </c>
      <c r="H1243" s="70">
        <f>'прил 5,'!H2006</f>
        <v>0</v>
      </c>
      <c r="I1243" s="70">
        <f>'прил 5,'!I2006</f>
        <v>0</v>
      </c>
      <c r="J1243" s="126"/>
      <c r="P1243" s="126"/>
      <c r="Q1243" s="126"/>
      <c r="R1243" s="126"/>
      <c r="S1243" s="126"/>
      <c r="T1243" s="126"/>
    </row>
    <row r="1244" spans="1:20" s="90" customFormat="1" ht="34.5" hidden="1" customHeight="1">
      <c r="A1244" s="82" t="s">
        <v>464</v>
      </c>
      <c r="B1244" s="83">
        <v>795</v>
      </c>
      <c r="C1244" s="84" t="s">
        <v>173</v>
      </c>
      <c r="D1244" s="84" t="s">
        <v>28</v>
      </c>
      <c r="E1244" s="84" t="s">
        <v>463</v>
      </c>
      <c r="F1244" s="84"/>
      <c r="G1244" s="70">
        <f t="shared" ref="G1244:I1245" si="354">G1245</f>
        <v>0</v>
      </c>
      <c r="H1244" s="70">
        <f t="shared" si="354"/>
        <v>0</v>
      </c>
      <c r="I1244" s="70">
        <f t="shared" si="354"/>
        <v>0</v>
      </c>
      <c r="J1244" s="126"/>
      <c r="P1244" s="126"/>
      <c r="Q1244" s="126"/>
      <c r="R1244" s="126"/>
      <c r="S1244" s="126"/>
      <c r="T1244" s="126"/>
    </row>
    <row r="1245" spans="1:20" s="90" customFormat="1" ht="34.5" hidden="1" customHeight="1">
      <c r="A1245" s="82" t="s">
        <v>36</v>
      </c>
      <c r="B1245" s="83">
        <v>795</v>
      </c>
      <c r="C1245" s="84" t="s">
        <v>173</v>
      </c>
      <c r="D1245" s="84" t="s">
        <v>28</v>
      </c>
      <c r="E1245" s="84" t="s">
        <v>463</v>
      </c>
      <c r="F1245" s="84" t="s">
        <v>37</v>
      </c>
      <c r="G1245" s="70">
        <f t="shared" si="354"/>
        <v>0</v>
      </c>
      <c r="H1245" s="70">
        <f t="shared" si="354"/>
        <v>0</v>
      </c>
      <c r="I1245" s="70">
        <f t="shared" si="354"/>
        <v>0</v>
      </c>
      <c r="J1245" s="126"/>
      <c r="P1245" s="126"/>
      <c r="Q1245" s="126"/>
      <c r="R1245" s="126"/>
      <c r="S1245" s="126"/>
      <c r="T1245" s="126"/>
    </row>
    <row r="1246" spans="1:20" s="90" customFormat="1" ht="34.5" hidden="1" customHeight="1">
      <c r="A1246" s="82" t="s">
        <v>38</v>
      </c>
      <c r="B1246" s="83">
        <v>795</v>
      </c>
      <c r="C1246" s="84" t="s">
        <v>173</v>
      </c>
      <c r="D1246" s="84" t="s">
        <v>28</v>
      </c>
      <c r="E1246" s="84" t="s">
        <v>463</v>
      </c>
      <c r="F1246" s="84" t="s">
        <v>39</v>
      </c>
      <c r="G1246" s="70">
        <f>'прил 5,'!G2017</f>
        <v>0</v>
      </c>
      <c r="H1246" s="70">
        <f>'прил 5,'!H2017</f>
        <v>0</v>
      </c>
      <c r="I1246" s="70">
        <f>'прил 5,'!I2017</f>
        <v>0</v>
      </c>
      <c r="J1246" s="126"/>
      <c r="P1246" s="126"/>
      <c r="Q1246" s="126"/>
      <c r="R1246" s="126"/>
      <c r="S1246" s="126"/>
      <c r="T1246" s="126"/>
    </row>
    <row r="1247" spans="1:20" s="90" customFormat="1" ht="34.5" hidden="1" customHeight="1">
      <c r="A1247" s="82" t="s">
        <v>503</v>
      </c>
      <c r="B1247" s="83">
        <v>795</v>
      </c>
      <c r="C1247" s="84" t="s">
        <v>173</v>
      </c>
      <c r="D1247" s="84" t="s">
        <v>28</v>
      </c>
      <c r="E1247" s="84" t="s">
        <v>502</v>
      </c>
      <c r="F1247" s="84"/>
      <c r="G1247" s="70">
        <f>G1248</f>
        <v>0</v>
      </c>
      <c r="H1247" s="70">
        <f t="shared" ref="H1247:I1248" si="355">H1248</f>
        <v>0</v>
      </c>
      <c r="I1247" s="70">
        <f t="shared" si="355"/>
        <v>0</v>
      </c>
      <c r="P1247" s="126"/>
      <c r="Q1247" s="126"/>
      <c r="R1247" s="126"/>
      <c r="S1247" s="126"/>
      <c r="T1247" s="126"/>
    </row>
    <row r="1248" spans="1:20" s="90" customFormat="1" ht="34.5" hidden="1" customHeight="1">
      <c r="A1248" s="82" t="s">
        <v>96</v>
      </c>
      <c r="B1248" s="83">
        <v>795</v>
      </c>
      <c r="C1248" s="84" t="s">
        <v>173</v>
      </c>
      <c r="D1248" s="84" t="s">
        <v>28</v>
      </c>
      <c r="E1248" s="84" t="s">
        <v>502</v>
      </c>
      <c r="F1248" s="84" t="s">
        <v>348</v>
      </c>
      <c r="G1248" s="70">
        <f>G1249</f>
        <v>0</v>
      </c>
      <c r="H1248" s="70">
        <f t="shared" si="355"/>
        <v>0</v>
      </c>
      <c r="I1248" s="70">
        <f t="shared" si="355"/>
        <v>0</v>
      </c>
      <c r="P1248" s="126"/>
      <c r="Q1248" s="126"/>
      <c r="R1248" s="126"/>
      <c r="S1248" s="126"/>
      <c r="T1248" s="126"/>
    </row>
    <row r="1249" spans="1:20" s="90" customFormat="1" ht="34.5" hidden="1" customHeight="1">
      <c r="A1249" s="82" t="s">
        <v>349</v>
      </c>
      <c r="B1249" s="83">
        <v>795</v>
      </c>
      <c r="C1249" s="84" t="s">
        <v>173</v>
      </c>
      <c r="D1249" s="84" t="s">
        <v>28</v>
      </c>
      <c r="E1249" s="84" t="s">
        <v>502</v>
      </c>
      <c r="F1249" s="84" t="s">
        <v>350</v>
      </c>
      <c r="G1249" s="70">
        <f>'прил 5,'!G2020</f>
        <v>0</v>
      </c>
      <c r="H1249" s="70">
        <v>0</v>
      </c>
      <c r="I1249" s="70">
        <v>0</v>
      </c>
      <c r="P1249" s="126"/>
      <c r="Q1249" s="126"/>
      <c r="R1249" s="126"/>
      <c r="S1249" s="126"/>
      <c r="T1249" s="126"/>
    </row>
    <row r="1250" spans="1:20" s="90" customFormat="1" ht="34.5" hidden="1" customHeight="1">
      <c r="A1250" s="82" t="s">
        <v>509</v>
      </c>
      <c r="B1250" s="83">
        <v>795</v>
      </c>
      <c r="C1250" s="84" t="s">
        <v>173</v>
      </c>
      <c r="D1250" s="84" t="s">
        <v>28</v>
      </c>
      <c r="E1250" s="84" t="s">
        <v>510</v>
      </c>
      <c r="F1250" s="84"/>
      <c r="G1250" s="70">
        <f t="shared" ref="G1250:I1251" si="356">G1251</f>
        <v>0</v>
      </c>
      <c r="H1250" s="70">
        <f t="shared" si="356"/>
        <v>0</v>
      </c>
      <c r="I1250" s="70">
        <f t="shared" si="356"/>
        <v>0</v>
      </c>
      <c r="P1250" s="126"/>
      <c r="Q1250" s="126"/>
      <c r="R1250" s="126"/>
      <c r="S1250" s="126"/>
      <c r="T1250" s="126"/>
    </row>
    <row r="1251" spans="1:20" s="90" customFormat="1" ht="34.5" hidden="1" customHeight="1">
      <c r="A1251" s="82" t="s">
        <v>36</v>
      </c>
      <c r="B1251" s="83">
        <v>795</v>
      </c>
      <c r="C1251" s="84" t="s">
        <v>173</v>
      </c>
      <c r="D1251" s="84" t="s">
        <v>28</v>
      </c>
      <c r="E1251" s="84" t="s">
        <v>510</v>
      </c>
      <c r="F1251" s="84" t="s">
        <v>37</v>
      </c>
      <c r="G1251" s="70">
        <f t="shared" si="356"/>
        <v>0</v>
      </c>
      <c r="H1251" s="70">
        <f t="shared" si="356"/>
        <v>0</v>
      </c>
      <c r="I1251" s="70">
        <f t="shared" si="356"/>
        <v>0</v>
      </c>
      <c r="P1251" s="126"/>
      <c r="Q1251" s="126"/>
      <c r="R1251" s="126"/>
      <c r="S1251" s="126"/>
      <c r="T1251" s="126"/>
    </row>
    <row r="1252" spans="1:20" s="90" customFormat="1" ht="34.5" hidden="1" customHeight="1">
      <c r="A1252" s="82" t="s">
        <v>38</v>
      </c>
      <c r="B1252" s="83">
        <v>795</v>
      </c>
      <c r="C1252" s="84" t="s">
        <v>173</v>
      </c>
      <c r="D1252" s="84" t="s">
        <v>28</v>
      </c>
      <c r="E1252" s="84" t="s">
        <v>510</v>
      </c>
      <c r="F1252" s="84" t="s">
        <v>39</v>
      </c>
      <c r="G1252" s="70">
        <f>'прил 5,'!G2097+'прил 5,'!G2009</f>
        <v>0</v>
      </c>
      <c r="H1252" s="70">
        <f>'прил 5,'!H2097+'прил 5,'!H2009</f>
        <v>0</v>
      </c>
      <c r="I1252" s="70">
        <f>'прил 5,'!I2097+'прил 5,'!I2009</f>
        <v>0</v>
      </c>
      <c r="P1252" s="126"/>
      <c r="Q1252" s="126"/>
      <c r="R1252" s="126"/>
      <c r="S1252" s="126"/>
      <c r="T1252" s="126"/>
    </row>
    <row r="1253" spans="1:20" ht="60.75" customHeight="1">
      <c r="A1253" s="16" t="s">
        <v>1074</v>
      </c>
      <c r="B1253" s="14">
        <v>793</v>
      </c>
      <c r="C1253" s="15" t="s">
        <v>173</v>
      </c>
      <c r="D1253" s="15" t="s">
        <v>28</v>
      </c>
      <c r="E1253" s="15" t="s">
        <v>1071</v>
      </c>
      <c r="F1253" s="15"/>
      <c r="G1253" s="70">
        <f t="shared" ref="G1253:I1254" si="357">G1254</f>
        <v>5000000</v>
      </c>
      <c r="H1253" s="70">
        <f t="shared" si="357"/>
        <v>0</v>
      </c>
      <c r="I1253" s="70">
        <f t="shared" si="357"/>
        <v>0</v>
      </c>
      <c r="J1253" s="186"/>
      <c r="K1253" s="186"/>
      <c r="L1253" s="186"/>
      <c r="M1253" s="186"/>
      <c r="N1253" s="186"/>
      <c r="O1253" s="186"/>
      <c r="P1253" s="186"/>
      <c r="Q1253" s="186"/>
      <c r="R1253" s="186"/>
      <c r="S1253" s="1"/>
      <c r="T1253" s="1"/>
    </row>
    <row r="1254" spans="1:20" ht="34.5" customHeight="1">
      <c r="A1254" s="16" t="s">
        <v>63</v>
      </c>
      <c r="B1254" s="14">
        <v>793</v>
      </c>
      <c r="C1254" s="15" t="s">
        <v>173</v>
      </c>
      <c r="D1254" s="15" t="s">
        <v>28</v>
      </c>
      <c r="E1254" s="15" t="s">
        <v>1071</v>
      </c>
      <c r="F1254" s="15" t="s">
        <v>64</v>
      </c>
      <c r="G1254" s="70">
        <f t="shared" si="357"/>
        <v>5000000</v>
      </c>
      <c r="H1254" s="70">
        <f t="shared" si="357"/>
        <v>0</v>
      </c>
      <c r="I1254" s="70">
        <f t="shared" si="357"/>
        <v>0</v>
      </c>
      <c r="J1254" s="186"/>
      <c r="K1254" s="186"/>
      <c r="L1254" s="186"/>
      <c r="M1254" s="186"/>
      <c r="N1254" s="186"/>
      <c r="O1254" s="186"/>
      <c r="P1254" s="186"/>
      <c r="Q1254" s="186"/>
      <c r="R1254" s="186"/>
      <c r="S1254" s="1"/>
      <c r="T1254" s="1"/>
    </row>
    <row r="1255" spans="1:20" ht="34.5" customHeight="1">
      <c r="A1255" s="16" t="s">
        <v>180</v>
      </c>
      <c r="B1255" s="14">
        <v>793</v>
      </c>
      <c r="C1255" s="15" t="s">
        <v>173</v>
      </c>
      <c r="D1255" s="15" t="s">
        <v>28</v>
      </c>
      <c r="E1255" s="15" t="s">
        <v>1071</v>
      </c>
      <c r="F1255" s="15" t="s">
        <v>181</v>
      </c>
      <c r="G1255" s="70">
        <f>'прил 5,'!G1582</f>
        <v>5000000</v>
      </c>
      <c r="H1255" s="70">
        <v>0</v>
      </c>
      <c r="I1255" s="70">
        <v>0</v>
      </c>
      <c r="J1255" s="186"/>
      <c r="K1255" s="186"/>
      <c r="L1255" s="186"/>
      <c r="M1255" s="186"/>
      <c r="N1255" s="186"/>
      <c r="O1255" s="186"/>
      <c r="P1255" s="186"/>
      <c r="Q1255" s="186"/>
      <c r="R1255" s="186"/>
      <c r="S1255" s="1"/>
      <c r="T1255" s="1"/>
    </row>
    <row r="1256" spans="1:20" s="90" customFormat="1" ht="34.5" customHeight="1">
      <c r="A1256" s="82" t="s">
        <v>535</v>
      </c>
      <c r="B1256" s="83">
        <v>795</v>
      </c>
      <c r="C1256" s="84" t="s">
        <v>173</v>
      </c>
      <c r="D1256" s="84" t="s">
        <v>28</v>
      </c>
      <c r="E1256" s="84" t="s">
        <v>534</v>
      </c>
      <c r="F1256" s="84"/>
      <c r="G1256" s="70">
        <f t="shared" ref="G1256:I1256" si="358">G1257</f>
        <v>547673</v>
      </c>
      <c r="H1256" s="70">
        <f t="shared" si="358"/>
        <v>500000</v>
      </c>
      <c r="I1256" s="70">
        <f t="shared" si="358"/>
        <v>500000</v>
      </c>
      <c r="P1256" s="126"/>
      <c r="Q1256" s="126"/>
      <c r="R1256" s="126"/>
      <c r="S1256" s="126"/>
      <c r="T1256" s="126"/>
    </row>
    <row r="1257" spans="1:20" s="90" customFormat="1" ht="34.5" customHeight="1">
      <c r="A1257" s="82" t="s">
        <v>36</v>
      </c>
      <c r="B1257" s="83">
        <v>795</v>
      </c>
      <c r="C1257" s="84" t="s">
        <v>173</v>
      </c>
      <c r="D1257" s="84" t="s">
        <v>28</v>
      </c>
      <c r="E1257" s="84" t="s">
        <v>534</v>
      </c>
      <c r="F1257" s="84" t="s">
        <v>37</v>
      </c>
      <c r="G1257" s="70">
        <f>G1258</f>
        <v>547673</v>
      </c>
      <c r="H1257" s="70">
        <f>H1258</f>
        <v>500000</v>
      </c>
      <c r="I1257" s="70">
        <f>I1258</f>
        <v>500000</v>
      </c>
      <c r="P1257" s="126"/>
      <c r="Q1257" s="126"/>
      <c r="R1257" s="126"/>
      <c r="S1257" s="126"/>
      <c r="T1257" s="126"/>
    </row>
    <row r="1258" spans="1:20" s="90" customFormat="1" ht="34.5" customHeight="1">
      <c r="A1258" s="82" t="s">
        <v>38</v>
      </c>
      <c r="B1258" s="83">
        <v>795</v>
      </c>
      <c r="C1258" s="84" t="s">
        <v>173</v>
      </c>
      <c r="D1258" s="84" t="s">
        <v>28</v>
      </c>
      <c r="E1258" s="84" t="s">
        <v>534</v>
      </c>
      <c r="F1258" s="84" t="s">
        <v>39</v>
      </c>
      <c r="G1258" s="70">
        <f>'прил 5,'!G1575+'прил 5,'!G2232</f>
        <v>547673</v>
      </c>
      <c r="H1258" s="70">
        <f>'прил 5,'!H1575+'прил 5,'!H2232</f>
        <v>500000</v>
      </c>
      <c r="I1258" s="70">
        <f>'прил 5,'!I1575+'прил 5,'!I2232</f>
        <v>500000</v>
      </c>
      <c r="P1258" s="126"/>
      <c r="Q1258" s="126"/>
      <c r="R1258" s="126"/>
      <c r="S1258" s="126"/>
      <c r="T1258" s="126"/>
    </row>
    <row r="1259" spans="1:20" s="90" customFormat="1" ht="32.25" hidden="1" customHeight="1">
      <c r="A1259" s="82" t="s">
        <v>538</v>
      </c>
      <c r="B1259" s="83">
        <v>795</v>
      </c>
      <c r="C1259" s="84" t="s">
        <v>173</v>
      </c>
      <c r="D1259" s="84" t="s">
        <v>28</v>
      </c>
      <c r="E1259" s="84" t="s">
        <v>539</v>
      </c>
      <c r="F1259" s="84"/>
      <c r="G1259" s="87">
        <f>G1260</f>
        <v>0</v>
      </c>
      <c r="H1259" s="87">
        <v>0</v>
      </c>
      <c r="I1259" s="87">
        <v>0</v>
      </c>
      <c r="P1259" s="126"/>
      <c r="Q1259" s="126"/>
      <c r="R1259" s="126"/>
      <c r="S1259" s="126"/>
      <c r="T1259" s="126"/>
    </row>
    <row r="1260" spans="1:20" s="90" customFormat="1" ht="30" hidden="1" customHeight="1">
      <c r="A1260" s="82" t="s">
        <v>96</v>
      </c>
      <c r="B1260" s="83">
        <v>795</v>
      </c>
      <c r="C1260" s="84" t="s">
        <v>173</v>
      </c>
      <c r="D1260" s="84" t="s">
        <v>28</v>
      </c>
      <c r="E1260" s="84" t="s">
        <v>539</v>
      </c>
      <c r="F1260" s="84" t="s">
        <v>348</v>
      </c>
      <c r="G1260" s="87">
        <f>G1261</f>
        <v>0</v>
      </c>
      <c r="H1260" s="87">
        <v>0</v>
      </c>
      <c r="I1260" s="87">
        <v>0</v>
      </c>
      <c r="P1260" s="126"/>
      <c r="Q1260" s="126"/>
      <c r="R1260" s="126"/>
      <c r="S1260" s="126"/>
      <c r="T1260" s="126"/>
    </row>
    <row r="1261" spans="1:20" s="90" customFormat="1" ht="20.25" hidden="1" customHeight="1">
      <c r="A1261" s="82" t="s">
        <v>349</v>
      </c>
      <c r="B1261" s="83">
        <v>795</v>
      </c>
      <c r="C1261" s="84" t="s">
        <v>173</v>
      </c>
      <c r="D1261" s="84" t="s">
        <v>28</v>
      </c>
      <c r="E1261" s="84" t="s">
        <v>539</v>
      </c>
      <c r="F1261" s="84" t="s">
        <v>350</v>
      </c>
      <c r="G1261" s="87">
        <f>'прил 5,'!G2023</f>
        <v>0</v>
      </c>
      <c r="H1261" s="87">
        <v>0</v>
      </c>
      <c r="I1261" s="87">
        <v>0</v>
      </c>
      <c r="P1261" s="126"/>
      <c r="Q1261" s="126"/>
      <c r="R1261" s="126"/>
      <c r="S1261" s="126"/>
      <c r="T1261" s="126"/>
    </row>
    <row r="1262" spans="1:20" ht="49.5" hidden="1" customHeight="1">
      <c r="A1262" s="37" t="s">
        <v>740</v>
      </c>
      <c r="B1262" s="49">
        <v>795</v>
      </c>
      <c r="C1262" s="15" t="s">
        <v>173</v>
      </c>
      <c r="D1262" s="15" t="s">
        <v>173</v>
      </c>
      <c r="E1262" s="15" t="s">
        <v>724</v>
      </c>
      <c r="F1262" s="15"/>
      <c r="G1262" s="87">
        <f>G1263+G1265</f>
        <v>0</v>
      </c>
      <c r="H1262" s="70">
        <f t="shared" ref="H1262:I1262" si="359">H1263+H1265</f>
        <v>0</v>
      </c>
      <c r="I1262" s="70">
        <f t="shared" si="359"/>
        <v>0</v>
      </c>
      <c r="J1262" s="1"/>
    </row>
    <row r="1263" spans="1:20" ht="27" hidden="1" customHeight="1">
      <c r="A1263" s="16" t="s">
        <v>96</v>
      </c>
      <c r="B1263" s="49">
        <v>795</v>
      </c>
      <c r="C1263" s="15" t="s">
        <v>173</v>
      </c>
      <c r="D1263" s="15" t="s">
        <v>173</v>
      </c>
      <c r="E1263" s="15" t="s">
        <v>610</v>
      </c>
      <c r="F1263" s="15" t="s">
        <v>348</v>
      </c>
      <c r="G1263" s="87">
        <f>G1264</f>
        <v>0</v>
      </c>
      <c r="H1263" s="8">
        <f>H1264</f>
        <v>0</v>
      </c>
      <c r="I1263" s="8">
        <v>0</v>
      </c>
      <c r="J1263" s="1"/>
    </row>
    <row r="1264" spans="1:20" ht="18.75" hidden="1" customHeight="1">
      <c r="A1264" s="82" t="s">
        <v>349</v>
      </c>
      <c r="B1264" s="49">
        <v>795</v>
      </c>
      <c r="C1264" s="15" t="s">
        <v>173</v>
      </c>
      <c r="D1264" s="15" t="s">
        <v>173</v>
      </c>
      <c r="E1264" s="15" t="s">
        <v>610</v>
      </c>
      <c r="F1264" s="15" t="s">
        <v>350</v>
      </c>
      <c r="G1264" s="87"/>
      <c r="H1264" s="8"/>
      <c r="I1264" s="8">
        <v>0</v>
      </c>
      <c r="J1264" s="1"/>
    </row>
    <row r="1265" spans="1:20" ht="39.75" hidden="1" customHeight="1">
      <c r="A1265" s="82" t="s">
        <v>36</v>
      </c>
      <c r="B1265" s="49">
        <v>795</v>
      </c>
      <c r="C1265" s="15" t="s">
        <v>173</v>
      </c>
      <c r="D1265" s="15" t="s">
        <v>173</v>
      </c>
      <c r="E1265" s="15" t="s">
        <v>725</v>
      </c>
      <c r="F1265" s="15" t="s">
        <v>348</v>
      </c>
      <c r="G1265" s="87">
        <f>G1266</f>
        <v>0</v>
      </c>
      <c r="H1265" s="8"/>
      <c r="I1265" s="8"/>
      <c r="J1265" s="1"/>
    </row>
    <row r="1266" spans="1:20" ht="39" hidden="1" customHeight="1">
      <c r="A1266" s="16" t="s">
        <v>38</v>
      </c>
      <c r="B1266" s="49">
        <v>795</v>
      </c>
      <c r="C1266" s="15" t="s">
        <v>173</v>
      </c>
      <c r="D1266" s="15" t="s">
        <v>173</v>
      </c>
      <c r="E1266" s="15" t="s">
        <v>724</v>
      </c>
      <c r="F1266" s="15" t="s">
        <v>350</v>
      </c>
      <c r="G1266" s="87">
        <f>'прил 5,'!G2089</f>
        <v>0</v>
      </c>
      <c r="H1266" s="8"/>
      <c r="I1266" s="8"/>
      <c r="J1266" s="1"/>
    </row>
    <row r="1267" spans="1:20" s="90" customFormat="1" ht="39.75" hidden="1" customHeight="1">
      <c r="A1267" s="139" t="s">
        <v>740</v>
      </c>
      <c r="B1267" s="83">
        <v>795</v>
      </c>
      <c r="C1267" s="84" t="s">
        <v>173</v>
      </c>
      <c r="D1267" s="84" t="s">
        <v>173</v>
      </c>
      <c r="E1267" s="84" t="s">
        <v>610</v>
      </c>
      <c r="F1267" s="84"/>
      <c r="G1267" s="87">
        <f>G1268+G1270</f>
        <v>0</v>
      </c>
      <c r="H1267" s="87">
        <f t="shared" ref="H1267:I1267" si="360">H1268+H1270</f>
        <v>0</v>
      </c>
      <c r="I1267" s="87">
        <f t="shared" si="360"/>
        <v>0</v>
      </c>
      <c r="P1267" s="126"/>
      <c r="Q1267" s="126"/>
      <c r="R1267" s="126"/>
      <c r="S1267" s="126"/>
      <c r="T1267" s="126"/>
    </row>
    <row r="1268" spans="1:20" s="90" customFormat="1" ht="27" hidden="1" customHeight="1">
      <c r="A1268" s="82" t="s">
        <v>96</v>
      </c>
      <c r="B1268" s="83">
        <v>795</v>
      </c>
      <c r="C1268" s="84" t="s">
        <v>173</v>
      </c>
      <c r="D1268" s="84" t="s">
        <v>173</v>
      </c>
      <c r="E1268" s="84" t="s">
        <v>610</v>
      </c>
      <c r="F1268" s="84" t="s">
        <v>348</v>
      </c>
      <c r="G1268" s="87">
        <f>G1269</f>
        <v>0</v>
      </c>
      <c r="H1268" s="85">
        <f>H1269</f>
        <v>0</v>
      </c>
      <c r="I1268" s="85">
        <v>0</v>
      </c>
      <c r="P1268" s="126"/>
      <c r="Q1268" s="126"/>
      <c r="R1268" s="126"/>
      <c r="S1268" s="126"/>
      <c r="T1268" s="126"/>
    </row>
    <row r="1269" spans="1:20" s="90" customFormat="1" ht="18.75" hidden="1" customHeight="1">
      <c r="A1269" s="82" t="s">
        <v>349</v>
      </c>
      <c r="B1269" s="83">
        <v>795</v>
      </c>
      <c r="C1269" s="84" t="s">
        <v>173</v>
      </c>
      <c r="D1269" s="84" t="s">
        <v>173</v>
      </c>
      <c r="E1269" s="84" t="s">
        <v>610</v>
      </c>
      <c r="F1269" s="84" t="s">
        <v>350</v>
      </c>
      <c r="G1269" s="87"/>
      <c r="H1269" s="85"/>
      <c r="I1269" s="85">
        <v>0</v>
      </c>
      <c r="P1269" s="126"/>
      <c r="Q1269" s="126"/>
      <c r="R1269" s="126"/>
      <c r="S1269" s="126"/>
      <c r="T1269" s="126"/>
    </row>
    <row r="1270" spans="1:20" s="90" customFormat="1" ht="33.75" hidden="1" customHeight="1">
      <c r="A1270" s="82" t="s">
        <v>36</v>
      </c>
      <c r="B1270" s="83">
        <v>795</v>
      </c>
      <c r="C1270" s="84" t="s">
        <v>173</v>
      </c>
      <c r="D1270" s="84" t="s">
        <v>173</v>
      </c>
      <c r="E1270" s="84" t="s">
        <v>610</v>
      </c>
      <c r="F1270" s="84" t="s">
        <v>348</v>
      </c>
      <c r="G1270" s="87">
        <f>G1271</f>
        <v>0</v>
      </c>
      <c r="H1270" s="85">
        <v>0</v>
      </c>
      <c r="I1270" s="85">
        <v>0</v>
      </c>
      <c r="P1270" s="126"/>
      <c r="Q1270" s="126"/>
      <c r="R1270" s="126"/>
      <c r="S1270" s="126"/>
      <c r="T1270" s="126"/>
    </row>
    <row r="1271" spans="1:20" s="90" customFormat="1" ht="42" hidden="1" customHeight="1">
      <c r="A1271" s="16" t="s">
        <v>38</v>
      </c>
      <c r="B1271" s="83">
        <v>795</v>
      </c>
      <c r="C1271" s="84" t="s">
        <v>173</v>
      </c>
      <c r="D1271" s="84" t="s">
        <v>173</v>
      </c>
      <c r="E1271" s="84" t="s">
        <v>610</v>
      </c>
      <c r="F1271" s="84" t="s">
        <v>350</v>
      </c>
      <c r="G1271" s="87">
        <f>'прил 5,'!G2094</f>
        <v>0</v>
      </c>
      <c r="H1271" s="85">
        <v>0</v>
      </c>
      <c r="I1271" s="85">
        <v>0</v>
      </c>
      <c r="P1271" s="126"/>
      <c r="Q1271" s="126"/>
      <c r="R1271" s="126"/>
      <c r="S1271" s="126"/>
      <c r="T1271" s="126"/>
    </row>
    <row r="1272" spans="1:20" s="90" customFormat="1" ht="81" hidden="1" customHeight="1">
      <c r="A1272" s="37" t="s">
        <v>715</v>
      </c>
      <c r="B1272" s="83">
        <v>795</v>
      </c>
      <c r="C1272" s="84" t="s">
        <v>173</v>
      </c>
      <c r="D1272" s="84" t="s">
        <v>173</v>
      </c>
      <c r="E1272" s="84" t="s">
        <v>722</v>
      </c>
      <c r="F1272" s="84"/>
      <c r="G1272" s="87">
        <f>G1273</f>
        <v>0</v>
      </c>
      <c r="H1272" s="85">
        <v>0</v>
      </c>
      <c r="I1272" s="85">
        <v>0</v>
      </c>
      <c r="P1272" s="126"/>
      <c r="Q1272" s="126"/>
      <c r="R1272" s="126"/>
      <c r="S1272" s="126"/>
      <c r="T1272" s="126"/>
    </row>
    <row r="1273" spans="1:20" s="90" customFormat="1" ht="21" hidden="1" customHeight="1">
      <c r="A1273" s="82" t="s">
        <v>156</v>
      </c>
      <c r="B1273" s="83">
        <v>795</v>
      </c>
      <c r="C1273" s="84" t="s">
        <v>173</v>
      </c>
      <c r="D1273" s="84" t="s">
        <v>173</v>
      </c>
      <c r="E1273" s="84" t="s">
        <v>722</v>
      </c>
      <c r="F1273" s="84" t="s">
        <v>157</v>
      </c>
      <c r="G1273" s="87">
        <f>G1274</f>
        <v>0</v>
      </c>
      <c r="H1273" s="85">
        <v>0</v>
      </c>
      <c r="I1273" s="85">
        <v>0</v>
      </c>
      <c r="P1273" s="126"/>
      <c r="Q1273" s="126"/>
      <c r="R1273" s="126"/>
      <c r="S1273" s="126"/>
      <c r="T1273" s="126"/>
    </row>
    <row r="1274" spans="1:20" s="90" customFormat="1" ht="24" hidden="1" customHeight="1">
      <c r="A1274" s="82" t="s">
        <v>170</v>
      </c>
      <c r="B1274" s="83">
        <v>795</v>
      </c>
      <c r="C1274" s="84" t="s">
        <v>173</v>
      </c>
      <c r="D1274" s="84" t="s">
        <v>173</v>
      </c>
      <c r="E1274" s="84" t="s">
        <v>722</v>
      </c>
      <c r="F1274" s="84" t="s">
        <v>171</v>
      </c>
      <c r="G1274" s="87">
        <f>'прил 5,'!G2080</f>
        <v>0</v>
      </c>
      <c r="H1274" s="85">
        <v>0</v>
      </c>
      <c r="I1274" s="85">
        <v>0</v>
      </c>
      <c r="P1274" s="126"/>
      <c r="Q1274" s="126"/>
      <c r="R1274" s="126"/>
      <c r="S1274" s="126"/>
      <c r="T1274" s="126"/>
    </row>
    <row r="1275" spans="1:20" s="90" customFormat="1" ht="39.75" hidden="1" customHeight="1">
      <c r="A1275" s="139" t="s">
        <v>586</v>
      </c>
      <c r="B1275" s="83">
        <v>795</v>
      </c>
      <c r="C1275" s="84" t="s">
        <v>173</v>
      </c>
      <c r="D1275" s="84" t="s">
        <v>173</v>
      </c>
      <c r="E1275" s="84" t="s">
        <v>610</v>
      </c>
      <c r="F1275" s="84"/>
      <c r="G1275" s="87">
        <f>G1276+G1278</f>
        <v>0</v>
      </c>
      <c r="H1275" s="87">
        <f t="shared" ref="H1275:I1275" si="361">H1276+H1278</f>
        <v>0</v>
      </c>
      <c r="I1275" s="87">
        <f t="shared" si="361"/>
        <v>0</v>
      </c>
      <c r="P1275" s="126"/>
      <c r="Q1275" s="126"/>
      <c r="R1275" s="126"/>
      <c r="S1275" s="126"/>
      <c r="T1275" s="126"/>
    </row>
    <row r="1276" spans="1:20" s="90" customFormat="1" ht="27" hidden="1" customHeight="1">
      <c r="A1276" s="82" t="s">
        <v>96</v>
      </c>
      <c r="B1276" s="83">
        <v>795</v>
      </c>
      <c r="C1276" s="84" t="s">
        <v>173</v>
      </c>
      <c r="D1276" s="84" t="s">
        <v>173</v>
      </c>
      <c r="E1276" s="84" t="s">
        <v>610</v>
      </c>
      <c r="F1276" s="84" t="s">
        <v>348</v>
      </c>
      <c r="G1276" s="87">
        <f>G1277</f>
        <v>0</v>
      </c>
      <c r="H1276" s="85">
        <f>H1277</f>
        <v>0</v>
      </c>
      <c r="I1276" s="85">
        <v>0</v>
      </c>
      <c r="P1276" s="126"/>
      <c r="Q1276" s="126"/>
      <c r="R1276" s="126"/>
      <c r="S1276" s="126"/>
      <c r="T1276" s="126"/>
    </row>
    <row r="1277" spans="1:20" s="90" customFormat="1" ht="24" hidden="1" customHeight="1">
      <c r="A1277" s="82" t="s">
        <v>349</v>
      </c>
      <c r="B1277" s="83">
        <v>795</v>
      </c>
      <c r="C1277" s="84" t="s">
        <v>173</v>
      </c>
      <c r="D1277" s="84" t="s">
        <v>173</v>
      </c>
      <c r="E1277" s="84" t="s">
        <v>610</v>
      </c>
      <c r="F1277" s="84" t="s">
        <v>350</v>
      </c>
      <c r="G1277" s="87">
        <f>'прил 5,'!G2092</f>
        <v>0</v>
      </c>
      <c r="H1277" s="85">
        <f>'прил 5,'!H2092</f>
        <v>0</v>
      </c>
      <c r="I1277" s="85">
        <f>'прил 5,'!I2092</f>
        <v>0</v>
      </c>
      <c r="P1277" s="126"/>
      <c r="Q1277" s="126"/>
      <c r="R1277" s="126"/>
      <c r="S1277" s="126"/>
      <c r="T1277" s="126"/>
    </row>
    <row r="1278" spans="1:20" s="90" customFormat="1" ht="17.25" hidden="1" customHeight="1">
      <c r="A1278" s="82" t="s">
        <v>156</v>
      </c>
      <c r="B1278" s="83">
        <v>795</v>
      </c>
      <c r="C1278" s="84" t="s">
        <v>173</v>
      </c>
      <c r="D1278" s="84" t="s">
        <v>173</v>
      </c>
      <c r="E1278" s="84" t="s">
        <v>610</v>
      </c>
      <c r="F1278" s="84" t="s">
        <v>157</v>
      </c>
      <c r="G1278" s="87">
        <f>G1279</f>
        <v>0</v>
      </c>
      <c r="H1278" s="85"/>
      <c r="I1278" s="85"/>
      <c r="P1278" s="126"/>
      <c r="Q1278" s="126"/>
      <c r="R1278" s="126"/>
      <c r="S1278" s="126"/>
      <c r="T1278" s="126"/>
    </row>
    <row r="1279" spans="1:20" s="90" customFormat="1" ht="21" hidden="1" customHeight="1">
      <c r="A1279" s="82" t="s">
        <v>170</v>
      </c>
      <c r="B1279" s="83">
        <v>795</v>
      </c>
      <c r="C1279" s="84" t="s">
        <v>173</v>
      </c>
      <c r="D1279" s="84" t="s">
        <v>173</v>
      </c>
      <c r="E1279" s="84" t="s">
        <v>610</v>
      </c>
      <c r="F1279" s="84" t="s">
        <v>171</v>
      </c>
      <c r="G1279" s="87"/>
      <c r="H1279" s="85"/>
      <c r="I1279" s="85"/>
      <c r="P1279" s="126"/>
      <c r="Q1279" s="126"/>
      <c r="R1279" s="126"/>
      <c r="S1279" s="126"/>
      <c r="T1279" s="126"/>
    </row>
    <row r="1280" spans="1:20" s="90" customFormat="1" ht="25.5" hidden="1" customHeight="1">
      <c r="A1280" s="139" t="s">
        <v>627</v>
      </c>
      <c r="B1280" s="83">
        <v>795</v>
      </c>
      <c r="C1280" s="84" t="s">
        <v>173</v>
      </c>
      <c r="D1280" s="84" t="s">
        <v>173</v>
      </c>
      <c r="E1280" s="84" t="s">
        <v>624</v>
      </c>
      <c r="F1280" s="84"/>
      <c r="G1280" s="87">
        <f>G1281</f>
        <v>0</v>
      </c>
      <c r="H1280" s="85">
        <v>0</v>
      </c>
      <c r="I1280" s="85">
        <v>0</v>
      </c>
      <c r="P1280" s="126"/>
      <c r="Q1280" s="126"/>
      <c r="R1280" s="126"/>
      <c r="S1280" s="126"/>
      <c r="T1280" s="126"/>
    </row>
    <row r="1281" spans="1:20" s="90" customFormat="1" ht="39.75" hidden="1" customHeight="1">
      <c r="A1281" s="139" t="s">
        <v>626</v>
      </c>
      <c r="B1281" s="83">
        <v>795</v>
      </c>
      <c r="C1281" s="84" t="s">
        <v>173</v>
      </c>
      <c r="D1281" s="84" t="s">
        <v>173</v>
      </c>
      <c r="E1281" s="84" t="s">
        <v>625</v>
      </c>
      <c r="F1281" s="84"/>
      <c r="G1281" s="87">
        <f>G1282</f>
        <v>0</v>
      </c>
      <c r="H1281" s="85">
        <v>0</v>
      </c>
      <c r="I1281" s="85">
        <v>0</v>
      </c>
      <c r="P1281" s="126"/>
      <c r="Q1281" s="126"/>
      <c r="R1281" s="126"/>
      <c r="S1281" s="126"/>
      <c r="T1281" s="126"/>
    </row>
    <row r="1282" spans="1:20" s="90" customFormat="1" ht="30.75" hidden="1" customHeight="1">
      <c r="A1282" s="82" t="s">
        <v>96</v>
      </c>
      <c r="B1282" s="83">
        <v>795</v>
      </c>
      <c r="C1282" s="84" t="s">
        <v>173</v>
      </c>
      <c r="D1282" s="84" t="s">
        <v>173</v>
      </c>
      <c r="E1282" s="84" t="s">
        <v>625</v>
      </c>
      <c r="F1282" s="84" t="s">
        <v>348</v>
      </c>
      <c r="G1282" s="87">
        <f>G1283</f>
        <v>0</v>
      </c>
      <c r="H1282" s="85">
        <v>0</v>
      </c>
      <c r="I1282" s="85">
        <v>0</v>
      </c>
      <c r="P1282" s="126"/>
      <c r="Q1282" s="126"/>
      <c r="R1282" s="126"/>
      <c r="S1282" s="126"/>
      <c r="T1282" s="126"/>
    </row>
    <row r="1283" spans="1:20" s="90" customFormat="1" ht="30.75" hidden="1" customHeight="1">
      <c r="A1283" s="82" t="s">
        <v>349</v>
      </c>
      <c r="B1283" s="83">
        <v>795</v>
      </c>
      <c r="C1283" s="84" t="s">
        <v>173</v>
      </c>
      <c r="D1283" s="84" t="s">
        <v>173</v>
      </c>
      <c r="E1283" s="84" t="s">
        <v>625</v>
      </c>
      <c r="F1283" s="84" t="s">
        <v>350</v>
      </c>
      <c r="G1283" s="87">
        <f>'прил 5,'!G2084</f>
        <v>0</v>
      </c>
      <c r="H1283" s="85">
        <v>0</v>
      </c>
      <c r="I1283" s="85">
        <v>0</v>
      </c>
      <c r="P1283" s="126"/>
      <c r="Q1283" s="126"/>
      <c r="R1283" s="126"/>
      <c r="S1283" s="126"/>
      <c r="T1283" s="126"/>
    </row>
    <row r="1284" spans="1:20" s="90" customFormat="1" ht="66" hidden="1" customHeight="1">
      <c r="A1284" s="82" t="s">
        <v>825</v>
      </c>
      <c r="B1284" s="83">
        <v>795</v>
      </c>
      <c r="C1284" s="84" t="s">
        <v>173</v>
      </c>
      <c r="D1284" s="84" t="s">
        <v>28</v>
      </c>
      <c r="E1284" s="84" t="s">
        <v>721</v>
      </c>
      <c r="F1284" s="84"/>
      <c r="G1284" s="87">
        <f>G1285+G1287</f>
        <v>0</v>
      </c>
      <c r="H1284" s="87">
        <f t="shared" ref="G1284:I1285" si="362">H1285</f>
        <v>0</v>
      </c>
      <c r="I1284" s="87">
        <f t="shared" si="362"/>
        <v>0</v>
      </c>
      <c r="P1284" s="126"/>
      <c r="Q1284" s="126"/>
      <c r="R1284" s="126"/>
      <c r="S1284" s="126"/>
      <c r="T1284" s="126"/>
    </row>
    <row r="1285" spans="1:20" s="90" customFormat="1" ht="34.5" hidden="1" customHeight="1">
      <c r="A1285" s="82" t="s">
        <v>36</v>
      </c>
      <c r="B1285" s="83">
        <v>795</v>
      </c>
      <c r="C1285" s="84" t="s">
        <v>173</v>
      </c>
      <c r="D1285" s="84" t="s">
        <v>28</v>
      </c>
      <c r="E1285" s="84" t="s">
        <v>721</v>
      </c>
      <c r="F1285" s="84" t="s">
        <v>348</v>
      </c>
      <c r="G1285" s="87">
        <f t="shared" si="362"/>
        <v>0</v>
      </c>
      <c r="H1285" s="87">
        <f t="shared" si="362"/>
        <v>0</v>
      </c>
      <c r="I1285" s="87">
        <f t="shared" si="362"/>
        <v>0</v>
      </c>
      <c r="P1285" s="126"/>
      <c r="Q1285" s="126"/>
      <c r="R1285" s="126"/>
      <c r="S1285" s="126"/>
      <c r="T1285" s="126"/>
    </row>
    <row r="1286" spans="1:20" ht="34.5" hidden="1" customHeight="1">
      <c r="A1286" s="16" t="s">
        <v>38</v>
      </c>
      <c r="B1286" s="49">
        <v>795</v>
      </c>
      <c r="C1286" s="15" t="s">
        <v>173</v>
      </c>
      <c r="D1286" s="15" t="s">
        <v>28</v>
      </c>
      <c r="E1286" s="15" t="s">
        <v>721</v>
      </c>
      <c r="F1286" s="15" t="s">
        <v>350</v>
      </c>
      <c r="G1286" s="70">
        <f>'прил 5,'!G2006</f>
        <v>0</v>
      </c>
      <c r="H1286" s="70">
        <f>832780-832780</f>
        <v>0</v>
      </c>
      <c r="I1286" s="70">
        <v>0</v>
      </c>
      <c r="J1286" s="1"/>
    </row>
    <row r="1287" spans="1:20" ht="18" hidden="1" customHeight="1">
      <c r="A1287" s="82" t="s">
        <v>156</v>
      </c>
      <c r="B1287" s="49">
        <v>795</v>
      </c>
      <c r="C1287" s="15" t="s">
        <v>173</v>
      </c>
      <c r="D1287" s="15" t="s">
        <v>28</v>
      </c>
      <c r="E1287" s="15" t="s">
        <v>721</v>
      </c>
      <c r="F1287" s="84" t="s">
        <v>157</v>
      </c>
      <c r="G1287" s="70">
        <f>G1288</f>
        <v>0</v>
      </c>
      <c r="H1287" s="70">
        <f>H1288</f>
        <v>0</v>
      </c>
      <c r="I1287" s="70">
        <f>I1288</f>
        <v>0</v>
      </c>
      <c r="J1287" s="1"/>
    </row>
    <row r="1288" spans="1:20" ht="18" hidden="1" customHeight="1">
      <c r="A1288" s="82" t="s">
        <v>178</v>
      </c>
      <c r="B1288" s="49">
        <v>795</v>
      </c>
      <c r="C1288" s="15" t="s">
        <v>173</v>
      </c>
      <c r="D1288" s="15" t="s">
        <v>28</v>
      </c>
      <c r="E1288" s="15" t="s">
        <v>721</v>
      </c>
      <c r="F1288" s="84" t="s">
        <v>179</v>
      </c>
      <c r="G1288" s="70"/>
      <c r="H1288" s="70"/>
      <c r="I1288" s="70"/>
      <c r="J1288" s="1"/>
    </row>
    <row r="1289" spans="1:20" ht="44.25" hidden="1" customHeight="1">
      <c r="A1289" s="82" t="s">
        <v>813</v>
      </c>
      <c r="B1289" s="49">
        <v>795</v>
      </c>
      <c r="C1289" s="15" t="s">
        <v>173</v>
      </c>
      <c r="D1289" s="15" t="s">
        <v>28</v>
      </c>
      <c r="E1289" s="15" t="s">
        <v>812</v>
      </c>
      <c r="F1289" s="15"/>
      <c r="G1289" s="70">
        <f t="shared" ref="G1289:I1290" si="363">G1290</f>
        <v>0</v>
      </c>
      <c r="H1289" s="70">
        <f t="shared" si="363"/>
        <v>0</v>
      </c>
      <c r="I1289" s="70">
        <f t="shared" si="363"/>
        <v>0</v>
      </c>
      <c r="J1289" s="1"/>
    </row>
    <row r="1290" spans="1:20" ht="34.5" hidden="1" customHeight="1">
      <c r="A1290" s="82" t="s">
        <v>36</v>
      </c>
      <c r="B1290" s="49">
        <v>795</v>
      </c>
      <c r="C1290" s="15" t="s">
        <v>173</v>
      </c>
      <c r="D1290" s="15" t="s">
        <v>28</v>
      </c>
      <c r="E1290" s="15" t="s">
        <v>812</v>
      </c>
      <c r="F1290" s="15" t="s">
        <v>348</v>
      </c>
      <c r="G1290" s="70">
        <f t="shared" si="363"/>
        <v>0</v>
      </c>
      <c r="H1290" s="70">
        <f t="shared" si="363"/>
        <v>0</v>
      </c>
      <c r="I1290" s="70">
        <f t="shared" si="363"/>
        <v>0</v>
      </c>
      <c r="J1290" s="1"/>
    </row>
    <row r="1291" spans="1:20" ht="34.5" hidden="1" customHeight="1">
      <c r="A1291" s="16" t="s">
        <v>38</v>
      </c>
      <c r="B1291" s="49">
        <v>795</v>
      </c>
      <c r="C1291" s="15" t="s">
        <v>173</v>
      </c>
      <c r="D1291" s="15" t="s">
        <v>28</v>
      </c>
      <c r="E1291" s="15" t="s">
        <v>812</v>
      </c>
      <c r="F1291" s="15" t="s">
        <v>350</v>
      </c>
      <c r="G1291" s="70"/>
      <c r="H1291" s="70"/>
      <c r="I1291" s="70"/>
      <c r="J1291" s="1"/>
    </row>
    <row r="1292" spans="1:20" ht="44.25" hidden="1" customHeight="1">
      <c r="A1292" s="82" t="s">
        <v>815</v>
      </c>
      <c r="B1292" s="49">
        <v>795</v>
      </c>
      <c r="C1292" s="15" t="s">
        <v>173</v>
      </c>
      <c r="D1292" s="15" t="s">
        <v>28</v>
      </c>
      <c r="E1292" s="15" t="s">
        <v>814</v>
      </c>
      <c r="F1292" s="15"/>
      <c r="G1292" s="70">
        <f t="shared" ref="G1292:I1293" si="364">G1293</f>
        <v>0</v>
      </c>
      <c r="H1292" s="70">
        <f t="shared" si="364"/>
        <v>0</v>
      </c>
      <c r="I1292" s="70">
        <f t="shared" si="364"/>
        <v>0</v>
      </c>
      <c r="J1292" s="1"/>
    </row>
    <row r="1293" spans="1:20" ht="34.5" hidden="1" customHeight="1">
      <c r="A1293" s="82" t="s">
        <v>36</v>
      </c>
      <c r="B1293" s="49">
        <v>795</v>
      </c>
      <c r="C1293" s="15" t="s">
        <v>173</v>
      </c>
      <c r="D1293" s="15" t="s">
        <v>28</v>
      </c>
      <c r="E1293" s="15" t="s">
        <v>814</v>
      </c>
      <c r="F1293" s="15" t="s">
        <v>348</v>
      </c>
      <c r="G1293" s="70">
        <f t="shared" si="364"/>
        <v>0</v>
      </c>
      <c r="H1293" s="70">
        <f t="shared" si="364"/>
        <v>0</v>
      </c>
      <c r="I1293" s="70">
        <f t="shared" si="364"/>
        <v>0</v>
      </c>
      <c r="J1293" s="1"/>
    </row>
    <row r="1294" spans="1:20" ht="34.5" hidden="1" customHeight="1">
      <c r="A1294" s="16" t="s">
        <v>38</v>
      </c>
      <c r="B1294" s="49">
        <v>795</v>
      </c>
      <c r="C1294" s="15" t="s">
        <v>173</v>
      </c>
      <c r="D1294" s="15" t="s">
        <v>28</v>
      </c>
      <c r="E1294" s="15" t="s">
        <v>814</v>
      </c>
      <c r="F1294" s="15" t="s">
        <v>350</v>
      </c>
      <c r="G1294" s="70"/>
      <c r="H1294" s="70"/>
      <c r="I1294" s="70"/>
      <c r="J1294" s="1"/>
    </row>
    <row r="1295" spans="1:20" ht="44.25" hidden="1" customHeight="1">
      <c r="A1295" s="82" t="s">
        <v>817</v>
      </c>
      <c r="B1295" s="49">
        <v>795</v>
      </c>
      <c r="C1295" s="15" t="s">
        <v>173</v>
      </c>
      <c r="D1295" s="15" t="s">
        <v>28</v>
      </c>
      <c r="E1295" s="15" t="s">
        <v>816</v>
      </c>
      <c r="F1295" s="15"/>
      <c r="G1295" s="70">
        <f t="shared" ref="G1295:I1296" si="365">G1296</f>
        <v>0</v>
      </c>
      <c r="H1295" s="70">
        <f t="shared" si="365"/>
        <v>0</v>
      </c>
      <c r="I1295" s="70">
        <f t="shared" si="365"/>
        <v>0</v>
      </c>
      <c r="J1295" s="1"/>
    </row>
    <row r="1296" spans="1:20" ht="34.5" hidden="1" customHeight="1">
      <c r="A1296" s="82" t="s">
        <v>36</v>
      </c>
      <c r="B1296" s="49">
        <v>795</v>
      </c>
      <c r="C1296" s="15" t="s">
        <v>173</v>
      </c>
      <c r="D1296" s="15" t="s">
        <v>28</v>
      </c>
      <c r="E1296" s="15" t="s">
        <v>816</v>
      </c>
      <c r="F1296" s="15" t="s">
        <v>348</v>
      </c>
      <c r="G1296" s="70">
        <f t="shared" si="365"/>
        <v>0</v>
      </c>
      <c r="H1296" s="70">
        <f t="shared" si="365"/>
        <v>0</v>
      </c>
      <c r="I1296" s="70">
        <f t="shared" si="365"/>
        <v>0</v>
      </c>
      <c r="J1296" s="1"/>
    </row>
    <row r="1297" spans="1:20" ht="34.5" hidden="1" customHeight="1">
      <c r="A1297" s="16" t="s">
        <v>38</v>
      </c>
      <c r="B1297" s="49">
        <v>795</v>
      </c>
      <c r="C1297" s="15" t="s">
        <v>173</v>
      </c>
      <c r="D1297" s="15" t="s">
        <v>28</v>
      </c>
      <c r="E1297" s="15" t="s">
        <v>816</v>
      </c>
      <c r="F1297" s="15" t="s">
        <v>350</v>
      </c>
      <c r="G1297" s="70">
        <f>'прил 5,'!G2000</f>
        <v>0</v>
      </c>
      <c r="H1297" s="70">
        <f>832780-832780</f>
        <v>0</v>
      </c>
      <c r="I1297" s="70">
        <v>0</v>
      </c>
      <c r="J1297" s="1"/>
    </row>
    <row r="1298" spans="1:20" ht="57" hidden="1" customHeight="1">
      <c r="A1298" s="82" t="s">
        <v>819</v>
      </c>
      <c r="B1298" s="49">
        <v>795</v>
      </c>
      <c r="C1298" s="15" t="s">
        <v>173</v>
      </c>
      <c r="D1298" s="15" t="s">
        <v>28</v>
      </c>
      <c r="E1298" s="15" t="s">
        <v>818</v>
      </c>
      <c r="F1298" s="15"/>
      <c r="G1298" s="70">
        <f t="shared" ref="G1298:I1299" si="366">G1299</f>
        <v>0</v>
      </c>
      <c r="H1298" s="70">
        <f t="shared" si="366"/>
        <v>0</v>
      </c>
      <c r="I1298" s="70">
        <f t="shared" si="366"/>
        <v>0</v>
      </c>
      <c r="J1298" s="1"/>
    </row>
    <row r="1299" spans="1:20" ht="34.5" hidden="1" customHeight="1">
      <c r="A1299" s="82" t="s">
        <v>36</v>
      </c>
      <c r="B1299" s="49">
        <v>795</v>
      </c>
      <c r="C1299" s="15" t="s">
        <v>173</v>
      </c>
      <c r="D1299" s="15" t="s">
        <v>28</v>
      </c>
      <c r="E1299" s="15" t="s">
        <v>818</v>
      </c>
      <c r="F1299" s="15" t="s">
        <v>348</v>
      </c>
      <c r="G1299" s="70">
        <f t="shared" si="366"/>
        <v>0</v>
      </c>
      <c r="H1299" s="70">
        <f t="shared" si="366"/>
        <v>0</v>
      </c>
      <c r="I1299" s="70">
        <f t="shared" si="366"/>
        <v>0</v>
      </c>
      <c r="J1299" s="1"/>
    </row>
    <row r="1300" spans="1:20" ht="34.5" hidden="1" customHeight="1">
      <c r="A1300" s="16" t="s">
        <v>38</v>
      </c>
      <c r="B1300" s="49">
        <v>795</v>
      </c>
      <c r="C1300" s="15" t="s">
        <v>173</v>
      </c>
      <c r="D1300" s="15" t="s">
        <v>28</v>
      </c>
      <c r="E1300" s="15" t="s">
        <v>818</v>
      </c>
      <c r="F1300" s="15" t="s">
        <v>350</v>
      </c>
      <c r="G1300" s="70"/>
      <c r="H1300" s="70"/>
      <c r="I1300" s="70"/>
      <c r="J1300" s="1"/>
    </row>
    <row r="1301" spans="1:20" s="18" customFormat="1" ht="63" hidden="1" customHeight="1">
      <c r="A1301" s="82" t="s">
        <v>81</v>
      </c>
      <c r="B1301" s="49">
        <v>793</v>
      </c>
      <c r="C1301" s="15" t="s">
        <v>173</v>
      </c>
      <c r="D1301" s="15" t="s">
        <v>19</v>
      </c>
      <c r="E1301" s="15" t="s">
        <v>80</v>
      </c>
      <c r="F1301" s="15"/>
      <c r="G1301" s="70">
        <f t="shared" ref="G1301:I1302" si="367">G1302</f>
        <v>0</v>
      </c>
      <c r="H1301" s="70">
        <f t="shared" si="367"/>
        <v>0</v>
      </c>
      <c r="I1301" s="70">
        <f t="shared" si="367"/>
        <v>0</v>
      </c>
      <c r="P1301" s="17"/>
      <c r="Q1301" s="17"/>
      <c r="R1301" s="17"/>
      <c r="S1301" s="17"/>
      <c r="T1301" s="17"/>
    </row>
    <row r="1302" spans="1:20" ht="30.75" hidden="1" customHeight="1">
      <c r="A1302" s="16" t="s">
        <v>36</v>
      </c>
      <c r="B1302" s="49">
        <v>793</v>
      </c>
      <c r="C1302" s="15" t="s">
        <v>173</v>
      </c>
      <c r="D1302" s="15" t="s">
        <v>19</v>
      </c>
      <c r="E1302" s="15" t="s">
        <v>80</v>
      </c>
      <c r="F1302" s="15" t="s">
        <v>37</v>
      </c>
      <c r="G1302" s="70">
        <f t="shared" si="367"/>
        <v>0</v>
      </c>
      <c r="H1302" s="70">
        <f t="shared" si="367"/>
        <v>0</v>
      </c>
      <c r="I1302" s="70">
        <f t="shared" si="367"/>
        <v>0</v>
      </c>
      <c r="J1302" s="1"/>
    </row>
    <row r="1303" spans="1:20" s="18" customFormat="1" ht="34.5" hidden="1" customHeight="1">
      <c r="A1303" s="16" t="s">
        <v>38</v>
      </c>
      <c r="B1303" s="49">
        <v>793</v>
      </c>
      <c r="C1303" s="15" t="s">
        <v>173</v>
      </c>
      <c r="D1303" s="15" t="s">
        <v>19</v>
      </c>
      <c r="E1303" s="15" t="s">
        <v>80</v>
      </c>
      <c r="F1303" s="15" t="s">
        <v>39</v>
      </c>
      <c r="G1303" s="70"/>
      <c r="H1303" s="70"/>
      <c r="I1303" s="70"/>
      <c r="P1303" s="17"/>
      <c r="Q1303" s="17"/>
      <c r="R1303" s="17"/>
      <c r="S1303" s="17"/>
      <c r="T1303" s="17"/>
    </row>
    <row r="1304" spans="1:20" s="18" customFormat="1" ht="20.25" hidden="1" customHeight="1">
      <c r="A1304" s="16" t="s">
        <v>83</v>
      </c>
      <c r="B1304" s="49">
        <v>793</v>
      </c>
      <c r="C1304" s="15" t="s">
        <v>173</v>
      </c>
      <c r="D1304" s="15" t="s">
        <v>19</v>
      </c>
      <c r="E1304" s="15" t="s">
        <v>82</v>
      </c>
      <c r="F1304" s="15"/>
      <c r="G1304" s="70">
        <f t="shared" ref="G1304:I1305" si="368">G1305</f>
        <v>0</v>
      </c>
      <c r="H1304" s="70">
        <f t="shared" si="368"/>
        <v>0</v>
      </c>
      <c r="I1304" s="70">
        <f t="shared" si="368"/>
        <v>0</v>
      </c>
      <c r="P1304" s="17"/>
      <c r="Q1304" s="17"/>
      <c r="R1304" s="17"/>
      <c r="S1304" s="17"/>
      <c r="T1304" s="17"/>
    </row>
    <row r="1305" spans="1:20" ht="30.75" hidden="1" customHeight="1">
      <c r="A1305" s="16" t="s">
        <v>36</v>
      </c>
      <c r="B1305" s="49">
        <v>793</v>
      </c>
      <c r="C1305" s="15" t="s">
        <v>173</v>
      </c>
      <c r="D1305" s="15" t="s">
        <v>19</v>
      </c>
      <c r="E1305" s="15" t="s">
        <v>82</v>
      </c>
      <c r="F1305" s="15" t="s">
        <v>37</v>
      </c>
      <c r="G1305" s="70">
        <f t="shared" si="368"/>
        <v>0</v>
      </c>
      <c r="H1305" s="70">
        <f t="shared" si="368"/>
        <v>0</v>
      </c>
      <c r="I1305" s="70">
        <f t="shared" si="368"/>
        <v>0</v>
      </c>
      <c r="J1305" s="1"/>
    </row>
    <row r="1306" spans="1:20" s="18" customFormat="1" ht="34.5" hidden="1" customHeight="1">
      <c r="A1306" s="16" t="s">
        <v>38</v>
      </c>
      <c r="B1306" s="49">
        <v>793</v>
      </c>
      <c r="C1306" s="15" t="s">
        <v>173</v>
      </c>
      <c r="D1306" s="15" t="s">
        <v>19</v>
      </c>
      <c r="E1306" s="15" t="s">
        <v>82</v>
      </c>
      <c r="F1306" s="15" t="s">
        <v>39</v>
      </c>
      <c r="G1306" s="70"/>
      <c r="H1306" s="70"/>
      <c r="I1306" s="70"/>
      <c r="P1306" s="17"/>
      <c r="Q1306" s="17"/>
      <c r="R1306" s="17"/>
      <c r="S1306" s="17"/>
      <c r="T1306" s="17"/>
    </row>
    <row r="1307" spans="1:20" s="18" customFormat="1" ht="20.25" hidden="1" customHeight="1">
      <c r="A1307" s="16" t="s">
        <v>85</v>
      </c>
      <c r="B1307" s="49">
        <v>793</v>
      </c>
      <c r="C1307" s="15" t="s">
        <v>173</v>
      </c>
      <c r="D1307" s="15" t="s">
        <v>19</v>
      </c>
      <c r="E1307" s="15" t="s">
        <v>84</v>
      </c>
      <c r="F1307" s="15"/>
      <c r="G1307" s="70">
        <f t="shared" ref="G1307:I1308" si="369">G1308</f>
        <v>0</v>
      </c>
      <c r="H1307" s="70">
        <f t="shared" si="369"/>
        <v>0</v>
      </c>
      <c r="I1307" s="70">
        <f t="shared" si="369"/>
        <v>0</v>
      </c>
      <c r="P1307" s="17"/>
      <c r="Q1307" s="17"/>
      <c r="R1307" s="17"/>
      <c r="S1307" s="17"/>
      <c r="T1307" s="17"/>
    </row>
    <row r="1308" spans="1:20" ht="30.75" hidden="1" customHeight="1">
      <c r="A1308" s="16" t="s">
        <v>36</v>
      </c>
      <c r="B1308" s="49">
        <v>793</v>
      </c>
      <c r="C1308" s="15" t="s">
        <v>173</v>
      </c>
      <c r="D1308" s="15" t="s">
        <v>19</v>
      </c>
      <c r="E1308" s="15" t="s">
        <v>84</v>
      </c>
      <c r="F1308" s="15" t="s">
        <v>37</v>
      </c>
      <c r="G1308" s="70">
        <f t="shared" si="369"/>
        <v>0</v>
      </c>
      <c r="H1308" s="70">
        <f t="shared" si="369"/>
        <v>0</v>
      </c>
      <c r="I1308" s="70">
        <f t="shared" si="369"/>
        <v>0</v>
      </c>
      <c r="J1308" s="1"/>
    </row>
    <row r="1309" spans="1:20" s="18" customFormat="1" ht="34.5" hidden="1" customHeight="1">
      <c r="A1309" s="16" t="s">
        <v>38</v>
      </c>
      <c r="B1309" s="49">
        <v>793</v>
      </c>
      <c r="C1309" s="15" t="s">
        <v>173</v>
      </c>
      <c r="D1309" s="15" t="s">
        <v>19</v>
      </c>
      <c r="E1309" s="15" t="s">
        <v>84</v>
      </c>
      <c r="F1309" s="15" t="s">
        <v>39</v>
      </c>
      <c r="G1309" s="70"/>
      <c r="H1309" s="70"/>
      <c r="I1309" s="70"/>
      <c r="P1309" s="17"/>
      <c r="Q1309" s="17"/>
      <c r="R1309" s="17"/>
      <c r="S1309" s="17"/>
      <c r="T1309" s="17"/>
    </row>
    <row r="1310" spans="1:20" ht="73.5" customHeight="1">
      <c r="A1310" s="37" t="s">
        <v>715</v>
      </c>
      <c r="B1310" s="49">
        <v>793</v>
      </c>
      <c r="C1310" s="15" t="s">
        <v>173</v>
      </c>
      <c r="D1310" s="15" t="s">
        <v>173</v>
      </c>
      <c r="E1310" s="15" t="s">
        <v>722</v>
      </c>
      <c r="F1310" s="15"/>
      <c r="G1310" s="70">
        <f>G1311</f>
        <v>2017013.5199999996</v>
      </c>
      <c r="H1310" s="8">
        <v>0</v>
      </c>
      <c r="I1310" s="8">
        <v>0</v>
      </c>
      <c r="J1310" s="178"/>
      <c r="K1310" s="186"/>
      <c r="L1310" s="186"/>
      <c r="M1310" s="186"/>
      <c r="N1310" s="186"/>
      <c r="O1310" s="186"/>
      <c r="P1310" s="186"/>
      <c r="Q1310" s="186"/>
      <c r="R1310" s="186"/>
      <c r="S1310" s="1"/>
      <c r="T1310" s="1"/>
    </row>
    <row r="1311" spans="1:20" ht="21" customHeight="1">
      <c r="A1311" s="82" t="s">
        <v>156</v>
      </c>
      <c r="B1311" s="49">
        <v>793</v>
      </c>
      <c r="C1311" s="15" t="s">
        <v>173</v>
      </c>
      <c r="D1311" s="15" t="s">
        <v>173</v>
      </c>
      <c r="E1311" s="15" t="s">
        <v>722</v>
      </c>
      <c r="F1311" s="15" t="s">
        <v>157</v>
      </c>
      <c r="G1311" s="70">
        <f>G1312</f>
        <v>2017013.5199999996</v>
      </c>
      <c r="H1311" s="8">
        <v>0</v>
      </c>
      <c r="I1311" s="8">
        <v>0</v>
      </c>
      <c r="J1311" s="178"/>
      <c r="K1311" s="186"/>
      <c r="L1311" s="186"/>
      <c r="M1311" s="186"/>
      <c r="N1311" s="186"/>
      <c r="O1311" s="186"/>
      <c r="P1311" s="186"/>
      <c r="Q1311" s="186"/>
      <c r="R1311" s="186"/>
      <c r="S1311" s="1"/>
      <c r="T1311" s="1"/>
    </row>
    <row r="1312" spans="1:20" ht="20.25" customHeight="1">
      <c r="A1312" s="82" t="s">
        <v>178</v>
      </c>
      <c r="B1312" s="49">
        <v>793</v>
      </c>
      <c r="C1312" s="15" t="s">
        <v>173</v>
      </c>
      <c r="D1312" s="15" t="s">
        <v>173</v>
      </c>
      <c r="E1312" s="15" t="s">
        <v>722</v>
      </c>
      <c r="F1312" s="15" t="s">
        <v>179</v>
      </c>
      <c r="G1312" s="87">
        <f>'прил 5,'!G1629</f>
        <v>2017013.5199999996</v>
      </c>
      <c r="H1312" s="8">
        <v>0</v>
      </c>
      <c r="I1312" s="8">
        <v>0</v>
      </c>
      <c r="J1312" s="178"/>
      <c r="K1312" s="186"/>
      <c r="L1312" s="186"/>
      <c r="M1312" s="186"/>
      <c r="N1312" s="186"/>
      <c r="O1312" s="186"/>
      <c r="P1312" s="186"/>
      <c r="Q1312" s="186"/>
      <c r="R1312" s="186"/>
      <c r="S1312" s="1"/>
      <c r="T1312" s="1"/>
    </row>
    <row r="1313" spans="1:20" ht="25.5" hidden="1" customHeight="1">
      <c r="A1313" s="37" t="s">
        <v>627</v>
      </c>
      <c r="B1313" s="49">
        <v>793</v>
      </c>
      <c r="C1313" s="15" t="s">
        <v>173</v>
      </c>
      <c r="D1313" s="15" t="s">
        <v>173</v>
      </c>
      <c r="E1313" s="15" t="s">
        <v>624</v>
      </c>
      <c r="F1313" s="15"/>
      <c r="G1313" s="87">
        <f>G1314</f>
        <v>0</v>
      </c>
      <c r="H1313" s="8">
        <v>0</v>
      </c>
      <c r="I1313" s="8">
        <v>0</v>
      </c>
      <c r="J1313" s="178"/>
      <c r="K1313" s="186"/>
      <c r="L1313" s="186"/>
      <c r="M1313" s="186"/>
      <c r="N1313" s="186"/>
      <c r="O1313" s="186"/>
      <c r="P1313" s="186"/>
      <c r="Q1313" s="186"/>
      <c r="R1313" s="186"/>
      <c r="S1313" s="1"/>
      <c r="T1313" s="1"/>
    </row>
    <row r="1314" spans="1:20" ht="39.75" hidden="1" customHeight="1">
      <c r="A1314" s="37" t="s">
        <v>626</v>
      </c>
      <c r="B1314" s="49">
        <v>793</v>
      </c>
      <c r="C1314" s="15" t="s">
        <v>173</v>
      </c>
      <c r="D1314" s="15" t="s">
        <v>173</v>
      </c>
      <c r="E1314" s="15" t="s">
        <v>625</v>
      </c>
      <c r="F1314" s="15"/>
      <c r="G1314" s="87">
        <f>G1315</f>
        <v>0</v>
      </c>
      <c r="H1314" s="8">
        <v>0</v>
      </c>
      <c r="I1314" s="8">
        <v>0</v>
      </c>
      <c r="J1314" s="178"/>
      <c r="K1314" s="186"/>
      <c r="L1314" s="186"/>
      <c r="M1314" s="186"/>
      <c r="N1314" s="186"/>
      <c r="O1314" s="186"/>
      <c r="P1314" s="186"/>
      <c r="Q1314" s="186"/>
      <c r="R1314" s="186"/>
      <c r="S1314" s="1"/>
      <c r="T1314" s="1"/>
    </row>
    <row r="1315" spans="1:20" ht="30.75" hidden="1" customHeight="1">
      <c r="A1315" s="16" t="s">
        <v>96</v>
      </c>
      <c r="B1315" s="49">
        <v>793</v>
      </c>
      <c r="C1315" s="15" t="s">
        <v>173</v>
      </c>
      <c r="D1315" s="15" t="s">
        <v>173</v>
      </c>
      <c r="E1315" s="15" t="s">
        <v>625</v>
      </c>
      <c r="F1315" s="15" t="s">
        <v>348</v>
      </c>
      <c r="G1315" s="87">
        <f>G1316</f>
        <v>0</v>
      </c>
      <c r="H1315" s="8">
        <v>0</v>
      </c>
      <c r="I1315" s="8">
        <v>0</v>
      </c>
      <c r="J1315" s="178"/>
      <c r="K1315" s="186"/>
      <c r="L1315" s="186"/>
      <c r="M1315" s="186"/>
      <c r="N1315" s="186"/>
      <c r="O1315" s="186"/>
      <c r="P1315" s="186"/>
      <c r="Q1315" s="186"/>
      <c r="R1315" s="186"/>
      <c r="S1315" s="1"/>
      <c r="T1315" s="1"/>
    </row>
    <row r="1316" spans="1:20" ht="30.75" hidden="1" customHeight="1">
      <c r="A1316" s="16" t="s">
        <v>349</v>
      </c>
      <c r="B1316" s="49">
        <v>793</v>
      </c>
      <c r="C1316" s="15" t="s">
        <v>173</v>
      </c>
      <c r="D1316" s="15" t="s">
        <v>173</v>
      </c>
      <c r="E1316" s="15" t="s">
        <v>625</v>
      </c>
      <c r="F1316" s="15" t="s">
        <v>350</v>
      </c>
      <c r="G1316" s="87"/>
      <c r="H1316" s="8">
        <v>0</v>
      </c>
      <c r="I1316" s="8">
        <v>0</v>
      </c>
      <c r="J1316" s="178"/>
      <c r="K1316" s="186"/>
      <c r="L1316" s="186"/>
      <c r="M1316" s="186"/>
      <c r="N1316" s="186"/>
      <c r="O1316" s="186"/>
      <c r="P1316" s="186"/>
      <c r="Q1316" s="186"/>
      <c r="R1316" s="186"/>
      <c r="S1316" s="1"/>
      <c r="T1316" s="1"/>
    </row>
    <row r="1317" spans="1:20" ht="55.5" hidden="1" customHeight="1">
      <c r="A1317" s="139" t="s">
        <v>740</v>
      </c>
      <c r="B1317" s="49">
        <v>793</v>
      </c>
      <c r="C1317" s="15" t="s">
        <v>173</v>
      </c>
      <c r="D1317" s="15" t="s">
        <v>173</v>
      </c>
      <c r="E1317" s="15" t="s">
        <v>724</v>
      </c>
      <c r="F1317" s="15"/>
      <c r="G1317" s="87">
        <f>G1318+G1320</f>
        <v>0</v>
      </c>
      <c r="H1317" s="70">
        <f t="shared" ref="H1317:I1317" si="370">H1318+H1320</f>
        <v>0</v>
      </c>
      <c r="I1317" s="70">
        <f t="shared" si="370"/>
        <v>0</v>
      </c>
      <c r="J1317" s="177"/>
      <c r="K1317" s="186"/>
      <c r="L1317" s="186"/>
      <c r="M1317" s="186"/>
      <c r="N1317" s="186"/>
      <c r="O1317" s="186"/>
      <c r="P1317" s="186"/>
      <c r="Q1317" s="186"/>
      <c r="R1317" s="186"/>
      <c r="S1317" s="1"/>
      <c r="T1317" s="1"/>
    </row>
    <row r="1318" spans="1:20" ht="27" hidden="1" customHeight="1">
      <c r="A1318" s="16" t="s">
        <v>96</v>
      </c>
      <c r="B1318" s="49">
        <v>793</v>
      </c>
      <c r="C1318" s="15" t="s">
        <v>173</v>
      </c>
      <c r="D1318" s="15" t="s">
        <v>173</v>
      </c>
      <c r="E1318" s="15" t="s">
        <v>610</v>
      </c>
      <c r="F1318" s="15" t="s">
        <v>348</v>
      </c>
      <c r="G1318" s="87">
        <f>G1319</f>
        <v>0</v>
      </c>
      <c r="H1318" s="8">
        <f>H1319</f>
        <v>0</v>
      </c>
      <c r="I1318" s="8">
        <v>0</v>
      </c>
      <c r="J1318" s="178"/>
      <c r="K1318" s="186"/>
      <c r="L1318" s="186"/>
      <c r="M1318" s="186"/>
      <c r="N1318" s="186"/>
      <c r="O1318" s="186"/>
      <c r="P1318" s="186"/>
      <c r="Q1318" s="186"/>
      <c r="R1318" s="186"/>
      <c r="S1318" s="1"/>
      <c r="T1318" s="1"/>
    </row>
    <row r="1319" spans="1:20" ht="18.75" hidden="1" customHeight="1">
      <c r="A1319" s="82" t="s">
        <v>349</v>
      </c>
      <c r="B1319" s="49">
        <v>793</v>
      </c>
      <c r="C1319" s="15" t="s">
        <v>173</v>
      </c>
      <c r="D1319" s="15" t="s">
        <v>173</v>
      </c>
      <c r="E1319" s="15" t="s">
        <v>610</v>
      </c>
      <c r="F1319" s="15" t="s">
        <v>350</v>
      </c>
      <c r="G1319" s="87"/>
      <c r="H1319" s="8"/>
      <c r="I1319" s="8">
        <v>0</v>
      </c>
      <c r="J1319" s="178"/>
      <c r="K1319" s="186"/>
      <c r="L1319" s="186"/>
      <c r="M1319" s="186"/>
      <c r="N1319" s="186"/>
      <c r="O1319" s="186"/>
      <c r="P1319" s="186"/>
      <c r="Q1319" s="186"/>
      <c r="R1319" s="186"/>
      <c r="S1319" s="1"/>
      <c r="T1319" s="1"/>
    </row>
    <row r="1320" spans="1:20" ht="39.75" hidden="1" customHeight="1">
      <c r="A1320" s="82" t="s">
        <v>36</v>
      </c>
      <c r="B1320" s="49">
        <v>793</v>
      </c>
      <c r="C1320" s="15" t="s">
        <v>173</v>
      </c>
      <c r="D1320" s="15" t="s">
        <v>173</v>
      </c>
      <c r="E1320" s="15" t="s">
        <v>725</v>
      </c>
      <c r="F1320" s="15" t="s">
        <v>348</v>
      </c>
      <c r="G1320" s="87">
        <f>G1321</f>
        <v>0</v>
      </c>
      <c r="H1320" s="8"/>
      <c r="I1320" s="8"/>
      <c r="J1320" s="178"/>
      <c r="K1320" s="186"/>
      <c r="L1320" s="186"/>
      <c r="M1320" s="186"/>
      <c r="N1320" s="186"/>
      <c r="O1320" s="186"/>
      <c r="P1320" s="186"/>
      <c r="Q1320" s="186"/>
      <c r="R1320" s="186"/>
      <c r="S1320" s="1"/>
      <c r="T1320" s="1"/>
    </row>
    <row r="1321" spans="1:20" ht="39" hidden="1" customHeight="1">
      <c r="A1321" s="16" t="s">
        <v>38</v>
      </c>
      <c r="B1321" s="49">
        <v>793</v>
      </c>
      <c r="C1321" s="15" t="s">
        <v>173</v>
      </c>
      <c r="D1321" s="15" t="s">
        <v>173</v>
      </c>
      <c r="E1321" s="15" t="s">
        <v>724</v>
      </c>
      <c r="F1321" s="15" t="s">
        <v>350</v>
      </c>
      <c r="G1321" s="87">
        <f>358104.72+400000-758104.72</f>
        <v>0</v>
      </c>
      <c r="H1321" s="8"/>
      <c r="I1321" s="8"/>
      <c r="J1321" s="178"/>
      <c r="K1321" s="186"/>
      <c r="L1321" s="186"/>
      <c r="M1321" s="186"/>
      <c r="N1321" s="186"/>
      <c r="O1321" s="186"/>
      <c r="P1321" s="186"/>
      <c r="Q1321" s="186"/>
      <c r="R1321" s="186"/>
      <c r="S1321" s="1"/>
      <c r="T1321" s="1"/>
    </row>
    <row r="1322" spans="1:20" ht="57" hidden="1" customHeight="1">
      <c r="A1322" s="37" t="s">
        <v>740</v>
      </c>
      <c r="B1322" s="49">
        <v>793</v>
      </c>
      <c r="C1322" s="15" t="s">
        <v>173</v>
      </c>
      <c r="D1322" s="15" t="s">
        <v>173</v>
      </c>
      <c r="E1322" s="15" t="s">
        <v>610</v>
      </c>
      <c r="F1322" s="15"/>
      <c r="G1322" s="87">
        <f>G1323+G1325</f>
        <v>0</v>
      </c>
      <c r="H1322" s="70">
        <f t="shared" ref="H1322:I1322" si="371">H1323+H1325</f>
        <v>0</v>
      </c>
      <c r="I1322" s="70">
        <f t="shared" si="371"/>
        <v>0</v>
      </c>
      <c r="J1322" s="177"/>
      <c r="K1322" s="186"/>
      <c r="L1322" s="186"/>
      <c r="M1322" s="186"/>
      <c r="N1322" s="186"/>
      <c r="O1322" s="186"/>
      <c r="P1322" s="186"/>
      <c r="Q1322" s="186"/>
      <c r="R1322" s="186"/>
      <c r="S1322" s="1"/>
      <c r="T1322" s="1"/>
    </row>
    <row r="1323" spans="1:20" ht="27" hidden="1" customHeight="1">
      <c r="A1323" s="16" t="s">
        <v>96</v>
      </c>
      <c r="B1323" s="49">
        <v>793</v>
      </c>
      <c r="C1323" s="15" t="s">
        <v>173</v>
      </c>
      <c r="D1323" s="15" t="s">
        <v>173</v>
      </c>
      <c r="E1323" s="15" t="s">
        <v>610</v>
      </c>
      <c r="F1323" s="15" t="s">
        <v>348</v>
      </c>
      <c r="G1323" s="87">
        <f>G1324</f>
        <v>0</v>
      </c>
      <c r="H1323" s="8">
        <f>H1324</f>
        <v>0</v>
      </c>
      <c r="I1323" s="8">
        <v>0</v>
      </c>
      <c r="J1323" s="178"/>
      <c r="K1323" s="186"/>
      <c r="L1323" s="186"/>
      <c r="M1323" s="186"/>
      <c r="N1323" s="186"/>
      <c r="O1323" s="186"/>
      <c r="P1323" s="186"/>
      <c r="Q1323" s="186"/>
      <c r="R1323" s="186"/>
      <c r="S1323" s="1"/>
      <c r="T1323" s="1"/>
    </row>
    <row r="1324" spans="1:20" ht="18.75" hidden="1" customHeight="1">
      <c r="A1324" s="82" t="s">
        <v>349</v>
      </c>
      <c r="B1324" s="49">
        <v>793</v>
      </c>
      <c r="C1324" s="15" t="s">
        <v>173</v>
      </c>
      <c r="D1324" s="15" t="s">
        <v>173</v>
      </c>
      <c r="E1324" s="15" t="s">
        <v>610</v>
      </c>
      <c r="F1324" s="15" t="s">
        <v>350</v>
      </c>
      <c r="G1324" s="87"/>
      <c r="H1324" s="8"/>
      <c r="I1324" s="8">
        <v>0</v>
      </c>
      <c r="J1324" s="178"/>
      <c r="K1324" s="186"/>
      <c r="L1324" s="186"/>
      <c r="M1324" s="186"/>
      <c r="N1324" s="186"/>
      <c r="O1324" s="186"/>
      <c r="P1324" s="186"/>
      <c r="Q1324" s="186"/>
      <c r="R1324" s="186"/>
      <c r="S1324" s="1"/>
      <c r="T1324" s="1"/>
    </row>
    <row r="1325" spans="1:20" ht="30" hidden="1" customHeight="1">
      <c r="A1325" s="82" t="s">
        <v>36</v>
      </c>
      <c r="B1325" s="49">
        <v>793</v>
      </c>
      <c r="C1325" s="15" t="s">
        <v>173</v>
      </c>
      <c r="D1325" s="15" t="s">
        <v>173</v>
      </c>
      <c r="E1325" s="15" t="s">
        <v>610</v>
      </c>
      <c r="F1325" s="15" t="s">
        <v>348</v>
      </c>
      <c r="G1325" s="87">
        <f>G1326</f>
        <v>0</v>
      </c>
      <c r="H1325" s="8">
        <v>0</v>
      </c>
      <c r="I1325" s="8">
        <v>0</v>
      </c>
      <c r="J1325" s="178"/>
      <c r="K1325" s="186"/>
      <c r="L1325" s="186"/>
      <c r="M1325" s="186"/>
      <c r="N1325" s="186"/>
      <c r="O1325" s="186"/>
      <c r="P1325" s="186"/>
      <c r="Q1325" s="186"/>
      <c r="R1325" s="186"/>
      <c r="S1325" s="1"/>
      <c r="T1325" s="1"/>
    </row>
    <row r="1326" spans="1:20" ht="30.75" hidden="1" customHeight="1">
      <c r="A1326" s="16" t="s">
        <v>38</v>
      </c>
      <c r="B1326" s="49">
        <v>793</v>
      </c>
      <c r="C1326" s="15" t="s">
        <v>173</v>
      </c>
      <c r="D1326" s="15" t="s">
        <v>173</v>
      </c>
      <c r="E1326" s="15" t="s">
        <v>610</v>
      </c>
      <c r="F1326" s="15" t="s">
        <v>350</v>
      </c>
      <c r="G1326" s="87"/>
      <c r="H1326" s="8"/>
      <c r="I1326" s="8"/>
      <c r="J1326" s="178"/>
      <c r="K1326" s="186"/>
      <c r="L1326" s="186"/>
      <c r="M1326" s="186"/>
      <c r="N1326" s="186"/>
      <c r="O1326" s="186"/>
      <c r="P1326" s="186"/>
      <c r="Q1326" s="186"/>
      <c r="R1326" s="186"/>
      <c r="S1326" s="1"/>
      <c r="T1326" s="1"/>
    </row>
    <row r="1327" spans="1:20" s="3" customFormat="1" ht="33.75" hidden="1" customHeight="1">
      <c r="A1327" s="16" t="s">
        <v>509</v>
      </c>
      <c r="B1327" s="49">
        <v>793</v>
      </c>
      <c r="C1327" s="15" t="s">
        <v>173</v>
      </c>
      <c r="D1327" s="15" t="s">
        <v>173</v>
      </c>
      <c r="E1327" s="15" t="s">
        <v>510</v>
      </c>
      <c r="F1327" s="15"/>
      <c r="G1327" s="87">
        <f>G1328</f>
        <v>0</v>
      </c>
      <c r="H1327" s="8">
        <v>0</v>
      </c>
      <c r="I1327" s="8">
        <v>0</v>
      </c>
      <c r="J1327" s="178"/>
      <c r="K1327" s="199"/>
      <c r="L1327" s="199"/>
      <c r="M1327" s="199"/>
      <c r="N1327" s="199"/>
      <c r="O1327" s="199"/>
      <c r="P1327" s="199"/>
      <c r="Q1327" s="199"/>
      <c r="R1327" s="199"/>
    </row>
    <row r="1328" spans="1:20" s="3" customFormat="1" ht="38.25" hidden="1" customHeight="1">
      <c r="A1328" s="16" t="s">
        <v>36</v>
      </c>
      <c r="B1328" s="49">
        <v>793</v>
      </c>
      <c r="C1328" s="15" t="s">
        <v>173</v>
      </c>
      <c r="D1328" s="15" t="s">
        <v>173</v>
      </c>
      <c r="E1328" s="15" t="s">
        <v>510</v>
      </c>
      <c r="F1328" s="15" t="s">
        <v>37</v>
      </c>
      <c r="G1328" s="70">
        <f>G1329</f>
        <v>0</v>
      </c>
      <c r="H1328" s="8">
        <v>0</v>
      </c>
      <c r="I1328" s="8">
        <v>0</v>
      </c>
      <c r="J1328" s="178"/>
      <c r="K1328" s="199"/>
      <c r="L1328" s="199"/>
      <c r="M1328" s="199"/>
      <c r="N1328" s="199"/>
      <c r="O1328" s="199"/>
      <c r="P1328" s="199"/>
      <c r="Q1328" s="199"/>
      <c r="R1328" s="199"/>
    </row>
    <row r="1329" spans="1:20" s="3" customFormat="1" ht="38.25" hidden="1" customHeight="1">
      <c r="A1329" s="16" t="s">
        <v>38</v>
      </c>
      <c r="B1329" s="49">
        <v>793</v>
      </c>
      <c r="C1329" s="15" t="s">
        <v>173</v>
      </c>
      <c r="D1329" s="15" t="s">
        <v>173</v>
      </c>
      <c r="E1329" s="15" t="s">
        <v>510</v>
      </c>
      <c r="F1329" s="15" t="s">
        <v>39</v>
      </c>
      <c r="G1329" s="70"/>
      <c r="H1329" s="8">
        <v>0</v>
      </c>
      <c r="I1329" s="8">
        <v>0</v>
      </c>
      <c r="J1329" s="178"/>
      <c r="K1329" s="199"/>
      <c r="L1329" s="199"/>
      <c r="M1329" s="199"/>
      <c r="N1329" s="199"/>
      <c r="O1329" s="199"/>
      <c r="P1329" s="199"/>
      <c r="Q1329" s="199"/>
      <c r="R1329" s="199"/>
    </row>
    <row r="1330" spans="1:20" ht="85.5" customHeight="1">
      <c r="A1330" s="37" t="s">
        <v>825</v>
      </c>
      <c r="B1330" s="49">
        <v>793</v>
      </c>
      <c r="C1330" s="15" t="s">
        <v>173</v>
      </c>
      <c r="D1330" s="15" t="s">
        <v>173</v>
      </c>
      <c r="E1330" s="15" t="s">
        <v>721</v>
      </c>
      <c r="F1330" s="15"/>
      <c r="G1330" s="70">
        <f>G1331</f>
        <v>675000</v>
      </c>
      <c r="H1330" s="8">
        <v>0</v>
      </c>
      <c r="I1330" s="8">
        <v>0</v>
      </c>
      <c r="J1330" s="178"/>
      <c r="K1330" s="186"/>
      <c r="L1330" s="186"/>
      <c r="M1330" s="186"/>
      <c r="N1330" s="186"/>
      <c r="O1330" s="186"/>
      <c r="P1330" s="186"/>
      <c r="Q1330" s="186"/>
      <c r="R1330" s="186"/>
      <c r="S1330" s="1"/>
      <c r="T1330" s="1"/>
    </row>
    <row r="1331" spans="1:20" ht="21" customHeight="1">
      <c r="A1331" s="82" t="s">
        <v>156</v>
      </c>
      <c r="B1331" s="49">
        <v>793</v>
      </c>
      <c r="C1331" s="15" t="s">
        <v>173</v>
      </c>
      <c r="D1331" s="15" t="s">
        <v>173</v>
      </c>
      <c r="E1331" s="15" t="s">
        <v>721</v>
      </c>
      <c r="F1331" s="15" t="s">
        <v>157</v>
      </c>
      <c r="G1331" s="70">
        <f>G1332</f>
        <v>675000</v>
      </c>
      <c r="H1331" s="8">
        <v>0</v>
      </c>
      <c r="I1331" s="8">
        <v>0</v>
      </c>
      <c r="J1331" s="178"/>
      <c r="K1331" s="186"/>
      <c r="L1331" s="186"/>
      <c r="M1331" s="186"/>
      <c r="N1331" s="186"/>
      <c r="O1331" s="186"/>
      <c r="P1331" s="186"/>
      <c r="Q1331" s="186"/>
      <c r="R1331" s="186"/>
      <c r="S1331" s="1"/>
      <c r="T1331" s="1"/>
    </row>
    <row r="1332" spans="1:20" ht="20.25" customHeight="1">
      <c r="A1332" s="82" t="s">
        <v>178</v>
      </c>
      <c r="B1332" s="49">
        <v>793</v>
      </c>
      <c r="C1332" s="15" t="s">
        <v>173</v>
      </c>
      <c r="D1332" s="15" t="s">
        <v>173</v>
      </c>
      <c r="E1332" s="15" t="s">
        <v>721</v>
      </c>
      <c r="F1332" s="15" t="s">
        <v>179</v>
      </c>
      <c r="G1332" s="87">
        <f>'прил 5,'!G1652</f>
        <v>675000</v>
      </c>
      <c r="H1332" s="8">
        <v>0</v>
      </c>
      <c r="I1332" s="8">
        <v>0</v>
      </c>
      <c r="J1332" s="178"/>
      <c r="K1332" s="186"/>
      <c r="L1332" s="186"/>
      <c r="M1332" s="186"/>
      <c r="N1332" s="186"/>
      <c r="O1332" s="186"/>
      <c r="P1332" s="186"/>
      <c r="Q1332" s="186"/>
      <c r="R1332" s="186"/>
      <c r="S1332" s="1"/>
      <c r="T1332" s="1"/>
    </row>
    <row r="1333" spans="1:20" ht="34.5" customHeight="1">
      <c r="A1333" s="37" t="s">
        <v>1145</v>
      </c>
      <c r="B1333" s="49">
        <v>793</v>
      </c>
      <c r="C1333" s="15" t="s">
        <v>173</v>
      </c>
      <c r="D1333" s="15" t="s">
        <v>173</v>
      </c>
      <c r="E1333" s="15" t="s">
        <v>1144</v>
      </c>
      <c r="F1333" s="15"/>
      <c r="G1333" s="70">
        <f>G1334</f>
        <v>0</v>
      </c>
      <c r="H1333" s="70">
        <f t="shared" ref="H1333:I1334" si="372">H1334</f>
        <v>101000</v>
      </c>
      <c r="I1333" s="70">
        <f t="shared" si="372"/>
        <v>0</v>
      </c>
      <c r="J1333" s="328"/>
      <c r="K1333" s="69"/>
      <c r="L1333" s="69"/>
      <c r="M1333" s="69"/>
      <c r="N1333" s="69"/>
      <c r="O1333" s="69"/>
      <c r="P1333" s="69"/>
      <c r="Q1333" s="69"/>
      <c r="R1333" s="69"/>
      <c r="S1333" s="1"/>
      <c r="T1333" s="1"/>
    </row>
    <row r="1334" spans="1:20" ht="33.75" customHeight="1">
      <c r="A1334" s="16" t="s">
        <v>36</v>
      </c>
      <c r="B1334" s="49">
        <v>793</v>
      </c>
      <c r="C1334" s="15" t="s">
        <v>173</v>
      </c>
      <c r="D1334" s="15" t="s">
        <v>173</v>
      </c>
      <c r="E1334" s="15" t="s">
        <v>1144</v>
      </c>
      <c r="F1334" s="15" t="s">
        <v>37</v>
      </c>
      <c r="G1334" s="70">
        <f>G1335</f>
        <v>0</v>
      </c>
      <c r="H1334" s="70">
        <f t="shared" si="372"/>
        <v>101000</v>
      </c>
      <c r="I1334" s="70">
        <f t="shared" si="372"/>
        <v>0</v>
      </c>
      <c r="J1334" s="328"/>
      <c r="K1334" s="69"/>
      <c r="L1334" s="69"/>
      <c r="M1334" s="69"/>
      <c r="N1334" s="69"/>
      <c r="O1334" s="69"/>
      <c r="P1334" s="69"/>
      <c r="Q1334" s="69"/>
      <c r="R1334" s="69"/>
      <c r="S1334" s="1"/>
      <c r="T1334" s="1"/>
    </row>
    <row r="1335" spans="1:20" ht="36.75" customHeight="1">
      <c r="A1335" s="16" t="s">
        <v>38</v>
      </c>
      <c r="B1335" s="49">
        <v>793</v>
      </c>
      <c r="C1335" s="15" t="s">
        <v>173</v>
      </c>
      <c r="D1335" s="15" t="s">
        <v>173</v>
      </c>
      <c r="E1335" s="15" t="s">
        <v>1144</v>
      </c>
      <c r="F1335" s="15" t="s">
        <v>39</v>
      </c>
      <c r="G1335" s="70"/>
      <c r="H1335" s="70">
        <v>101000</v>
      </c>
      <c r="I1335" s="70"/>
      <c r="J1335" s="328"/>
      <c r="K1335" s="69"/>
      <c r="L1335" s="69"/>
      <c r="M1335" s="69"/>
      <c r="N1335" s="69"/>
      <c r="O1335" s="69"/>
      <c r="P1335" s="69"/>
      <c r="Q1335" s="69"/>
      <c r="R1335" s="69"/>
      <c r="S1335" s="1"/>
      <c r="T1335" s="1"/>
    </row>
    <row r="1336" spans="1:20" ht="67.5" customHeight="1">
      <c r="A1336" s="37" t="s">
        <v>1012</v>
      </c>
      <c r="B1336" s="49">
        <v>793</v>
      </c>
      <c r="C1336" s="15" t="s">
        <v>173</v>
      </c>
      <c r="D1336" s="15" t="s">
        <v>173</v>
      </c>
      <c r="E1336" s="15" t="s">
        <v>610</v>
      </c>
      <c r="F1336" s="15"/>
      <c r="G1336" s="70">
        <f>G1337</f>
        <v>1652729.41</v>
      </c>
      <c r="H1336" s="8">
        <v>0</v>
      </c>
      <c r="I1336" s="8">
        <v>0</v>
      </c>
      <c r="J1336" s="178"/>
      <c r="K1336" s="186"/>
      <c r="L1336" s="186"/>
      <c r="M1336" s="186"/>
      <c r="N1336" s="186"/>
      <c r="O1336" s="186"/>
      <c r="P1336" s="186"/>
      <c r="Q1336" s="186"/>
      <c r="R1336" s="186"/>
      <c r="S1336" s="1"/>
      <c r="T1336" s="1"/>
    </row>
    <row r="1337" spans="1:20" ht="44.25" customHeight="1">
      <c r="A1337" s="82" t="s">
        <v>96</v>
      </c>
      <c r="B1337" s="49">
        <v>793</v>
      </c>
      <c r="C1337" s="15" t="s">
        <v>173</v>
      </c>
      <c r="D1337" s="15" t="s">
        <v>173</v>
      </c>
      <c r="E1337" s="15" t="s">
        <v>610</v>
      </c>
      <c r="F1337" s="15" t="s">
        <v>348</v>
      </c>
      <c r="G1337" s="70">
        <f>G1338</f>
        <v>1652729.41</v>
      </c>
      <c r="H1337" s="8">
        <v>0</v>
      </c>
      <c r="I1337" s="8">
        <v>0</v>
      </c>
      <c r="J1337" s="178"/>
      <c r="K1337" s="186"/>
      <c r="L1337" s="186"/>
      <c r="M1337" s="186"/>
      <c r="N1337" s="186"/>
      <c r="O1337" s="186"/>
      <c r="P1337" s="186"/>
      <c r="Q1337" s="186"/>
      <c r="R1337" s="186"/>
      <c r="S1337" s="1"/>
      <c r="T1337" s="1"/>
    </row>
    <row r="1338" spans="1:20" ht="20.25" customHeight="1">
      <c r="A1338" s="82" t="s">
        <v>349</v>
      </c>
      <c r="B1338" s="49">
        <v>793</v>
      </c>
      <c r="C1338" s="15" t="s">
        <v>173</v>
      </c>
      <c r="D1338" s="15" t="s">
        <v>173</v>
      </c>
      <c r="E1338" s="15" t="s">
        <v>610</v>
      </c>
      <c r="F1338" s="15" t="s">
        <v>350</v>
      </c>
      <c r="G1338" s="87">
        <f>'прил 5,'!G1649</f>
        <v>1652729.41</v>
      </c>
      <c r="H1338" s="8">
        <v>0</v>
      </c>
      <c r="I1338" s="8">
        <v>0</v>
      </c>
      <c r="J1338" s="178"/>
      <c r="K1338" s="186"/>
      <c r="L1338" s="186"/>
      <c r="M1338" s="186"/>
      <c r="N1338" s="186"/>
      <c r="O1338" s="186"/>
      <c r="P1338" s="186"/>
      <c r="Q1338" s="186"/>
      <c r="R1338" s="186"/>
      <c r="S1338" s="1"/>
      <c r="T1338" s="1"/>
    </row>
    <row r="1339" spans="1:20" ht="57" hidden="1" customHeight="1">
      <c r="A1339" s="37" t="s">
        <v>875</v>
      </c>
      <c r="B1339" s="49">
        <v>795</v>
      </c>
      <c r="C1339" s="15" t="s">
        <v>173</v>
      </c>
      <c r="D1339" s="15" t="s">
        <v>173</v>
      </c>
      <c r="E1339" s="15" t="s">
        <v>874</v>
      </c>
      <c r="F1339" s="15"/>
      <c r="G1339" s="87">
        <f>G1340</f>
        <v>0</v>
      </c>
      <c r="H1339" s="87">
        <f t="shared" ref="H1339:I1339" si="373">H1340</f>
        <v>0</v>
      </c>
      <c r="I1339" s="87">
        <f t="shared" si="373"/>
        <v>0</v>
      </c>
      <c r="J1339" s="1"/>
    </row>
    <row r="1340" spans="1:20" ht="27" hidden="1" customHeight="1">
      <c r="A1340" s="82" t="s">
        <v>63</v>
      </c>
      <c r="B1340" s="49">
        <v>795</v>
      </c>
      <c r="C1340" s="15" t="s">
        <v>173</v>
      </c>
      <c r="D1340" s="15" t="s">
        <v>173</v>
      </c>
      <c r="E1340" s="15" t="s">
        <v>874</v>
      </c>
      <c r="F1340" s="15" t="s">
        <v>64</v>
      </c>
      <c r="G1340" s="87">
        <f>G1341</f>
        <v>0</v>
      </c>
      <c r="H1340" s="8">
        <f>H1341</f>
        <v>0</v>
      </c>
      <c r="I1340" s="8">
        <f>I1341</f>
        <v>0</v>
      </c>
      <c r="J1340" s="1"/>
    </row>
    <row r="1341" spans="1:20" ht="18.75" hidden="1" customHeight="1">
      <c r="A1341" s="82" t="s">
        <v>180</v>
      </c>
      <c r="B1341" s="49">
        <v>795</v>
      </c>
      <c r="C1341" s="15" t="s">
        <v>173</v>
      </c>
      <c r="D1341" s="15" t="s">
        <v>173</v>
      </c>
      <c r="E1341" s="15" t="s">
        <v>874</v>
      </c>
      <c r="F1341" s="15" t="s">
        <v>181</v>
      </c>
      <c r="G1341" s="70"/>
      <c r="H1341" s="70">
        <v>0</v>
      </c>
      <c r="I1341" s="70">
        <v>0</v>
      </c>
      <c r="J1341" s="1"/>
    </row>
    <row r="1342" spans="1:20" ht="34.5" customHeight="1">
      <c r="A1342" s="16" t="s">
        <v>894</v>
      </c>
      <c r="B1342" s="14">
        <v>793</v>
      </c>
      <c r="C1342" s="15" t="s">
        <v>173</v>
      </c>
      <c r="D1342" s="15" t="s">
        <v>28</v>
      </c>
      <c r="E1342" s="15" t="s">
        <v>895</v>
      </c>
      <c r="F1342" s="15"/>
      <c r="G1342" s="70">
        <f t="shared" ref="G1342:I1343" si="374">G1343</f>
        <v>3379982.6199999996</v>
      </c>
      <c r="H1342" s="70">
        <f t="shared" si="374"/>
        <v>800000</v>
      </c>
      <c r="I1342" s="70">
        <f t="shared" si="374"/>
        <v>0</v>
      </c>
      <c r="J1342" s="1"/>
      <c r="P1342" s="1"/>
      <c r="Q1342" s="1"/>
      <c r="R1342" s="1"/>
      <c r="S1342" s="1"/>
      <c r="T1342" s="1"/>
    </row>
    <row r="1343" spans="1:20" ht="34.5" customHeight="1">
      <c r="A1343" s="16" t="s">
        <v>36</v>
      </c>
      <c r="B1343" s="14">
        <v>793</v>
      </c>
      <c r="C1343" s="15" t="s">
        <v>173</v>
      </c>
      <c r="D1343" s="15" t="s">
        <v>28</v>
      </c>
      <c r="E1343" s="15" t="s">
        <v>895</v>
      </c>
      <c r="F1343" s="15" t="s">
        <v>37</v>
      </c>
      <c r="G1343" s="70">
        <f t="shared" si="374"/>
        <v>3379982.6199999996</v>
      </c>
      <c r="H1343" s="70">
        <f t="shared" si="374"/>
        <v>800000</v>
      </c>
      <c r="I1343" s="70">
        <f t="shared" si="374"/>
        <v>0</v>
      </c>
      <c r="J1343" s="1"/>
      <c r="P1343" s="1"/>
      <c r="Q1343" s="1"/>
      <c r="R1343" s="1"/>
      <c r="S1343" s="1"/>
      <c r="T1343" s="1"/>
    </row>
    <row r="1344" spans="1:20" ht="34.5" customHeight="1">
      <c r="A1344" s="16" t="s">
        <v>38</v>
      </c>
      <c r="B1344" s="14">
        <v>793</v>
      </c>
      <c r="C1344" s="15" t="s">
        <v>173</v>
      </c>
      <c r="D1344" s="15" t="s">
        <v>28</v>
      </c>
      <c r="E1344" s="15" t="s">
        <v>895</v>
      </c>
      <c r="F1344" s="15" t="s">
        <v>39</v>
      </c>
      <c r="G1344" s="70">
        <f>'прил 5,'!G1577</f>
        <v>3379982.6199999996</v>
      </c>
      <c r="H1344" s="70">
        <f>'прил 5,'!H1579</f>
        <v>800000</v>
      </c>
      <c r="I1344" s="70">
        <v>0</v>
      </c>
      <c r="J1344" s="1"/>
      <c r="P1344" s="1"/>
      <c r="Q1344" s="1"/>
      <c r="R1344" s="1"/>
      <c r="S1344" s="1"/>
      <c r="T1344" s="1"/>
    </row>
    <row r="1345" spans="1:20" s="242" customFormat="1" ht="31.5" customHeight="1">
      <c r="A1345" s="34" t="s">
        <v>486</v>
      </c>
      <c r="B1345" s="36" t="s">
        <v>94</v>
      </c>
      <c r="C1345" s="36" t="s">
        <v>69</v>
      </c>
      <c r="D1345" s="36" t="s">
        <v>19</v>
      </c>
      <c r="E1345" s="36" t="s">
        <v>286</v>
      </c>
      <c r="F1345" s="75"/>
      <c r="G1345" s="71">
        <f>G1346+G1349+G1352+G1358+G1367+G1361+G1364+G1355</f>
        <v>29985812.130000003</v>
      </c>
      <c r="H1345" s="71">
        <f>H1346+H1349+H1352+H1358+H1367+H1361+H1356</f>
        <v>8520019.1400000006</v>
      </c>
      <c r="I1345" s="71">
        <f>I1346+I1349+I1352+I1358+I1367+I1361+I1357</f>
        <v>34520683.240000002</v>
      </c>
      <c r="J1345" s="239" t="s">
        <v>466</v>
      </c>
      <c r="P1345" s="175"/>
      <c r="Q1345" s="239"/>
      <c r="R1345" s="239"/>
      <c r="S1345" s="239"/>
      <c r="T1345" s="239"/>
    </row>
    <row r="1346" spans="1:20" s="43" customFormat="1">
      <c r="A1346" s="16" t="s">
        <v>147</v>
      </c>
      <c r="B1346" s="15" t="s">
        <v>94</v>
      </c>
      <c r="C1346" s="15" t="s">
        <v>69</v>
      </c>
      <c r="D1346" s="15" t="s">
        <v>19</v>
      </c>
      <c r="E1346" s="15" t="s">
        <v>290</v>
      </c>
      <c r="F1346" s="39"/>
      <c r="G1346" s="87">
        <f t="shared" ref="G1346:I1347" si="375">G1347</f>
        <v>437050.85</v>
      </c>
      <c r="H1346" s="87">
        <f t="shared" si="375"/>
        <v>527669</v>
      </c>
      <c r="I1346" s="87">
        <f t="shared" si="375"/>
        <v>529129</v>
      </c>
      <c r="J1346" s="109" t="s">
        <v>490</v>
      </c>
      <c r="P1346" s="109"/>
      <c r="Q1346" s="109"/>
      <c r="R1346" s="109"/>
      <c r="S1346" s="109"/>
      <c r="T1346" s="109"/>
    </row>
    <row r="1347" spans="1:20" s="43" customFormat="1">
      <c r="A1347" s="16" t="s">
        <v>148</v>
      </c>
      <c r="B1347" s="15" t="s">
        <v>94</v>
      </c>
      <c r="C1347" s="15" t="s">
        <v>69</v>
      </c>
      <c r="D1347" s="15" t="s">
        <v>19</v>
      </c>
      <c r="E1347" s="15" t="s">
        <v>290</v>
      </c>
      <c r="F1347" s="15" t="s">
        <v>149</v>
      </c>
      <c r="G1347" s="87">
        <f t="shared" si="375"/>
        <v>437050.85</v>
      </c>
      <c r="H1347" s="87">
        <f t="shared" si="375"/>
        <v>527669</v>
      </c>
      <c r="I1347" s="87">
        <f t="shared" si="375"/>
        <v>529129</v>
      </c>
      <c r="J1347" s="109" t="s">
        <v>491</v>
      </c>
      <c r="P1347" s="109"/>
      <c r="Q1347" s="109"/>
      <c r="R1347" s="109"/>
      <c r="S1347" s="109"/>
      <c r="T1347" s="109"/>
    </row>
    <row r="1348" spans="1:20" s="43" customFormat="1">
      <c r="A1348" s="16" t="s">
        <v>354</v>
      </c>
      <c r="B1348" s="15" t="s">
        <v>94</v>
      </c>
      <c r="C1348" s="15" t="s">
        <v>69</v>
      </c>
      <c r="D1348" s="15" t="s">
        <v>19</v>
      </c>
      <c r="E1348" s="15" t="s">
        <v>290</v>
      </c>
      <c r="F1348" s="15" t="s">
        <v>355</v>
      </c>
      <c r="G1348" s="87">
        <f>'прил 5,'!G1021+'прил 5,'!G1715+'прил 5,'!G1106</f>
        <v>437050.85</v>
      </c>
      <c r="H1348" s="87">
        <f>'прил 5,'!H1021+'прил 5,'!H1715+'прил 5,'!H1106</f>
        <v>527669</v>
      </c>
      <c r="I1348" s="87">
        <f>'прил 5,'!I1021+'прил 5,'!I1715+'прил 5,'!I1106</f>
        <v>529129</v>
      </c>
      <c r="J1348" s="109" t="s">
        <v>492</v>
      </c>
      <c r="P1348" s="109"/>
      <c r="Q1348" s="109"/>
      <c r="R1348" s="109"/>
      <c r="S1348" s="109"/>
      <c r="T1348" s="109"/>
    </row>
    <row r="1349" spans="1:20" s="28" customFormat="1" ht="54" hidden="1" customHeight="1">
      <c r="A1349" s="16" t="s">
        <v>356</v>
      </c>
      <c r="B1349" s="14">
        <v>793</v>
      </c>
      <c r="C1349" s="15" t="s">
        <v>69</v>
      </c>
      <c r="D1349" s="15" t="s">
        <v>70</v>
      </c>
      <c r="E1349" s="15" t="s">
        <v>375</v>
      </c>
      <c r="F1349" s="39"/>
      <c r="G1349" s="87">
        <f t="shared" ref="G1349:I1350" si="376">G1350</f>
        <v>0</v>
      </c>
      <c r="H1349" s="87">
        <f t="shared" si="376"/>
        <v>0</v>
      </c>
      <c r="I1349" s="87">
        <f t="shared" si="376"/>
        <v>0</v>
      </c>
      <c r="J1349" s="109" t="s">
        <v>493</v>
      </c>
      <c r="P1349" s="109"/>
      <c r="Q1349" s="109"/>
      <c r="R1349" s="109"/>
      <c r="S1349" s="109"/>
      <c r="T1349" s="109"/>
    </row>
    <row r="1350" spans="1:20" s="28" customFormat="1" ht="27" hidden="1" customHeight="1">
      <c r="A1350" s="16" t="s">
        <v>63</v>
      </c>
      <c r="B1350" s="14">
        <v>793</v>
      </c>
      <c r="C1350" s="15" t="s">
        <v>69</v>
      </c>
      <c r="D1350" s="15" t="s">
        <v>70</v>
      </c>
      <c r="E1350" s="15" t="s">
        <v>375</v>
      </c>
      <c r="F1350" s="15" t="s">
        <v>64</v>
      </c>
      <c r="G1350" s="87">
        <f t="shared" si="376"/>
        <v>0</v>
      </c>
      <c r="H1350" s="87">
        <f t="shared" si="376"/>
        <v>0</v>
      </c>
      <c r="I1350" s="87">
        <f t="shared" si="376"/>
        <v>0</v>
      </c>
      <c r="J1350" s="109">
        <v>10872600</v>
      </c>
      <c r="P1350" s="109"/>
      <c r="Q1350" s="109"/>
      <c r="R1350" s="109"/>
      <c r="S1350" s="109"/>
      <c r="T1350" s="109"/>
    </row>
    <row r="1351" spans="1:20" ht="38.25" hidden="1">
      <c r="A1351" s="16" t="s">
        <v>340</v>
      </c>
      <c r="B1351" s="14">
        <v>793</v>
      </c>
      <c r="C1351" s="15" t="s">
        <v>69</v>
      </c>
      <c r="D1351" s="15" t="s">
        <v>70</v>
      </c>
      <c r="E1351" s="15" t="s">
        <v>375</v>
      </c>
      <c r="F1351" s="15" t="s">
        <v>341</v>
      </c>
      <c r="G1351" s="87">
        <f>'прил 5,'!G1745</f>
        <v>0</v>
      </c>
      <c r="H1351" s="87">
        <f>'прил 5,'!H1745</f>
        <v>0</v>
      </c>
      <c r="I1351" s="87">
        <f>'прил 5,'!I1745</f>
        <v>0</v>
      </c>
      <c r="J1351" s="2">
        <v>200000</v>
      </c>
    </row>
    <row r="1352" spans="1:20" ht="25.5" customHeight="1">
      <c r="A1352" s="16" t="s">
        <v>663</v>
      </c>
      <c r="B1352" s="14">
        <v>793</v>
      </c>
      <c r="C1352" s="15" t="s">
        <v>69</v>
      </c>
      <c r="D1352" s="15" t="s">
        <v>70</v>
      </c>
      <c r="E1352" s="15" t="s">
        <v>686</v>
      </c>
      <c r="F1352" s="15"/>
      <c r="G1352" s="87">
        <f t="shared" ref="G1352:I1353" si="377">G1353</f>
        <v>280789</v>
      </c>
      <c r="H1352" s="87">
        <f t="shared" si="377"/>
        <v>307174</v>
      </c>
      <c r="I1352" s="87">
        <f t="shared" si="377"/>
        <v>335221</v>
      </c>
      <c r="J1352" s="2">
        <f>J1345+J1346+J1347+J1348+J1349+J1350</f>
        <v>16407672</v>
      </c>
    </row>
    <row r="1353" spans="1:20" ht="25.5" customHeight="1">
      <c r="A1353" s="16" t="s">
        <v>358</v>
      </c>
      <c r="B1353" s="14">
        <v>793</v>
      </c>
      <c r="C1353" s="15" t="s">
        <v>69</v>
      </c>
      <c r="D1353" s="15" t="s">
        <v>70</v>
      </c>
      <c r="E1353" s="15" t="s">
        <v>686</v>
      </c>
      <c r="F1353" s="15" t="s">
        <v>149</v>
      </c>
      <c r="G1353" s="87">
        <f t="shared" si="377"/>
        <v>280789</v>
      </c>
      <c r="H1353" s="87">
        <f t="shared" si="377"/>
        <v>307174</v>
      </c>
      <c r="I1353" s="87">
        <f t="shared" si="377"/>
        <v>335221</v>
      </c>
    </row>
    <row r="1354" spans="1:20" ht="25.5" customHeight="1">
      <c r="A1354" s="16" t="s">
        <v>672</v>
      </c>
      <c r="B1354" s="14">
        <v>793</v>
      </c>
      <c r="C1354" s="15" t="s">
        <v>69</v>
      </c>
      <c r="D1354" s="15" t="s">
        <v>70</v>
      </c>
      <c r="E1354" s="15" t="s">
        <v>686</v>
      </c>
      <c r="F1354" s="15" t="s">
        <v>671</v>
      </c>
      <c r="G1354" s="87">
        <f>'прил 5,'!G1748</f>
        <v>280789</v>
      </c>
      <c r="H1354" s="87">
        <f>'прил 5,'!H1748</f>
        <v>307174</v>
      </c>
      <c r="I1354" s="87">
        <f>'прил 5,'!I1748</f>
        <v>335221</v>
      </c>
    </row>
    <row r="1355" spans="1:20" s="18" customFormat="1">
      <c r="A1355" s="16" t="s">
        <v>1060</v>
      </c>
      <c r="B1355" s="14">
        <v>793</v>
      </c>
      <c r="C1355" s="15" t="s">
        <v>69</v>
      </c>
      <c r="D1355" s="15" t="s">
        <v>70</v>
      </c>
      <c r="E1355" s="15" t="s">
        <v>1059</v>
      </c>
      <c r="F1355" s="15"/>
      <c r="G1355" s="70">
        <f t="shared" ref="G1355:I1355" si="378">G1356</f>
        <v>1763974.1</v>
      </c>
      <c r="H1355" s="70">
        <f t="shared" si="378"/>
        <v>1260000</v>
      </c>
      <c r="I1355" s="70">
        <f t="shared" si="378"/>
        <v>1260000</v>
      </c>
      <c r="J1355" s="177"/>
      <c r="K1355" s="200"/>
      <c r="L1355" s="200"/>
      <c r="M1355" s="200"/>
      <c r="N1355" s="200"/>
      <c r="O1355" s="200"/>
      <c r="P1355" s="200"/>
      <c r="Q1355" s="200"/>
      <c r="R1355" s="200"/>
    </row>
    <row r="1356" spans="1:20" s="18" customFormat="1" ht="10.5" customHeight="1">
      <c r="A1356" s="131" t="s">
        <v>353</v>
      </c>
      <c r="B1356" s="14">
        <v>793</v>
      </c>
      <c r="C1356" s="15" t="s">
        <v>69</v>
      </c>
      <c r="D1356" s="15" t="s">
        <v>70</v>
      </c>
      <c r="E1356" s="15" t="s">
        <v>1059</v>
      </c>
      <c r="F1356" s="15" t="s">
        <v>149</v>
      </c>
      <c r="G1356" s="70">
        <v>1763974.1</v>
      </c>
      <c r="H1356" s="70">
        <v>1260000</v>
      </c>
      <c r="I1356" s="70">
        <v>1260000</v>
      </c>
      <c r="J1356" s="177"/>
      <c r="K1356" s="200"/>
      <c r="L1356" s="200"/>
      <c r="M1356" s="200"/>
      <c r="N1356" s="200"/>
      <c r="O1356" s="200"/>
      <c r="P1356" s="200"/>
      <c r="Q1356" s="200"/>
      <c r="R1356" s="200"/>
    </row>
    <row r="1357" spans="1:20" s="18" customFormat="1" ht="29.25" customHeight="1">
      <c r="A1357" s="16" t="s">
        <v>150</v>
      </c>
      <c r="B1357" s="14">
        <v>793</v>
      </c>
      <c r="C1357" s="15" t="s">
        <v>69</v>
      </c>
      <c r="D1357" s="15" t="s">
        <v>70</v>
      </c>
      <c r="E1357" s="15" t="s">
        <v>1059</v>
      </c>
      <c r="F1357" s="15" t="s">
        <v>151</v>
      </c>
      <c r="G1357" s="70">
        <f>G1356</f>
        <v>1763974.1</v>
      </c>
      <c r="H1357" s="70">
        <f t="shared" ref="H1357:I1357" si="379">H1356</f>
        <v>1260000</v>
      </c>
      <c r="I1357" s="70">
        <f t="shared" si="379"/>
        <v>1260000</v>
      </c>
      <c r="J1357" s="177"/>
      <c r="K1357" s="200"/>
      <c r="L1357" s="200"/>
      <c r="M1357" s="200"/>
      <c r="N1357" s="200"/>
      <c r="O1357" s="200"/>
      <c r="P1357" s="200"/>
      <c r="Q1357" s="200"/>
      <c r="R1357" s="200"/>
    </row>
    <row r="1358" spans="1:20" ht="57" customHeight="1">
      <c r="A1358" s="80" t="s">
        <v>288</v>
      </c>
      <c r="B1358" s="14">
        <v>793</v>
      </c>
      <c r="C1358" s="15" t="s">
        <v>69</v>
      </c>
      <c r="D1358" s="15" t="s">
        <v>54</v>
      </c>
      <c r="E1358" s="15" t="s">
        <v>287</v>
      </c>
      <c r="F1358" s="15"/>
      <c r="G1358" s="87">
        <f>G1359</f>
        <v>5925317.3300000001</v>
      </c>
      <c r="H1358" s="87">
        <f t="shared" ref="H1358:I1358" si="380">H1359</f>
        <v>6237176.1399999997</v>
      </c>
      <c r="I1358" s="87">
        <f t="shared" si="380"/>
        <v>6237176.1399999997</v>
      </c>
    </row>
    <row r="1359" spans="1:20" ht="25.5">
      <c r="A1359" s="16" t="s">
        <v>347</v>
      </c>
      <c r="B1359" s="14">
        <v>793</v>
      </c>
      <c r="C1359" s="15" t="s">
        <v>69</v>
      </c>
      <c r="D1359" s="15" t="s">
        <v>54</v>
      </c>
      <c r="E1359" s="15" t="s">
        <v>287</v>
      </c>
      <c r="F1359" s="15" t="s">
        <v>348</v>
      </c>
      <c r="G1359" s="87">
        <f>G1360</f>
        <v>5925317.3300000001</v>
      </c>
      <c r="H1359" s="87">
        <f>H1360</f>
        <v>6237176.1399999997</v>
      </c>
      <c r="I1359" s="87">
        <f>I1360</f>
        <v>6237176.1399999997</v>
      </c>
      <c r="J1359" s="2">
        <v>78000</v>
      </c>
    </row>
    <row r="1360" spans="1:20">
      <c r="A1360" s="16" t="s">
        <v>349</v>
      </c>
      <c r="B1360" s="14">
        <v>793</v>
      </c>
      <c r="C1360" s="15" t="s">
        <v>69</v>
      </c>
      <c r="D1360" s="15" t="s">
        <v>54</v>
      </c>
      <c r="E1360" s="15" t="s">
        <v>287</v>
      </c>
      <c r="F1360" s="15" t="s">
        <v>350</v>
      </c>
      <c r="G1360" s="87">
        <f>'прил 5,'!G1771</f>
        <v>5925317.3300000001</v>
      </c>
      <c r="H1360" s="87">
        <f>'прил 5,'!H1771</f>
        <v>6237176.1399999997</v>
      </c>
      <c r="I1360" s="87">
        <f>'прил 5,'!I1771</f>
        <v>6237176.1399999997</v>
      </c>
      <c r="J1360" s="2">
        <v>390000</v>
      </c>
    </row>
    <row r="1361" spans="1:20" ht="51">
      <c r="A1361" s="80" t="s">
        <v>289</v>
      </c>
      <c r="B1361" s="14">
        <v>793</v>
      </c>
      <c r="C1361" s="15" t="s">
        <v>69</v>
      </c>
      <c r="D1361" s="15" t="s">
        <v>54</v>
      </c>
      <c r="E1361" s="15" t="s">
        <v>373</v>
      </c>
      <c r="F1361" s="15"/>
      <c r="G1361" s="87">
        <f t="shared" ref="G1361:I1362" si="381">G1362</f>
        <v>14441810.85</v>
      </c>
      <c r="H1361" s="87">
        <f t="shared" si="381"/>
        <v>0</v>
      </c>
      <c r="I1361" s="87">
        <f t="shared" si="381"/>
        <v>25971157.100000001</v>
      </c>
      <c r="J1361" s="2">
        <v>189200</v>
      </c>
    </row>
    <row r="1362" spans="1:20" ht="25.5">
      <c r="A1362" s="16" t="s">
        <v>347</v>
      </c>
      <c r="B1362" s="14">
        <v>793</v>
      </c>
      <c r="C1362" s="15" t="s">
        <v>69</v>
      </c>
      <c r="D1362" s="15" t="s">
        <v>54</v>
      </c>
      <c r="E1362" s="15" t="s">
        <v>373</v>
      </c>
      <c r="F1362" s="15" t="s">
        <v>348</v>
      </c>
      <c r="G1362" s="87">
        <f t="shared" si="381"/>
        <v>14441810.85</v>
      </c>
      <c r="H1362" s="87">
        <f t="shared" si="381"/>
        <v>0</v>
      </c>
      <c r="I1362" s="87">
        <f t="shared" si="381"/>
        <v>25971157.100000001</v>
      </c>
      <c r="J1362" s="2">
        <v>270072</v>
      </c>
    </row>
    <row r="1363" spans="1:20">
      <c r="A1363" s="16" t="s">
        <v>349</v>
      </c>
      <c r="B1363" s="14">
        <v>793</v>
      </c>
      <c r="C1363" s="15" t="s">
        <v>69</v>
      </c>
      <c r="D1363" s="15" t="s">
        <v>54</v>
      </c>
      <c r="E1363" s="15" t="s">
        <v>373</v>
      </c>
      <c r="F1363" s="15" t="s">
        <v>350</v>
      </c>
      <c r="G1363" s="87">
        <f>'прил 5,'!G1774</f>
        <v>14441810.85</v>
      </c>
      <c r="H1363" s="87">
        <f>'прил 5,'!H1774</f>
        <v>0</v>
      </c>
      <c r="I1363" s="87">
        <f>'прил 5,'!I1774</f>
        <v>25971157.100000001</v>
      </c>
      <c r="J1363" s="2">
        <v>4607800</v>
      </c>
    </row>
    <row r="1364" spans="1:20" ht="75.75" customHeight="1">
      <c r="A1364" s="142" t="s">
        <v>1051</v>
      </c>
      <c r="B1364" s="14">
        <v>793</v>
      </c>
      <c r="C1364" s="15" t="s">
        <v>69</v>
      </c>
      <c r="D1364" s="15" t="s">
        <v>54</v>
      </c>
      <c r="E1364" s="15" t="s">
        <v>1043</v>
      </c>
      <c r="F1364" s="15"/>
      <c r="G1364" s="70">
        <f t="shared" ref="G1364:I1365" si="382">G1365</f>
        <v>6948870</v>
      </c>
      <c r="H1364" s="70">
        <f t="shared" si="382"/>
        <v>0</v>
      </c>
      <c r="I1364" s="70">
        <f t="shared" si="382"/>
        <v>25971157.100000001</v>
      </c>
      <c r="J1364" s="177"/>
      <c r="K1364" s="186"/>
      <c r="L1364" s="186"/>
      <c r="M1364" s="186"/>
      <c r="N1364" s="186"/>
      <c r="O1364" s="186"/>
      <c r="P1364" s="186"/>
      <c r="Q1364" s="186"/>
      <c r="R1364" s="186"/>
      <c r="S1364" s="1"/>
      <c r="T1364" s="1"/>
    </row>
    <row r="1365" spans="1:20" ht="25.5">
      <c r="A1365" s="16" t="s">
        <v>347</v>
      </c>
      <c r="B1365" s="14">
        <v>793</v>
      </c>
      <c r="C1365" s="15" t="s">
        <v>69</v>
      </c>
      <c r="D1365" s="15" t="s">
        <v>54</v>
      </c>
      <c r="E1365" s="15" t="s">
        <v>1043</v>
      </c>
      <c r="F1365" s="15" t="s">
        <v>348</v>
      </c>
      <c r="G1365" s="70">
        <f t="shared" si="382"/>
        <v>6948870</v>
      </c>
      <c r="H1365" s="70">
        <f t="shared" si="382"/>
        <v>0</v>
      </c>
      <c r="I1365" s="70">
        <f t="shared" si="382"/>
        <v>25971157.100000001</v>
      </c>
      <c r="J1365" s="177"/>
      <c r="K1365" s="186"/>
      <c r="L1365" s="186"/>
      <c r="M1365" s="186"/>
      <c r="N1365" s="186"/>
      <c r="O1365" s="186"/>
      <c r="P1365" s="186"/>
      <c r="Q1365" s="186"/>
      <c r="R1365" s="186"/>
      <c r="S1365" s="1"/>
      <c r="T1365" s="1"/>
    </row>
    <row r="1366" spans="1:20">
      <c r="A1366" s="16" t="s">
        <v>349</v>
      </c>
      <c r="B1366" s="14">
        <v>793</v>
      </c>
      <c r="C1366" s="15" t="s">
        <v>69</v>
      </c>
      <c r="D1366" s="15" t="s">
        <v>54</v>
      </c>
      <c r="E1366" s="15" t="s">
        <v>1043</v>
      </c>
      <c r="F1366" s="15" t="s">
        <v>350</v>
      </c>
      <c r="G1366" s="70">
        <f>'прил 5,'!G1777</f>
        <v>6948870</v>
      </c>
      <c r="H1366" s="70">
        <v>0</v>
      </c>
      <c r="I1366" s="70">
        <v>25971157.100000001</v>
      </c>
      <c r="J1366" s="177"/>
      <c r="K1366" s="186"/>
      <c r="L1366" s="186"/>
      <c r="M1366" s="186"/>
      <c r="N1366" s="186"/>
      <c r="O1366" s="186"/>
      <c r="P1366" s="186"/>
      <c r="Q1366" s="186"/>
      <c r="R1366" s="186"/>
      <c r="S1366" s="1"/>
      <c r="T1366" s="1"/>
    </row>
    <row r="1367" spans="1:20" s="18" customFormat="1" ht="25.5">
      <c r="A1367" s="16" t="s">
        <v>359</v>
      </c>
      <c r="B1367" s="14">
        <v>793</v>
      </c>
      <c r="C1367" s="15" t="s">
        <v>69</v>
      </c>
      <c r="D1367" s="15" t="s">
        <v>54</v>
      </c>
      <c r="E1367" s="15" t="s">
        <v>291</v>
      </c>
      <c r="F1367" s="15"/>
      <c r="G1367" s="87">
        <f t="shared" ref="G1367:I1368" si="383">G1368</f>
        <v>188000</v>
      </c>
      <c r="H1367" s="87">
        <f t="shared" si="383"/>
        <v>188000</v>
      </c>
      <c r="I1367" s="87">
        <f t="shared" si="383"/>
        <v>188000</v>
      </c>
      <c r="J1367" s="17">
        <v>10872600</v>
      </c>
      <c r="P1367" s="17"/>
      <c r="Q1367" s="17"/>
      <c r="R1367" s="17"/>
      <c r="S1367" s="17"/>
      <c r="T1367" s="17"/>
    </row>
    <row r="1368" spans="1:20" s="18" customFormat="1" ht="25.5">
      <c r="A1368" s="16" t="s">
        <v>357</v>
      </c>
      <c r="B1368" s="14">
        <v>793</v>
      </c>
      <c r="C1368" s="15" t="s">
        <v>69</v>
      </c>
      <c r="D1368" s="15" t="s">
        <v>54</v>
      </c>
      <c r="E1368" s="15" t="s">
        <v>291</v>
      </c>
      <c r="F1368" s="15" t="s">
        <v>149</v>
      </c>
      <c r="G1368" s="87">
        <f t="shared" si="383"/>
        <v>188000</v>
      </c>
      <c r="H1368" s="87">
        <f t="shared" si="383"/>
        <v>188000</v>
      </c>
      <c r="I1368" s="87">
        <f t="shared" si="383"/>
        <v>188000</v>
      </c>
      <c r="J1368" s="17">
        <v>200000</v>
      </c>
      <c r="P1368" s="17"/>
      <c r="Q1368" s="17"/>
      <c r="R1368" s="17"/>
      <c r="S1368" s="17"/>
      <c r="T1368" s="17"/>
    </row>
    <row r="1369" spans="1:20" s="18" customFormat="1">
      <c r="A1369" s="16" t="s">
        <v>354</v>
      </c>
      <c r="B1369" s="14">
        <v>793</v>
      </c>
      <c r="C1369" s="15" t="s">
        <v>69</v>
      </c>
      <c r="D1369" s="15" t="s">
        <v>54</v>
      </c>
      <c r="E1369" s="15" t="s">
        <v>291</v>
      </c>
      <c r="F1369" s="15" t="s">
        <v>355</v>
      </c>
      <c r="G1369" s="87">
        <f>'прил 5,'!G1780</f>
        <v>188000</v>
      </c>
      <c r="H1369" s="87">
        <f>'прил 5,'!H1780</f>
        <v>188000</v>
      </c>
      <c r="I1369" s="87">
        <f>'прил 5,'!I1780</f>
        <v>188000</v>
      </c>
      <c r="J1369" s="17">
        <f>SUM(J1359:J1368)</f>
        <v>16607672</v>
      </c>
      <c r="P1369" s="17"/>
      <c r="Q1369" s="17"/>
      <c r="R1369" s="17"/>
      <c r="S1369" s="17"/>
      <c r="T1369" s="17"/>
    </row>
    <row r="1370" spans="1:20" s="22" customFormat="1" ht="47.25" customHeight="1">
      <c r="A1370" s="34" t="s">
        <v>459</v>
      </c>
      <c r="B1370" s="35">
        <v>793</v>
      </c>
      <c r="C1370" s="36" t="s">
        <v>54</v>
      </c>
      <c r="D1370" s="36" t="s">
        <v>123</v>
      </c>
      <c r="E1370" s="36" t="s">
        <v>458</v>
      </c>
      <c r="F1370" s="36"/>
      <c r="G1370" s="71">
        <f>G1377+G1380</f>
        <v>386370</v>
      </c>
      <c r="H1370" s="71">
        <f t="shared" ref="H1370:I1370" si="384">H1377</f>
        <v>63000</v>
      </c>
      <c r="I1370" s="71">
        <f t="shared" si="384"/>
        <v>63000</v>
      </c>
      <c r="J1370" s="21">
        <v>343551</v>
      </c>
      <c r="P1370" s="21"/>
      <c r="Q1370" s="21"/>
      <c r="R1370" s="21"/>
      <c r="S1370" s="21"/>
      <c r="T1370" s="21"/>
    </row>
    <row r="1371" spans="1:20" ht="91.5" hidden="1" customHeight="1">
      <c r="A1371" s="16" t="s">
        <v>612</v>
      </c>
      <c r="B1371" s="15" t="s">
        <v>94</v>
      </c>
      <c r="C1371" s="15" t="s">
        <v>26</v>
      </c>
      <c r="D1371" s="15" t="s">
        <v>70</v>
      </c>
      <c r="E1371" s="15" t="s">
        <v>611</v>
      </c>
      <c r="F1371" s="15"/>
      <c r="G1371" s="70">
        <f>G1372</f>
        <v>0</v>
      </c>
      <c r="H1371" s="70">
        <f t="shared" ref="H1371:I1372" si="385">H1372</f>
        <v>0</v>
      </c>
      <c r="I1371" s="70">
        <f t="shared" si="385"/>
        <v>0</v>
      </c>
      <c r="J1371" s="1"/>
    </row>
    <row r="1372" spans="1:20" ht="31.5" hidden="1" customHeight="1">
      <c r="A1372" s="16" t="s">
        <v>30</v>
      </c>
      <c r="B1372" s="15" t="s">
        <v>94</v>
      </c>
      <c r="C1372" s="15" t="s">
        <v>26</v>
      </c>
      <c r="D1372" s="15" t="s">
        <v>70</v>
      </c>
      <c r="E1372" s="15" t="s">
        <v>611</v>
      </c>
      <c r="F1372" s="15" t="s">
        <v>31</v>
      </c>
      <c r="G1372" s="70">
        <f>G1373</f>
        <v>0</v>
      </c>
      <c r="H1372" s="70">
        <f t="shared" si="385"/>
        <v>0</v>
      </c>
      <c r="I1372" s="70">
        <f t="shared" si="385"/>
        <v>0</v>
      </c>
      <c r="J1372" s="1"/>
    </row>
    <row r="1373" spans="1:20" ht="17.25" hidden="1" customHeight="1">
      <c r="A1373" s="16" t="s">
        <v>32</v>
      </c>
      <c r="B1373" s="15" t="s">
        <v>94</v>
      </c>
      <c r="C1373" s="15" t="s">
        <v>26</v>
      </c>
      <c r="D1373" s="15" t="s">
        <v>70</v>
      </c>
      <c r="E1373" s="15" t="s">
        <v>611</v>
      </c>
      <c r="F1373" s="15" t="s">
        <v>33</v>
      </c>
      <c r="G1373" s="70">
        <f>'прил 5,'!G876</f>
        <v>0</v>
      </c>
      <c r="H1373" s="103"/>
      <c r="I1373" s="103"/>
      <c r="J1373" s="1"/>
    </row>
    <row r="1374" spans="1:20" s="18" customFormat="1" ht="52.5" hidden="1" customHeight="1">
      <c r="A1374" s="16" t="s">
        <v>744</v>
      </c>
      <c r="B1374" s="15" t="s">
        <v>94</v>
      </c>
      <c r="C1374" s="15" t="s">
        <v>26</v>
      </c>
      <c r="D1374" s="15" t="s">
        <v>28</v>
      </c>
      <c r="E1374" s="15" t="s">
        <v>745</v>
      </c>
      <c r="F1374" s="15"/>
      <c r="G1374" s="70">
        <f>G1375</f>
        <v>0</v>
      </c>
      <c r="H1374" s="70">
        <f t="shared" ref="H1374:I1375" si="386">H1375</f>
        <v>0</v>
      </c>
      <c r="I1374" s="70">
        <f t="shared" si="386"/>
        <v>0</v>
      </c>
      <c r="P1374" s="17"/>
      <c r="Q1374" s="17"/>
      <c r="R1374" s="17"/>
      <c r="S1374" s="17"/>
      <c r="T1374" s="17"/>
    </row>
    <row r="1375" spans="1:20" s="18" customFormat="1" ht="25.5" hidden="1">
      <c r="A1375" s="16" t="s">
        <v>96</v>
      </c>
      <c r="B1375" s="15" t="s">
        <v>94</v>
      </c>
      <c r="C1375" s="15" t="s">
        <v>26</v>
      </c>
      <c r="D1375" s="15" t="s">
        <v>28</v>
      </c>
      <c r="E1375" s="15" t="s">
        <v>745</v>
      </c>
      <c r="F1375" s="15" t="s">
        <v>348</v>
      </c>
      <c r="G1375" s="70">
        <f>G1376</f>
        <v>0</v>
      </c>
      <c r="H1375" s="70">
        <f t="shared" si="386"/>
        <v>0</v>
      </c>
      <c r="I1375" s="70">
        <f t="shared" si="386"/>
        <v>0</v>
      </c>
      <c r="P1375" s="17"/>
      <c r="Q1375" s="17"/>
      <c r="R1375" s="17"/>
      <c r="S1375" s="17"/>
      <c r="T1375" s="17"/>
    </row>
    <row r="1376" spans="1:20" s="18" customFormat="1" ht="105" hidden="1" customHeight="1">
      <c r="A1376" s="50" t="s">
        <v>420</v>
      </c>
      <c r="B1376" s="15" t="s">
        <v>94</v>
      </c>
      <c r="C1376" s="15" t="s">
        <v>26</v>
      </c>
      <c r="D1376" s="15" t="s">
        <v>28</v>
      </c>
      <c r="E1376" s="15" t="s">
        <v>745</v>
      </c>
      <c r="F1376" s="15" t="s">
        <v>419</v>
      </c>
      <c r="G1376" s="70">
        <f>'прил 5,'!G752</f>
        <v>0</v>
      </c>
      <c r="H1376" s="70">
        <v>0</v>
      </c>
      <c r="I1376" s="70">
        <v>0</v>
      </c>
      <c r="P1376" s="17"/>
      <c r="Q1376" s="17"/>
      <c r="R1376" s="17"/>
      <c r="S1376" s="17"/>
      <c r="T1376" s="17"/>
    </row>
    <row r="1377" spans="1:20" ht="33.75" customHeight="1">
      <c r="A1377" s="16" t="s">
        <v>457</v>
      </c>
      <c r="B1377" s="14">
        <v>793</v>
      </c>
      <c r="C1377" s="15" t="s">
        <v>54</v>
      </c>
      <c r="D1377" s="15" t="s">
        <v>123</v>
      </c>
      <c r="E1377" s="15" t="s">
        <v>455</v>
      </c>
      <c r="F1377" s="15"/>
      <c r="G1377" s="70">
        <f>G1378</f>
        <v>22000</v>
      </c>
      <c r="H1377" s="70">
        <f t="shared" ref="H1377:I1377" si="387">H1378</f>
        <v>63000</v>
      </c>
      <c r="I1377" s="70">
        <f t="shared" si="387"/>
        <v>63000</v>
      </c>
      <c r="J1377" s="2">
        <v>63000</v>
      </c>
    </row>
    <row r="1378" spans="1:20" ht="41.25" customHeight="1">
      <c r="A1378" s="16" t="s">
        <v>456</v>
      </c>
      <c r="B1378" s="14">
        <v>793</v>
      </c>
      <c r="C1378" s="15" t="s">
        <v>54</v>
      </c>
      <c r="D1378" s="15" t="s">
        <v>123</v>
      </c>
      <c r="E1378" s="15" t="s">
        <v>455</v>
      </c>
      <c r="F1378" s="15" t="s">
        <v>37</v>
      </c>
      <c r="G1378" s="70">
        <f>G1379</f>
        <v>22000</v>
      </c>
      <c r="H1378" s="70">
        <f t="shared" ref="H1378:I1378" si="388">H1379</f>
        <v>63000</v>
      </c>
      <c r="I1378" s="70">
        <f t="shared" si="388"/>
        <v>63000</v>
      </c>
      <c r="J1378" s="2">
        <f>SUM(J1370:J1377)</f>
        <v>406551</v>
      </c>
    </row>
    <row r="1379" spans="1:20" ht="30.75" customHeight="1">
      <c r="A1379" s="16" t="s">
        <v>38</v>
      </c>
      <c r="B1379" s="14">
        <v>793</v>
      </c>
      <c r="C1379" s="15" t="s">
        <v>54</v>
      </c>
      <c r="D1379" s="15" t="s">
        <v>123</v>
      </c>
      <c r="E1379" s="15" t="s">
        <v>455</v>
      </c>
      <c r="F1379" s="15" t="s">
        <v>39</v>
      </c>
      <c r="G1379" s="70">
        <f>'прил 5,'!G1434</f>
        <v>22000</v>
      </c>
      <c r="H1379" s="70">
        <f>'прил 5,'!H1434+'прил 5,'!H1007</f>
        <v>63000</v>
      </c>
      <c r="I1379" s="70">
        <f>'прил 5,'!I1434+'прил 5,'!I1007</f>
        <v>63000</v>
      </c>
    </row>
    <row r="1380" spans="1:20" ht="30.75" customHeight="1">
      <c r="A1380" s="16" t="s">
        <v>30</v>
      </c>
      <c r="B1380" s="14">
        <v>774</v>
      </c>
      <c r="C1380" s="15" t="s">
        <v>26</v>
      </c>
      <c r="D1380" s="15" t="s">
        <v>70</v>
      </c>
      <c r="E1380" s="15" t="s">
        <v>1035</v>
      </c>
      <c r="F1380" s="15" t="s">
        <v>31</v>
      </c>
      <c r="G1380" s="70">
        <f>G1381</f>
        <v>364370</v>
      </c>
      <c r="H1380" s="70"/>
      <c r="I1380" s="70"/>
      <c r="J1380" s="1"/>
    </row>
    <row r="1381" spans="1:20" ht="30.75" customHeight="1">
      <c r="A1381" s="16" t="s">
        <v>32</v>
      </c>
      <c r="B1381" s="14">
        <v>774</v>
      </c>
      <c r="C1381" s="15" t="s">
        <v>26</v>
      </c>
      <c r="D1381" s="15" t="s">
        <v>70</v>
      </c>
      <c r="E1381" s="15" t="s">
        <v>1035</v>
      </c>
      <c r="F1381" s="15" t="s">
        <v>33</v>
      </c>
      <c r="G1381" s="70">
        <f>'прил 5,'!G921</f>
        <v>364370</v>
      </c>
      <c r="H1381" s="70"/>
      <c r="I1381" s="70"/>
      <c r="J1381" s="1"/>
    </row>
    <row r="1382" spans="1:20" s="22" customFormat="1" ht="36" customHeight="1">
      <c r="A1382" s="34" t="s">
        <v>840</v>
      </c>
      <c r="B1382" s="35">
        <v>793</v>
      </c>
      <c r="C1382" s="36" t="s">
        <v>54</v>
      </c>
      <c r="D1382" s="36" t="s">
        <v>88</v>
      </c>
      <c r="E1382" s="35" t="s">
        <v>841</v>
      </c>
      <c r="F1382" s="35"/>
      <c r="G1382" s="71">
        <f>G1383</f>
        <v>363450</v>
      </c>
      <c r="H1382" s="71">
        <f>H1383</f>
        <v>0</v>
      </c>
      <c r="I1382" s="71">
        <f>I1383</f>
        <v>0</v>
      </c>
      <c r="P1382" s="21"/>
      <c r="Q1382" s="21"/>
      <c r="R1382" s="21"/>
      <c r="S1382" s="21"/>
      <c r="T1382" s="21"/>
    </row>
    <row r="1383" spans="1:20" ht="39" customHeight="1">
      <c r="A1383" s="16" t="s">
        <v>843</v>
      </c>
      <c r="B1383" s="14">
        <v>793</v>
      </c>
      <c r="C1383" s="15" t="s">
        <v>54</v>
      </c>
      <c r="D1383" s="15" t="s">
        <v>88</v>
      </c>
      <c r="E1383" s="14" t="s">
        <v>842</v>
      </c>
      <c r="F1383" s="14"/>
      <c r="G1383" s="70">
        <f>G1384</f>
        <v>363450</v>
      </c>
      <c r="H1383" s="70">
        <f t="shared" ref="H1383:I1383" si="389">H1384</f>
        <v>0</v>
      </c>
      <c r="I1383" s="70">
        <f t="shared" si="389"/>
        <v>0</v>
      </c>
      <c r="J1383" s="1"/>
    </row>
    <row r="1384" spans="1:20" ht="17.25" customHeight="1">
      <c r="A1384" s="16" t="s">
        <v>323</v>
      </c>
      <c r="B1384" s="14">
        <v>793</v>
      </c>
      <c r="C1384" s="15" t="s">
        <v>54</v>
      </c>
      <c r="D1384" s="15" t="s">
        <v>88</v>
      </c>
      <c r="E1384" s="14" t="s">
        <v>842</v>
      </c>
      <c r="F1384" s="14">
        <v>200</v>
      </c>
      <c r="G1384" s="70">
        <f>G1385</f>
        <v>363450</v>
      </c>
      <c r="H1384" s="70">
        <f>H1385</f>
        <v>0</v>
      </c>
      <c r="I1384" s="70">
        <f>I1385</f>
        <v>0</v>
      </c>
      <c r="J1384" s="1"/>
    </row>
    <row r="1385" spans="1:20" ht="27.75" customHeight="1">
      <c r="A1385" s="16" t="s">
        <v>38</v>
      </c>
      <c r="B1385" s="14">
        <v>793</v>
      </c>
      <c r="C1385" s="15" t="s">
        <v>54</v>
      </c>
      <c r="D1385" s="15" t="s">
        <v>88</v>
      </c>
      <c r="E1385" s="14" t="s">
        <v>842</v>
      </c>
      <c r="F1385" s="14">
        <v>240</v>
      </c>
      <c r="G1385" s="70">
        <f>'прил 5,'!G1478</f>
        <v>363450</v>
      </c>
      <c r="H1385" s="70">
        <v>0</v>
      </c>
      <c r="I1385" s="70">
        <v>0</v>
      </c>
      <c r="J1385" s="1"/>
    </row>
    <row r="1386" spans="1:20" s="74" customFormat="1" ht="42" customHeight="1">
      <c r="A1386" s="78" t="s">
        <v>117</v>
      </c>
      <c r="B1386" s="73"/>
      <c r="C1386" s="73"/>
      <c r="D1386" s="73"/>
      <c r="E1386" s="73"/>
      <c r="F1386" s="73"/>
      <c r="G1386" s="243">
        <f>G1414+G1453+G1478+G1487+G1506+G1544+G1400+G1387+G1468+G1500</f>
        <v>91706016.710000008</v>
      </c>
      <c r="H1386" s="243">
        <f>H1414+H1453+H1478+H1487+H1506+H1544+H1400+H1387+H1468</f>
        <v>76035359.75000003</v>
      </c>
      <c r="I1386" s="243">
        <f>I1414+I1453+I1478+I1487+I1506+I1544+I1400+I1387+I1468</f>
        <v>77491791.040000007</v>
      </c>
      <c r="J1386" s="112"/>
      <c r="P1386" s="112"/>
      <c r="Q1386" s="112"/>
      <c r="R1386" s="112"/>
      <c r="S1386" s="112"/>
      <c r="T1386" s="112"/>
    </row>
    <row r="1387" spans="1:20" hidden="1">
      <c r="A1387" s="34"/>
      <c r="B1387" s="35"/>
      <c r="C1387" s="36"/>
      <c r="D1387" s="36"/>
      <c r="E1387" s="36"/>
      <c r="F1387" s="36"/>
      <c r="G1387" s="12"/>
      <c r="H1387" s="12"/>
      <c r="I1387" s="12"/>
      <c r="J1387" s="1"/>
      <c r="L1387" s="2"/>
    </row>
    <row r="1388" spans="1:20" ht="40.5" hidden="1" customHeight="1">
      <c r="A1388" s="16"/>
      <c r="B1388" s="15"/>
      <c r="C1388" s="15"/>
      <c r="D1388" s="15"/>
      <c r="E1388" s="15"/>
      <c r="F1388" s="15"/>
      <c r="G1388" s="8"/>
      <c r="H1388" s="70"/>
      <c r="I1388" s="70"/>
      <c r="J1388" s="1"/>
    </row>
    <row r="1389" spans="1:20" ht="30" hidden="1" customHeight="1">
      <c r="A1389" s="16"/>
      <c r="B1389" s="15"/>
      <c r="C1389" s="15"/>
      <c r="D1389" s="15"/>
      <c r="E1389" s="15"/>
      <c r="F1389" s="15"/>
      <c r="G1389" s="8"/>
      <c r="H1389" s="70"/>
      <c r="I1389" s="70"/>
      <c r="J1389" s="1"/>
    </row>
    <row r="1390" spans="1:20" ht="91.5" hidden="1" customHeight="1">
      <c r="A1390" s="50"/>
      <c r="B1390" s="15"/>
      <c r="C1390" s="15"/>
      <c r="D1390" s="15"/>
      <c r="E1390" s="15"/>
      <c r="F1390" s="15"/>
      <c r="G1390" s="8"/>
      <c r="H1390" s="70"/>
      <c r="I1390" s="70"/>
      <c r="J1390" s="1"/>
    </row>
    <row r="1391" spans="1:20" ht="43.5" hidden="1" customHeight="1">
      <c r="A1391" s="50"/>
      <c r="B1391" s="15"/>
      <c r="C1391" s="15"/>
      <c r="D1391" s="15"/>
      <c r="E1391" s="15"/>
      <c r="F1391" s="15"/>
      <c r="G1391" s="8"/>
      <c r="H1391" s="70"/>
      <c r="I1391" s="70"/>
      <c r="J1391" s="1"/>
    </row>
    <row r="1392" spans="1:20" ht="39.75" hidden="1" customHeight="1">
      <c r="A1392" s="16"/>
      <c r="B1392" s="15"/>
      <c r="C1392" s="15"/>
      <c r="D1392" s="15"/>
      <c r="E1392" s="15"/>
      <c r="F1392" s="15"/>
      <c r="G1392" s="8"/>
      <c r="H1392" s="70"/>
      <c r="I1392" s="70"/>
      <c r="J1392" s="1"/>
    </row>
    <row r="1393" spans="1:20" ht="86.25" hidden="1" customHeight="1">
      <c r="A1393" s="50"/>
      <c r="B1393" s="15"/>
      <c r="C1393" s="15"/>
      <c r="D1393" s="15"/>
      <c r="E1393" s="15"/>
      <c r="F1393" s="15"/>
      <c r="G1393" s="8"/>
      <c r="H1393" s="70"/>
      <c r="I1393" s="70"/>
      <c r="J1393" s="1"/>
    </row>
    <row r="1394" spans="1:20" ht="48" hidden="1" customHeight="1">
      <c r="A1394" s="80"/>
      <c r="B1394" s="14"/>
      <c r="C1394" s="15"/>
      <c r="D1394" s="15"/>
      <c r="E1394" s="15"/>
      <c r="F1394" s="14"/>
      <c r="G1394" s="70"/>
      <c r="H1394" s="70"/>
      <c r="I1394" s="70"/>
      <c r="J1394" s="1"/>
    </row>
    <row r="1395" spans="1:20" hidden="1">
      <c r="A1395" s="16"/>
      <c r="B1395" s="14"/>
      <c r="C1395" s="15"/>
      <c r="D1395" s="15"/>
      <c r="E1395" s="15"/>
      <c r="F1395" s="15"/>
      <c r="G1395" s="25"/>
      <c r="H1395" s="25"/>
      <c r="I1395" s="25"/>
      <c r="J1395" s="1"/>
    </row>
    <row r="1396" spans="1:20" hidden="1">
      <c r="A1396" s="16"/>
      <c r="B1396" s="14"/>
      <c r="C1396" s="15"/>
      <c r="D1396" s="15"/>
      <c r="E1396" s="15"/>
      <c r="F1396" s="15"/>
      <c r="G1396" s="25"/>
      <c r="H1396" s="25"/>
      <c r="I1396" s="25"/>
      <c r="J1396" s="1"/>
    </row>
    <row r="1397" spans="1:20" ht="42.75" hidden="1" customHeight="1">
      <c r="A1397" s="80"/>
      <c r="B1397" s="14"/>
      <c r="C1397" s="15"/>
      <c r="D1397" s="15"/>
      <c r="E1397" s="15"/>
      <c r="F1397" s="14"/>
      <c r="G1397" s="70"/>
      <c r="H1397" s="70"/>
      <c r="I1397" s="70"/>
      <c r="J1397" s="1"/>
    </row>
    <row r="1398" spans="1:20" hidden="1">
      <c r="A1398" s="16"/>
      <c r="B1398" s="14"/>
      <c r="C1398" s="15"/>
      <c r="D1398" s="15"/>
      <c r="E1398" s="15"/>
      <c r="F1398" s="15"/>
      <c r="G1398" s="25"/>
      <c r="H1398" s="25"/>
      <c r="I1398" s="25"/>
      <c r="J1398" s="1"/>
    </row>
    <row r="1399" spans="1:20" hidden="1">
      <c r="A1399" s="16"/>
      <c r="B1399" s="14"/>
      <c r="C1399" s="15"/>
      <c r="D1399" s="15"/>
      <c r="E1399" s="15"/>
      <c r="F1399" s="15"/>
      <c r="G1399" s="25"/>
      <c r="H1399" s="25"/>
      <c r="I1399" s="25"/>
      <c r="J1399" s="1"/>
    </row>
    <row r="1400" spans="1:20" s="247" customFormat="1" ht="30.75" customHeight="1">
      <c r="A1400" s="233" t="s">
        <v>272</v>
      </c>
      <c r="B1400" s="244">
        <v>793</v>
      </c>
      <c r="C1400" s="245" t="s">
        <v>173</v>
      </c>
      <c r="D1400" s="245" t="s">
        <v>70</v>
      </c>
      <c r="E1400" s="36" t="s">
        <v>570</v>
      </c>
      <c r="F1400" s="36"/>
      <c r="G1400" s="71">
        <f>G1401</f>
        <v>9208674.8000000007</v>
      </c>
      <c r="H1400" s="246">
        <v>0</v>
      </c>
      <c r="I1400" s="246">
        <v>0</v>
      </c>
      <c r="P1400" s="248"/>
      <c r="Q1400" s="248"/>
      <c r="R1400" s="248"/>
      <c r="S1400" s="248"/>
      <c r="T1400" s="248"/>
    </row>
    <row r="1401" spans="1:20" ht="30.75" customHeight="1">
      <c r="A1401" s="16" t="s">
        <v>272</v>
      </c>
      <c r="B1401" s="14">
        <v>793</v>
      </c>
      <c r="C1401" s="15" t="s">
        <v>173</v>
      </c>
      <c r="D1401" s="15" t="s">
        <v>70</v>
      </c>
      <c r="E1401" s="15" t="s">
        <v>571</v>
      </c>
      <c r="F1401" s="15"/>
      <c r="G1401" s="70">
        <f>G1404+G1406+G1402+G1412+G1409+G1411</f>
        <v>9208674.8000000007</v>
      </c>
      <c r="H1401" s="70">
        <v>0</v>
      </c>
      <c r="I1401" s="70">
        <v>0</v>
      </c>
      <c r="J1401" s="1"/>
    </row>
    <row r="1402" spans="1:20" ht="30.75" customHeight="1">
      <c r="A1402" s="16" t="s">
        <v>36</v>
      </c>
      <c r="B1402" s="49">
        <v>795</v>
      </c>
      <c r="C1402" s="15" t="s">
        <v>173</v>
      </c>
      <c r="D1402" s="15" t="s">
        <v>28</v>
      </c>
      <c r="E1402" s="15" t="s">
        <v>571</v>
      </c>
      <c r="F1402" s="15" t="s">
        <v>37</v>
      </c>
      <c r="G1402" s="70">
        <f>G1403</f>
        <v>2092400</v>
      </c>
      <c r="H1402" s="70">
        <v>0</v>
      </c>
      <c r="I1402" s="70">
        <v>0</v>
      </c>
      <c r="J1402" s="1"/>
    </row>
    <row r="1403" spans="1:20" ht="30.75" customHeight="1">
      <c r="A1403" s="16" t="s">
        <v>38</v>
      </c>
      <c r="B1403" s="49">
        <v>795</v>
      </c>
      <c r="C1403" s="15" t="s">
        <v>173</v>
      </c>
      <c r="D1403" s="15" t="s">
        <v>28</v>
      </c>
      <c r="E1403" s="15" t="s">
        <v>571</v>
      </c>
      <c r="F1403" s="15" t="s">
        <v>39</v>
      </c>
      <c r="G1403" s="70">
        <f>'прил 5,'!G1586</f>
        <v>2092400</v>
      </c>
      <c r="H1403" s="70">
        <v>0</v>
      </c>
      <c r="I1403" s="70">
        <v>0</v>
      </c>
      <c r="J1403" s="1"/>
    </row>
    <row r="1404" spans="1:20" ht="23.25" hidden="1" customHeight="1">
      <c r="A1404" s="16" t="s">
        <v>148</v>
      </c>
      <c r="B1404" s="14">
        <v>793</v>
      </c>
      <c r="C1404" s="15" t="s">
        <v>70</v>
      </c>
      <c r="D1404" s="15" t="s">
        <v>123</v>
      </c>
      <c r="E1404" s="15" t="s">
        <v>571</v>
      </c>
      <c r="F1404" s="15" t="s">
        <v>149</v>
      </c>
      <c r="G1404" s="70">
        <f>G1405</f>
        <v>0</v>
      </c>
      <c r="H1404" s="70">
        <v>0</v>
      </c>
      <c r="I1404" s="70">
        <v>0</v>
      </c>
      <c r="J1404" s="1"/>
    </row>
    <row r="1405" spans="1:20" ht="30.75" hidden="1" customHeight="1">
      <c r="A1405" s="16" t="s">
        <v>150</v>
      </c>
      <c r="B1405" s="14">
        <v>793</v>
      </c>
      <c r="C1405" s="15" t="s">
        <v>70</v>
      </c>
      <c r="D1405" s="15" t="s">
        <v>123</v>
      </c>
      <c r="E1405" s="15" t="s">
        <v>571</v>
      </c>
      <c r="F1405" s="15" t="s">
        <v>151</v>
      </c>
      <c r="G1405" s="70">
        <f>'прил 5,'!G1317</f>
        <v>0</v>
      </c>
      <c r="H1405" s="70">
        <v>0</v>
      </c>
      <c r="I1405" s="70">
        <v>0</v>
      </c>
      <c r="J1405" s="1"/>
    </row>
    <row r="1406" spans="1:20" ht="21.75" hidden="1" customHeight="1">
      <c r="A1406" s="16" t="s">
        <v>156</v>
      </c>
      <c r="B1406" s="14">
        <v>793</v>
      </c>
      <c r="C1406" s="15" t="s">
        <v>173</v>
      </c>
      <c r="D1406" s="15" t="s">
        <v>70</v>
      </c>
      <c r="E1406" s="15" t="s">
        <v>571</v>
      </c>
      <c r="F1406" s="15" t="s">
        <v>157</v>
      </c>
      <c r="G1406" s="70">
        <f>G1407</f>
        <v>0</v>
      </c>
      <c r="H1406" s="70">
        <v>0</v>
      </c>
      <c r="I1406" s="70">
        <v>0</v>
      </c>
      <c r="J1406" s="1"/>
    </row>
    <row r="1407" spans="1:20" ht="22.5" hidden="1" customHeight="1">
      <c r="A1407" s="16" t="s">
        <v>178</v>
      </c>
      <c r="B1407" s="14">
        <v>793</v>
      </c>
      <c r="C1407" s="15" t="s">
        <v>173</v>
      </c>
      <c r="D1407" s="15" t="s">
        <v>70</v>
      </c>
      <c r="E1407" s="15" t="s">
        <v>571</v>
      </c>
      <c r="F1407" s="15" t="s">
        <v>179</v>
      </c>
      <c r="G1407" s="70"/>
      <c r="H1407" s="70">
        <v>0</v>
      </c>
      <c r="I1407" s="70">
        <v>0</v>
      </c>
      <c r="J1407" s="1"/>
    </row>
    <row r="1408" spans="1:20" ht="25.5" hidden="1">
      <c r="A1408" s="16" t="s">
        <v>36</v>
      </c>
      <c r="B1408" s="49">
        <v>795</v>
      </c>
      <c r="C1408" s="15" t="s">
        <v>173</v>
      </c>
      <c r="D1408" s="15" t="s">
        <v>28</v>
      </c>
      <c r="E1408" s="15" t="s">
        <v>571</v>
      </c>
      <c r="F1408" s="15" t="s">
        <v>37</v>
      </c>
      <c r="G1408" s="8">
        <f t="shared" ref="G1408:I1408" si="390">G1409</f>
        <v>0</v>
      </c>
      <c r="H1408" s="8">
        <f t="shared" si="390"/>
        <v>0</v>
      </c>
      <c r="I1408" s="8">
        <f t="shared" si="390"/>
        <v>0</v>
      </c>
      <c r="J1408" s="1"/>
    </row>
    <row r="1409" spans="1:20" ht="25.5" hidden="1">
      <c r="A1409" s="16" t="s">
        <v>38</v>
      </c>
      <c r="B1409" s="49">
        <v>795</v>
      </c>
      <c r="C1409" s="15" t="s">
        <v>173</v>
      </c>
      <c r="D1409" s="15" t="s">
        <v>28</v>
      </c>
      <c r="E1409" s="15" t="s">
        <v>571</v>
      </c>
      <c r="F1409" s="15" t="s">
        <v>39</v>
      </c>
      <c r="G1409" s="8">
        <f>'прил 5,'!G2044</f>
        <v>0</v>
      </c>
      <c r="H1409" s="8">
        <v>0</v>
      </c>
      <c r="I1409" s="8">
        <v>0</v>
      </c>
      <c r="J1409" s="1"/>
    </row>
    <row r="1410" spans="1:20" ht="25.5">
      <c r="A1410" s="16" t="s">
        <v>96</v>
      </c>
      <c r="B1410" s="49">
        <v>795</v>
      </c>
      <c r="C1410" s="15" t="s">
        <v>173</v>
      </c>
      <c r="D1410" s="15" t="s">
        <v>28</v>
      </c>
      <c r="E1410" s="15" t="s">
        <v>571</v>
      </c>
      <c r="F1410" s="15" t="s">
        <v>348</v>
      </c>
      <c r="G1410" s="8">
        <f t="shared" ref="G1410:I1410" si="391">G1411</f>
        <v>5412980</v>
      </c>
      <c r="H1410" s="8">
        <f t="shared" si="391"/>
        <v>0</v>
      </c>
      <c r="I1410" s="8">
        <f t="shared" si="391"/>
        <v>0</v>
      </c>
      <c r="J1410" s="1"/>
    </row>
    <row r="1411" spans="1:20">
      <c r="A1411" s="16" t="s">
        <v>349</v>
      </c>
      <c r="B1411" s="49">
        <v>795</v>
      </c>
      <c r="C1411" s="15" t="s">
        <v>173</v>
      </c>
      <c r="D1411" s="15" t="s">
        <v>28</v>
      </c>
      <c r="E1411" s="15" t="s">
        <v>571</v>
      </c>
      <c r="F1411" s="15" t="s">
        <v>350</v>
      </c>
      <c r="G1411" s="8">
        <f>'прил 5,'!G1588</f>
        <v>5412980</v>
      </c>
      <c r="H1411" s="8"/>
      <c r="I1411" s="8"/>
      <c r="J1411" s="1"/>
    </row>
    <row r="1412" spans="1:20" ht="25.5">
      <c r="A1412" s="16" t="s">
        <v>30</v>
      </c>
      <c r="B1412" s="14">
        <v>757</v>
      </c>
      <c r="C1412" s="15" t="s">
        <v>44</v>
      </c>
      <c r="D1412" s="15" t="s">
        <v>19</v>
      </c>
      <c r="E1412" s="15" t="s">
        <v>571</v>
      </c>
      <c r="F1412" s="15" t="s">
        <v>31</v>
      </c>
      <c r="G1412" s="8">
        <f t="shared" ref="G1412:I1412" si="392">G1413</f>
        <v>1703294.8</v>
      </c>
      <c r="H1412" s="8">
        <f t="shared" si="392"/>
        <v>0</v>
      </c>
      <c r="I1412" s="8">
        <f t="shared" si="392"/>
        <v>0</v>
      </c>
      <c r="J1412" s="1"/>
    </row>
    <row r="1413" spans="1:20">
      <c r="A1413" s="16" t="s">
        <v>32</v>
      </c>
      <c r="B1413" s="14">
        <v>757</v>
      </c>
      <c r="C1413" s="15" t="s">
        <v>44</v>
      </c>
      <c r="D1413" s="15" t="s">
        <v>19</v>
      </c>
      <c r="E1413" s="15" t="s">
        <v>571</v>
      </c>
      <c r="F1413" s="15" t="s">
        <v>33</v>
      </c>
      <c r="G1413" s="8">
        <f>'прил 5,'!G238+'прил 5,'!G344+'прил 5,'!G780+'прил 5,'!G112+'прил 5,'!G890+'прил 5,'!G808</f>
        <v>1703294.8</v>
      </c>
      <c r="H1413" s="8">
        <v>0</v>
      </c>
      <c r="I1413" s="8">
        <v>0</v>
      </c>
      <c r="J1413" s="1"/>
    </row>
    <row r="1414" spans="1:20" s="235" customFormat="1" ht="25.5" customHeight="1">
      <c r="A1414" s="34" t="s">
        <v>317</v>
      </c>
      <c r="B1414" s="35">
        <v>793</v>
      </c>
      <c r="C1414" s="36" t="s">
        <v>19</v>
      </c>
      <c r="D1414" s="36" t="s">
        <v>28</v>
      </c>
      <c r="E1414" s="36" t="s">
        <v>239</v>
      </c>
      <c r="F1414" s="36"/>
      <c r="G1414" s="71">
        <f>G1415+G1422</f>
        <v>50558338.810000002</v>
      </c>
      <c r="H1414" s="71">
        <f>H1415+H1422</f>
        <v>50677498.560000002</v>
      </c>
      <c r="I1414" s="71">
        <f>I1415+I1422</f>
        <v>51327473.43</v>
      </c>
      <c r="J1414" s="234">
        <v>1816051</v>
      </c>
      <c r="P1414" s="234"/>
      <c r="Q1414" s="234"/>
      <c r="R1414" s="234"/>
      <c r="S1414" s="234"/>
      <c r="T1414" s="234"/>
    </row>
    <row r="1415" spans="1:20">
      <c r="A1415" s="16" t="s">
        <v>318</v>
      </c>
      <c r="B1415" s="14">
        <v>793</v>
      </c>
      <c r="C1415" s="15" t="s">
        <v>19</v>
      </c>
      <c r="D1415" s="15" t="s">
        <v>28</v>
      </c>
      <c r="E1415" s="15" t="s">
        <v>240</v>
      </c>
      <c r="F1415" s="15"/>
      <c r="G1415" s="70">
        <f>G1419+G1416</f>
        <v>2484412.7399999998</v>
      </c>
      <c r="H1415" s="70">
        <f t="shared" ref="H1415:I1415" si="393">H1419</f>
        <v>1889447.4</v>
      </c>
      <c r="I1415" s="70">
        <f t="shared" si="393"/>
        <v>1908341.87</v>
      </c>
      <c r="J1415" s="2">
        <v>22376720</v>
      </c>
    </row>
    <row r="1416" spans="1:20" ht="79.5" customHeight="1">
      <c r="A1416" s="82" t="s">
        <v>1081</v>
      </c>
      <c r="B1416" s="149">
        <v>793</v>
      </c>
      <c r="C1416" s="84" t="s">
        <v>19</v>
      </c>
      <c r="D1416" s="84" t="s">
        <v>28</v>
      </c>
      <c r="E1416" s="84" t="s">
        <v>1080</v>
      </c>
      <c r="F1416" s="84"/>
      <c r="G1416" s="87">
        <f t="shared" ref="G1416:I1417" si="394">G1417</f>
        <v>297422.42</v>
      </c>
      <c r="H1416" s="87">
        <f t="shared" si="394"/>
        <v>0</v>
      </c>
      <c r="I1416" s="87">
        <f t="shared" si="394"/>
        <v>0</v>
      </c>
      <c r="J1416" s="177"/>
      <c r="K1416" s="186"/>
      <c r="L1416" s="186"/>
      <c r="M1416" s="186"/>
      <c r="N1416" s="186"/>
      <c r="O1416" s="186"/>
      <c r="P1416" s="186"/>
      <c r="Q1416" s="186"/>
      <c r="R1416" s="186"/>
      <c r="S1416" s="1"/>
      <c r="T1416" s="1"/>
    </row>
    <row r="1417" spans="1:20" ht="51">
      <c r="A1417" s="82" t="s">
        <v>319</v>
      </c>
      <c r="B1417" s="149">
        <v>793</v>
      </c>
      <c r="C1417" s="84" t="s">
        <v>19</v>
      </c>
      <c r="D1417" s="84" t="s">
        <v>28</v>
      </c>
      <c r="E1417" s="84" t="s">
        <v>1080</v>
      </c>
      <c r="F1417" s="84" t="s">
        <v>58</v>
      </c>
      <c r="G1417" s="87">
        <f t="shared" si="394"/>
        <v>297422.42</v>
      </c>
      <c r="H1417" s="87">
        <f t="shared" si="394"/>
        <v>0</v>
      </c>
      <c r="I1417" s="87">
        <f t="shared" si="394"/>
        <v>0</v>
      </c>
      <c r="J1417" s="177"/>
      <c r="K1417" s="186"/>
      <c r="L1417" s="186"/>
      <c r="M1417" s="186"/>
      <c r="N1417" s="186"/>
      <c r="O1417" s="186"/>
      <c r="P1417" s="186"/>
      <c r="Q1417" s="186"/>
      <c r="R1417" s="186"/>
      <c r="S1417" s="1"/>
      <c r="T1417" s="1"/>
    </row>
    <row r="1418" spans="1:20" ht="25.5">
      <c r="A1418" s="82" t="s">
        <v>56</v>
      </c>
      <c r="B1418" s="149">
        <v>793</v>
      </c>
      <c r="C1418" s="84" t="s">
        <v>19</v>
      </c>
      <c r="D1418" s="84" t="s">
        <v>28</v>
      </c>
      <c r="E1418" s="84" t="s">
        <v>1080</v>
      </c>
      <c r="F1418" s="84" t="s">
        <v>59</v>
      </c>
      <c r="G1418" s="87">
        <f>'прил 5,'!G1143</f>
        <v>297422.42</v>
      </c>
      <c r="H1418" s="87"/>
      <c r="I1418" s="87"/>
      <c r="J1418" s="177"/>
      <c r="K1418" s="186"/>
      <c r="L1418" s="186"/>
      <c r="M1418" s="186"/>
      <c r="N1418" s="186"/>
      <c r="O1418" s="186"/>
      <c r="P1418" s="186"/>
      <c r="Q1418" s="186"/>
      <c r="R1418" s="186"/>
      <c r="S1418" s="1"/>
      <c r="T1418" s="1"/>
    </row>
    <row r="1419" spans="1:20" ht="25.5">
      <c r="A1419" s="16" t="s">
        <v>76</v>
      </c>
      <c r="B1419" s="14">
        <v>793</v>
      </c>
      <c r="C1419" s="15" t="s">
        <v>19</v>
      </c>
      <c r="D1419" s="15" t="s">
        <v>28</v>
      </c>
      <c r="E1419" s="15" t="s">
        <v>241</v>
      </c>
      <c r="F1419" s="15"/>
      <c r="G1419" s="70">
        <f>G1420</f>
        <v>2186990.3199999998</v>
      </c>
      <c r="H1419" s="70">
        <f t="shared" ref="H1419:I1420" si="395">H1420</f>
        <v>1889447.4</v>
      </c>
      <c r="I1419" s="70">
        <f t="shared" si="395"/>
        <v>1908341.87</v>
      </c>
      <c r="J1419" s="2">
        <v>1931480</v>
      </c>
    </row>
    <row r="1420" spans="1:20" ht="51">
      <c r="A1420" s="16" t="s">
        <v>319</v>
      </c>
      <c r="B1420" s="14">
        <v>793</v>
      </c>
      <c r="C1420" s="15" t="s">
        <v>19</v>
      </c>
      <c r="D1420" s="15" t="s">
        <v>28</v>
      </c>
      <c r="E1420" s="15" t="s">
        <v>241</v>
      </c>
      <c r="F1420" s="15" t="s">
        <v>58</v>
      </c>
      <c r="G1420" s="70">
        <f>G1421</f>
        <v>2186990.3199999998</v>
      </c>
      <c r="H1420" s="70">
        <f t="shared" si="395"/>
        <v>1889447.4</v>
      </c>
      <c r="I1420" s="70">
        <f t="shared" si="395"/>
        <v>1908341.87</v>
      </c>
      <c r="J1420" s="2">
        <v>3861060</v>
      </c>
    </row>
    <row r="1421" spans="1:20" ht="25.5">
      <c r="A1421" s="16" t="s">
        <v>56</v>
      </c>
      <c r="B1421" s="14">
        <v>793</v>
      </c>
      <c r="C1421" s="15" t="s">
        <v>19</v>
      </c>
      <c r="D1421" s="15" t="s">
        <v>28</v>
      </c>
      <c r="E1421" s="15" t="s">
        <v>241</v>
      </c>
      <c r="F1421" s="15" t="s">
        <v>59</v>
      </c>
      <c r="G1421" s="70">
        <f>'прил 5,'!G1148</f>
        <v>2186990.3199999998</v>
      </c>
      <c r="H1421" s="70">
        <f>'прил 5,'!H1148</f>
        <v>1889447.4</v>
      </c>
      <c r="I1421" s="70">
        <f>'прил 5,'!I1148</f>
        <v>1908341.87</v>
      </c>
      <c r="J1421" s="2">
        <v>36840</v>
      </c>
    </row>
    <row r="1422" spans="1:20" s="46" customFormat="1">
      <c r="A1422" s="56" t="s">
        <v>324</v>
      </c>
      <c r="B1422" s="14">
        <v>793</v>
      </c>
      <c r="C1422" s="15" t="s">
        <v>19</v>
      </c>
      <c r="D1422" s="15" t="s">
        <v>54</v>
      </c>
      <c r="E1422" s="15" t="s">
        <v>244</v>
      </c>
      <c r="F1422" s="15"/>
      <c r="G1422" s="70">
        <f>G1423+G1447+G1432+G1442+G1437+G1450</f>
        <v>48073926.07</v>
      </c>
      <c r="H1422" s="70">
        <f>H1423+H1447+H1432+H1442+H1437</f>
        <v>48788051.160000004</v>
      </c>
      <c r="I1422" s="70">
        <f>I1423+I1447+I1432+I1442+I1437</f>
        <v>49419131.560000002</v>
      </c>
      <c r="J1422" s="110">
        <v>1772668</v>
      </c>
      <c r="P1422" s="110"/>
      <c r="Q1422" s="110"/>
      <c r="R1422" s="110"/>
      <c r="S1422" s="110"/>
      <c r="T1422" s="110"/>
    </row>
    <row r="1423" spans="1:20" s="46" customFormat="1" ht="25.5">
      <c r="A1423" s="16" t="s">
        <v>76</v>
      </c>
      <c r="B1423" s="14">
        <v>793</v>
      </c>
      <c r="C1423" s="15" t="s">
        <v>19</v>
      </c>
      <c r="D1423" s="15" t="s">
        <v>54</v>
      </c>
      <c r="E1423" s="15" t="s">
        <v>245</v>
      </c>
      <c r="F1423" s="15"/>
      <c r="G1423" s="70">
        <f>G1424+G1426+G1430+G1428</f>
        <v>41343772</v>
      </c>
      <c r="H1423" s="70">
        <f t="shared" ref="H1423:I1423" si="396">H1424+H1426+H1430+H1428</f>
        <v>41892191</v>
      </c>
      <c r="I1423" s="70">
        <f t="shared" si="396"/>
        <v>42280397</v>
      </c>
      <c r="J1423" s="110">
        <v>26732</v>
      </c>
      <c r="P1423" s="110"/>
      <c r="Q1423" s="110"/>
      <c r="R1423" s="110"/>
      <c r="S1423" s="110"/>
      <c r="T1423" s="110"/>
    </row>
    <row r="1424" spans="1:20" s="46" customFormat="1" ht="51">
      <c r="A1424" s="16" t="s">
        <v>319</v>
      </c>
      <c r="B1424" s="14">
        <v>793</v>
      </c>
      <c r="C1424" s="15" t="s">
        <v>19</v>
      </c>
      <c r="D1424" s="15" t="s">
        <v>54</v>
      </c>
      <c r="E1424" s="15" t="s">
        <v>245</v>
      </c>
      <c r="F1424" s="15" t="s">
        <v>58</v>
      </c>
      <c r="G1424" s="70">
        <f>G1425</f>
        <v>38593613</v>
      </c>
      <c r="H1424" s="70">
        <f>H1425</f>
        <v>39412631</v>
      </c>
      <c r="I1424" s="70">
        <f>I1425</f>
        <v>39800837</v>
      </c>
      <c r="J1424" s="110">
        <v>292420</v>
      </c>
      <c r="P1424" s="110"/>
      <c r="Q1424" s="110"/>
      <c r="R1424" s="110"/>
      <c r="S1424" s="110"/>
      <c r="T1424" s="110"/>
    </row>
    <row r="1425" spans="1:20" s="46" customFormat="1" ht="34.5" customHeight="1">
      <c r="A1425" s="16" t="s">
        <v>56</v>
      </c>
      <c r="B1425" s="14">
        <v>793</v>
      </c>
      <c r="C1425" s="15" t="s">
        <v>19</v>
      </c>
      <c r="D1425" s="15" t="s">
        <v>54</v>
      </c>
      <c r="E1425" s="15" t="s">
        <v>245</v>
      </c>
      <c r="F1425" s="15" t="s">
        <v>59</v>
      </c>
      <c r="G1425" s="70">
        <f>'прил 5,'!G1158</f>
        <v>38593613</v>
      </c>
      <c r="H1425" s="70">
        <f>'прил 5,'!H1158</f>
        <v>39412631</v>
      </c>
      <c r="I1425" s="70">
        <f>'прил 5,'!I1158</f>
        <v>39800837</v>
      </c>
      <c r="J1425" s="110">
        <v>7380</v>
      </c>
      <c r="P1425" s="110"/>
      <c r="Q1425" s="110"/>
      <c r="R1425" s="110"/>
      <c r="S1425" s="110"/>
      <c r="T1425" s="110"/>
    </row>
    <row r="1426" spans="1:20" s="46" customFormat="1">
      <c r="A1426" s="16" t="s">
        <v>323</v>
      </c>
      <c r="B1426" s="14">
        <v>793</v>
      </c>
      <c r="C1426" s="15" t="s">
        <v>19</v>
      </c>
      <c r="D1426" s="15" t="s">
        <v>54</v>
      </c>
      <c r="E1426" s="15" t="s">
        <v>245</v>
      </c>
      <c r="F1426" s="15" t="s">
        <v>37</v>
      </c>
      <c r="G1426" s="70">
        <f>G1427</f>
        <v>2475565.7200000002</v>
      </c>
      <c r="H1426" s="70">
        <f t="shared" ref="H1426:I1426" si="397">H1427</f>
        <v>2474560</v>
      </c>
      <c r="I1426" s="70">
        <f t="shared" si="397"/>
        <v>2474560</v>
      </c>
      <c r="J1426" s="110">
        <v>10000</v>
      </c>
      <c r="P1426" s="110"/>
      <c r="Q1426" s="110"/>
      <c r="R1426" s="110"/>
      <c r="S1426" s="110"/>
      <c r="T1426" s="110"/>
    </row>
    <row r="1427" spans="1:20" s="46" customFormat="1" ht="25.5">
      <c r="A1427" s="16" t="s">
        <v>38</v>
      </c>
      <c r="B1427" s="14">
        <v>793</v>
      </c>
      <c r="C1427" s="15" t="s">
        <v>19</v>
      </c>
      <c r="D1427" s="15" t="s">
        <v>54</v>
      </c>
      <c r="E1427" s="15" t="s">
        <v>245</v>
      </c>
      <c r="F1427" s="15" t="s">
        <v>39</v>
      </c>
      <c r="G1427" s="70">
        <f>'прил 5,'!G1160</f>
        <v>2475565.7200000002</v>
      </c>
      <c r="H1427" s="70">
        <f>'прил 5,'!H1160</f>
        <v>2474560</v>
      </c>
      <c r="I1427" s="70">
        <f>'прил 5,'!I1160</f>
        <v>2474560</v>
      </c>
      <c r="J1427" s="110">
        <f>SUM(J1414:J1426)</f>
        <v>32131351</v>
      </c>
      <c r="P1427" s="110"/>
      <c r="Q1427" s="110"/>
      <c r="R1427" s="110"/>
      <c r="S1427" s="110"/>
      <c r="T1427" s="110"/>
    </row>
    <row r="1428" spans="1:20" s="46" customFormat="1" ht="21.75" customHeight="1">
      <c r="A1428" s="16" t="s">
        <v>148</v>
      </c>
      <c r="B1428" s="14">
        <v>793</v>
      </c>
      <c r="C1428" s="15" t="s">
        <v>19</v>
      </c>
      <c r="D1428" s="15" t="s">
        <v>54</v>
      </c>
      <c r="E1428" s="15" t="s">
        <v>245</v>
      </c>
      <c r="F1428" s="15" t="s">
        <v>149</v>
      </c>
      <c r="G1428" s="70">
        <f>G1429</f>
        <v>200196.82</v>
      </c>
      <c r="H1428" s="70"/>
      <c r="I1428" s="70"/>
      <c r="J1428" s="177"/>
      <c r="K1428" s="222"/>
      <c r="L1428" s="222"/>
      <c r="M1428" s="222"/>
      <c r="N1428" s="222"/>
      <c r="O1428" s="222"/>
      <c r="P1428" s="222"/>
      <c r="Q1428" s="222"/>
      <c r="R1428" s="222"/>
    </row>
    <row r="1429" spans="1:20" s="46" customFormat="1" ht="29.25" customHeight="1">
      <c r="A1429" s="16" t="s">
        <v>150</v>
      </c>
      <c r="B1429" s="14">
        <v>793</v>
      </c>
      <c r="C1429" s="15" t="s">
        <v>19</v>
      </c>
      <c r="D1429" s="15" t="s">
        <v>54</v>
      </c>
      <c r="E1429" s="15" t="s">
        <v>245</v>
      </c>
      <c r="F1429" s="15" t="s">
        <v>151</v>
      </c>
      <c r="G1429" s="70">
        <v>200196.82</v>
      </c>
      <c r="H1429" s="70"/>
      <c r="I1429" s="70"/>
      <c r="J1429" s="177"/>
      <c r="K1429" s="222"/>
      <c r="L1429" s="222"/>
      <c r="M1429" s="222"/>
      <c r="N1429" s="222"/>
      <c r="O1429" s="222"/>
      <c r="P1429" s="222"/>
      <c r="Q1429" s="222"/>
      <c r="R1429" s="222"/>
    </row>
    <row r="1430" spans="1:20" s="46" customFormat="1" ht="13.5" customHeight="1">
      <c r="A1430" s="16" t="s">
        <v>63</v>
      </c>
      <c r="B1430" s="14">
        <v>793</v>
      </c>
      <c r="C1430" s="15" t="s">
        <v>19</v>
      </c>
      <c r="D1430" s="15" t="s">
        <v>54</v>
      </c>
      <c r="E1430" s="15" t="s">
        <v>245</v>
      </c>
      <c r="F1430" s="15" t="s">
        <v>64</v>
      </c>
      <c r="G1430" s="70">
        <f>G1431</f>
        <v>74396.460000000006</v>
      </c>
      <c r="H1430" s="70">
        <f>H1431</f>
        <v>5000</v>
      </c>
      <c r="I1430" s="70">
        <f>I1431</f>
        <v>5000</v>
      </c>
      <c r="J1430" s="110"/>
      <c r="P1430" s="110"/>
      <c r="Q1430" s="110"/>
      <c r="R1430" s="110"/>
      <c r="S1430" s="110"/>
      <c r="T1430" s="110"/>
    </row>
    <row r="1431" spans="1:20" s="46" customFormat="1">
      <c r="A1431" s="16" t="s">
        <v>144</v>
      </c>
      <c r="B1431" s="14">
        <v>793</v>
      </c>
      <c r="C1431" s="15" t="s">
        <v>19</v>
      </c>
      <c r="D1431" s="15" t="s">
        <v>54</v>
      </c>
      <c r="E1431" s="15" t="s">
        <v>245</v>
      </c>
      <c r="F1431" s="15" t="s">
        <v>67</v>
      </c>
      <c r="G1431" s="70">
        <f>'прил 5,'!G1164</f>
        <v>74396.460000000006</v>
      </c>
      <c r="H1431" s="70">
        <f>'прил 5,'!H1164</f>
        <v>5000</v>
      </c>
      <c r="I1431" s="70">
        <f>'прил 5,'!I1164</f>
        <v>5000</v>
      </c>
      <c r="J1431" s="110"/>
      <c r="P1431" s="110"/>
      <c r="Q1431" s="110"/>
      <c r="R1431" s="110"/>
      <c r="S1431" s="110"/>
      <c r="T1431" s="110"/>
    </row>
    <row r="1432" spans="1:20" s="3" customFormat="1" ht="63.75">
      <c r="A1432" s="16" t="s">
        <v>683</v>
      </c>
      <c r="B1432" s="14">
        <v>793</v>
      </c>
      <c r="C1432" s="15" t="s">
        <v>19</v>
      </c>
      <c r="D1432" s="15" t="s">
        <v>54</v>
      </c>
      <c r="E1432" s="15" t="s">
        <v>681</v>
      </c>
      <c r="F1432" s="15"/>
      <c r="G1432" s="70">
        <f>G1433+G1435</f>
        <v>4776569.55</v>
      </c>
      <c r="H1432" s="70">
        <f>H1433+H1435</f>
        <v>4970232.34</v>
      </c>
      <c r="I1432" s="70">
        <f>I1433+I1435</f>
        <v>5145641.63</v>
      </c>
      <c r="J1432" s="111"/>
      <c r="P1432" s="111"/>
      <c r="Q1432" s="111"/>
      <c r="R1432" s="111"/>
      <c r="S1432" s="111"/>
      <c r="T1432" s="111"/>
    </row>
    <row r="1433" spans="1:20" s="3" customFormat="1" ht="51">
      <c r="A1433" s="16" t="s">
        <v>319</v>
      </c>
      <c r="B1433" s="14">
        <v>793</v>
      </c>
      <c r="C1433" s="15" t="s">
        <v>19</v>
      </c>
      <c r="D1433" s="15" t="s">
        <v>54</v>
      </c>
      <c r="E1433" s="15" t="s">
        <v>681</v>
      </c>
      <c r="F1433" s="15" t="s">
        <v>58</v>
      </c>
      <c r="G1433" s="70">
        <f>G1434</f>
        <v>4419569.55</v>
      </c>
      <c r="H1433" s="70">
        <f t="shared" ref="H1433:I1433" si="398">H1434</f>
        <v>4515232.34</v>
      </c>
      <c r="I1433" s="70">
        <f t="shared" si="398"/>
        <v>4690641.63</v>
      </c>
      <c r="J1433" s="111"/>
      <c r="P1433" s="111"/>
      <c r="Q1433" s="111"/>
      <c r="R1433" s="111"/>
      <c r="S1433" s="111"/>
      <c r="T1433" s="111"/>
    </row>
    <row r="1434" spans="1:20" s="3" customFormat="1" ht="25.5">
      <c r="A1434" s="16" t="s">
        <v>56</v>
      </c>
      <c r="B1434" s="14">
        <v>793</v>
      </c>
      <c r="C1434" s="15" t="s">
        <v>19</v>
      </c>
      <c r="D1434" s="15" t="s">
        <v>54</v>
      </c>
      <c r="E1434" s="15" t="s">
        <v>681</v>
      </c>
      <c r="F1434" s="15" t="s">
        <v>59</v>
      </c>
      <c r="G1434" s="70">
        <f>'прил 5,'!G1167</f>
        <v>4419569.55</v>
      </c>
      <c r="H1434" s="70">
        <f>'прил 5,'!H1167</f>
        <v>4515232.34</v>
      </c>
      <c r="I1434" s="70">
        <f>'прил 5,'!I1167</f>
        <v>4690641.63</v>
      </c>
      <c r="J1434" s="111"/>
      <c r="P1434" s="111"/>
      <c r="Q1434" s="111"/>
      <c r="R1434" s="111"/>
      <c r="S1434" s="111"/>
      <c r="T1434" s="111"/>
    </row>
    <row r="1435" spans="1:20" s="3" customFormat="1">
      <c r="A1435" s="16" t="s">
        <v>323</v>
      </c>
      <c r="B1435" s="14">
        <v>793</v>
      </c>
      <c r="C1435" s="15" t="s">
        <v>19</v>
      </c>
      <c r="D1435" s="15" t="s">
        <v>54</v>
      </c>
      <c r="E1435" s="15" t="s">
        <v>681</v>
      </c>
      <c r="F1435" s="15" t="s">
        <v>37</v>
      </c>
      <c r="G1435" s="70">
        <f>G1436</f>
        <v>357000</v>
      </c>
      <c r="H1435" s="70">
        <f>H1436</f>
        <v>455000</v>
      </c>
      <c r="I1435" s="70">
        <f>I1436</f>
        <v>455000</v>
      </c>
      <c r="J1435" s="111"/>
      <c r="P1435" s="111"/>
      <c r="Q1435" s="111"/>
      <c r="R1435" s="111"/>
      <c r="S1435" s="111"/>
      <c r="T1435" s="111"/>
    </row>
    <row r="1436" spans="1:20" s="3" customFormat="1" ht="25.5">
      <c r="A1436" s="16" t="s">
        <v>38</v>
      </c>
      <c r="B1436" s="14">
        <v>793</v>
      </c>
      <c r="C1436" s="15" t="s">
        <v>19</v>
      </c>
      <c r="D1436" s="15" t="s">
        <v>54</v>
      </c>
      <c r="E1436" s="15" t="s">
        <v>681</v>
      </c>
      <c r="F1436" s="15" t="s">
        <v>39</v>
      </c>
      <c r="G1436" s="70">
        <f>'прил 5,'!G1169</f>
        <v>357000</v>
      </c>
      <c r="H1436" s="70">
        <f>'прил 5,'!H1169</f>
        <v>455000</v>
      </c>
      <c r="I1436" s="70">
        <f>'прил 5,'!I1169</f>
        <v>455000</v>
      </c>
      <c r="J1436" s="111"/>
      <c r="P1436" s="111"/>
      <c r="Q1436" s="111"/>
      <c r="R1436" s="111"/>
      <c r="S1436" s="111"/>
      <c r="T1436" s="111"/>
    </row>
    <row r="1437" spans="1:20" s="3" customFormat="1" ht="76.5">
      <c r="A1437" s="16" t="s">
        <v>684</v>
      </c>
      <c r="B1437" s="14">
        <v>793</v>
      </c>
      <c r="C1437" s="15" t="s">
        <v>19</v>
      </c>
      <c r="D1437" s="15" t="s">
        <v>54</v>
      </c>
      <c r="E1437" s="15" t="s">
        <v>685</v>
      </c>
      <c r="F1437" s="15"/>
      <c r="G1437" s="70">
        <f>G1438+G1440</f>
        <v>1502406.02</v>
      </c>
      <c r="H1437" s="70">
        <f>H1438+H1440</f>
        <v>1529302.26</v>
      </c>
      <c r="I1437" s="70">
        <f>I1438+I1440</f>
        <v>1583274.35</v>
      </c>
      <c r="J1437" s="111"/>
      <c r="P1437" s="111"/>
      <c r="Q1437" s="111"/>
      <c r="R1437" s="111"/>
      <c r="S1437" s="111"/>
      <c r="T1437" s="111"/>
    </row>
    <row r="1438" spans="1:20" s="3" customFormat="1" ht="51">
      <c r="A1438" s="16" t="s">
        <v>319</v>
      </c>
      <c r="B1438" s="14">
        <v>793</v>
      </c>
      <c r="C1438" s="15" t="s">
        <v>19</v>
      </c>
      <c r="D1438" s="15" t="s">
        <v>54</v>
      </c>
      <c r="E1438" s="15" t="s">
        <v>723</v>
      </c>
      <c r="F1438" s="15" t="s">
        <v>58</v>
      </c>
      <c r="G1438" s="70">
        <f>G1439</f>
        <v>1445248.42</v>
      </c>
      <c r="H1438" s="70">
        <f>H1439</f>
        <v>1389302.26</v>
      </c>
      <c r="I1438" s="70">
        <f>I1439</f>
        <v>1443274.35</v>
      </c>
      <c r="J1438" s="111"/>
      <c r="P1438" s="111"/>
      <c r="Q1438" s="111"/>
      <c r="R1438" s="111"/>
      <c r="S1438" s="111"/>
      <c r="T1438" s="111"/>
    </row>
    <row r="1439" spans="1:20" s="3" customFormat="1" ht="25.5">
      <c r="A1439" s="16" t="s">
        <v>56</v>
      </c>
      <c r="B1439" s="14">
        <v>793</v>
      </c>
      <c r="C1439" s="15" t="s">
        <v>19</v>
      </c>
      <c r="D1439" s="15" t="s">
        <v>54</v>
      </c>
      <c r="E1439" s="15" t="s">
        <v>723</v>
      </c>
      <c r="F1439" s="15" t="s">
        <v>59</v>
      </c>
      <c r="G1439" s="70">
        <f>'прил 5,'!G1172</f>
        <v>1445248.42</v>
      </c>
      <c r="H1439" s="70">
        <f>'прил 5,'!H1172</f>
        <v>1389302.26</v>
      </c>
      <c r="I1439" s="70">
        <f>'прил 5,'!I1172</f>
        <v>1443274.35</v>
      </c>
      <c r="J1439" s="111"/>
      <c r="P1439" s="111"/>
      <c r="Q1439" s="111"/>
      <c r="R1439" s="111"/>
      <c r="S1439" s="111"/>
      <c r="T1439" s="111"/>
    </row>
    <row r="1440" spans="1:20" s="3" customFormat="1">
      <c r="A1440" s="16" t="s">
        <v>323</v>
      </c>
      <c r="B1440" s="14">
        <v>793</v>
      </c>
      <c r="C1440" s="15" t="s">
        <v>19</v>
      </c>
      <c r="D1440" s="15" t="s">
        <v>54</v>
      </c>
      <c r="E1440" s="15" t="s">
        <v>723</v>
      </c>
      <c r="F1440" s="15" t="s">
        <v>37</v>
      </c>
      <c r="G1440" s="70">
        <f>G1441</f>
        <v>57157.600000000006</v>
      </c>
      <c r="H1440" s="70">
        <f>H1441</f>
        <v>140000</v>
      </c>
      <c r="I1440" s="70">
        <f>I1441</f>
        <v>140000</v>
      </c>
      <c r="J1440" s="111"/>
      <c r="P1440" s="111"/>
      <c r="Q1440" s="111"/>
      <c r="R1440" s="111"/>
      <c r="S1440" s="111"/>
      <c r="T1440" s="111"/>
    </row>
    <row r="1441" spans="1:20" s="3" customFormat="1" ht="25.5">
      <c r="A1441" s="16" t="s">
        <v>38</v>
      </c>
      <c r="B1441" s="14">
        <v>793</v>
      </c>
      <c r="C1441" s="15" t="s">
        <v>19</v>
      </c>
      <c r="D1441" s="15" t="s">
        <v>54</v>
      </c>
      <c r="E1441" s="15" t="s">
        <v>723</v>
      </c>
      <c r="F1441" s="15" t="s">
        <v>39</v>
      </c>
      <c r="G1441" s="70">
        <f>'прил 5,'!G1176</f>
        <v>57157.600000000006</v>
      </c>
      <c r="H1441" s="70">
        <f>'прил 5,'!H1176</f>
        <v>140000</v>
      </c>
      <c r="I1441" s="70">
        <f>'прил 5,'!I1176</f>
        <v>140000</v>
      </c>
      <c r="J1441" s="111"/>
      <c r="P1441" s="111"/>
      <c r="Q1441" s="111"/>
      <c r="R1441" s="111"/>
      <c r="S1441" s="111"/>
      <c r="T1441" s="111"/>
    </row>
    <row r="1442" spans="1:20" ht="25.5" customHeight="1">
      <c r="A1442" s="81" t="s">
        <v>329</v>
      </c>
      <c r="B1442" s="14">
        <v>793</v>
      </c>
      <c r="C1442" s="15" t="s">
        <v>19</v>
      </c>
      <c r="D1442" s="15" t="s">
        <v>54</v>
      </c>
      <c r="E1442" s="15" t="s">
        <v>246</v>
      </c>
      <c r="F1442" s="15"/>
      <c r="G1442" s="70">
        <f>G1443+G1445</f>
        <v>369351.5</v>
      </c>
      <c r="H1442" s="70">
        <f>H1443+H1445</f>
        <v>382325.56</v>
      </c>
      <c r="I1442" s="70">
        <f>I1443+I1445</f>
        <v>395818.58</v>
      </c>
    </row>
    <row r="1443" spans="1:20" s="3" customFormat="1" ht="51">
      <c r="A1443" s="16" t="s">
        <v>319</v>
      </c>
      <c r="B1443" s="14">
        <v>793</v>
      </c>
      <c r="C1443" s="15" t="s">
        <v>19</v>
      </c>
      <c r="D1443" s="15" t="s">
        <v>54</v>
      </c>
      <c r="E1443" s="15" t="s">
        <v>246</v>
      </c>
      <c r="F1443" s="15" t="s">
        <v>58</v>
      </c>
      <c r="G1443" s="70">
        <f>G1444</f>
        <v>305782</v>
      </c>
      <c r="H1443" s="70">
        <f>H1444</f>
        <v>372325.56</v>
      </c>
      <c r="I1443" s="70">
        <f>I1444</f>
        <v>385818.58</v>
      </c>
      <c r="J1443" s="111"/>
      <c r="P1443" s="111"/>
      <c r="Q1443" s="111"/>
      <c r="R1443" s="111"/>
      <c r="S1443" s="111"/>
      <c r="T1443" s="111"/>
    </row>
    <row r="1444" spans="1:20" s="3" customFormat="1" ht="25.5">
      <c r="A1444" s="16" t="s">
        <v>56</v>
      </c>
      <c r="B1444" s="14">
        <v>793</v>
      </c>
      <c r="C1444" s="15" t="s">
        <v>19</v>
      </c>
      <c r="D1444" s="15" t="s">
        <v>54</v>
      </c>
      <c r="E1444" s="15" t="s">
        <v>246</v>
      </c>
      <c r="F1444" s="15" t="s">
        <v>59</v>
      </c>
      <c r="G1444" s="70">
        <f>'прил 5,'!G1179</f>
        <v>305782</v>
      </c>
      <c r="H1444" s="70">
        <f>'прил 5,'!H1179</f>
        <v>372325.56</v>
      </c>
      <c r="I1444" s="70">
        <f>'прил 5,'!I1179</f>
        <v>385818.58</v>
      </c>
      <c r="J1444" s="111"/>
      <c r="P1444" s="111"/>
      <c r="Q1444" s="111"/>
      <c r="R1444" s="111"/>
      <c r="S1444" s="111"/>
      <c r="T1444" s="111"/>
    </row>
    <row r="1445" spans="1:20" ht="25.5" customHeight="1">
      <c r="A1445" s="16" t="s">
        <v>323</v>
      </c>
      <c r="B1445" s="14">
        <v>793</v>
      </c>
      <c r="C1445" s="15" t="s">
        <v>19</v>
      </c>
      <c r="D1445" s="15" t="s">
        <v>54</v>
      </c>
      <c r="E1445" s="15" t="s">
        <v>246</v>
      </c>
      <c r="F1445" s="15" t="s">
        <v>37</v>
      </c>
      <c r="G1445" s="70">
        <f>G1446</f>
        <v>63569.5</v>
      </c>
      <c r="H1445" s="70">
        <f>H1446</f>
        <v>10000</v>
      </c>
      <c r="I1445" s="70">
        <f>I1446</f>
        <v>10000</v>
      </c>
    </row>
    <row r="1446" spans="1:20" ht="25.5" customHeight="1">
      <c r="A1446" s="16" t="s">
        <v>38</v>
      </c>
      <c r="B1446" s="14">
        <v>793</v>
      </c>
      <c r="C1446" s="15" t="s">
        <v>19</v>
      </c>
      <c r="D1446" s="15" t="s">
        <v>54</v>
      </c>
      <c r="E1446" s="15" t="s">
        <v>246</v>
      </c>
      <c r="F1446" s="15" t="s">
        <v>39</v>
      </c>
      <c r="G1446" s="70">
        <f>'прил 5,'!G1181</f>
        <v>63569.5</v>
      </c>
      <c r="H1446" s="70">
        <f>'прил 5,'!H1181</f>
        <v>10000</v>
      </c>
      <c r="I1446" s="70">
        <f>'прил 5,'!I1181</f>
        <v>10000</v>
      </c>
    </row>
    <row r="1447" spans="1:20" s="46" customFormat="1" ht="63.75">
      <c r="A1447" s="16" t="s">
        <v>330</v>
      </c>
      <c r="B1447" s="14">
        <v>793</v>
      </c>
      <c r="C1447" s="15" t="s">
        <v>19</v>
      </c>
      <c r="D1447" s="15" t="s">
        <v>54</v>
      </c>
      <c r="E1447" s="15" t="s">
        <v>386</v>
      </c>
      <c r="F1447" s="15"/>
      <c r="G1447" s="70">
        <f t="shared" ref="G1447:I1448" si="399">G1448</f>
        <v>14000</v>
      </c>
      <c r="H1447" s="70">
        <f t="shared" si="399"/>
        <v>14000</v>
      </c>
      <c r="I1447" s="70">
        <f t="shared" si="399"/>
        <v>14000</v>
      </c>
      <c r="J1447" s="110"/>
      <c r="P1447" s="110"/>
      <c r="Q1447" s="110"/>
      <c r="R1447" s="110"/>
      <c r="S1447" s="110"/>
      <c r="T1447" s="110"/>
    </row>
    <row r="1448" spans="1:20" s="46" customFormat="1">
      <c r="A1448" s="16" t="s">
        <v>323</v>
      </c>
      <c r="B1448" s="14">
        <v>793</v>
      </c>
      <c r="C1448" s="15" t="s">
        <v>19</v>
      </c>
      <c r="D1448" s="15" t="s">
        <v>54</v>
      </c>
      <c r="E1448" s="15" t="s">
        <v>386</v>
      </c>
      <c r="F1448" s="15" t="s">
        <v>37</v>
      </c>
      <c r="G1448" s="87">
        <f t="shared" si="399"/>
        <v>14000</v>
      </c>
      <c r="H1448" s="87">
        <f t="shared" si="399"/>
        <v>14000</v>
      </c>
      <c r="I1448" s="87">
        <f t="shared" si="399"/>
        <v>14000</v>
      </c>
      <c r="J1448" s="110"/>
      <c r="P1448" s="110"/>
      <c r="Q1448" s="110"/>
      <c r="R1448" s="110"/>
      <c r="S1448" s="110"/>
      <c r="T1448" s="110"/>
    </row>
    <row r="1449" spans="1:20" s="46" customFormat="1" ht="25.5">
      <c r="A1449" s="16" t="s">
        <v>38</v>
      </c>
      <c r="B1449" s="14">
        <v>793</v>
      </c>
      <c r="C1449" s="15" t="s">
        <v>19</v>
      </c>
      <c r="D1449" s="15" t="s">
        <v>54</v>
      </c>
      <c r="E1449" s="15" t="s">
        <v>386</v>
      </c>
      <c r="F1449" s="15" t="s">
        <v>39</v>
      </c>
      <c r="G1449" s="87">
        <f>'прил 5,'!G1184</f>
        <v>14000</v>
      </c>
      <c r="H1449" s="87">
        <f>'прил 5,'!H1184</f>
        <v>14000</v>
      </c>
      <c r="I1449" s="87">
        <f>'прил 5,'!I1184</f>
        <v>14000</v>
      </c>
      <c r="J1449" s="110"/>
      <c r="P1449" s="110"/>
      <c r="Q1449" s="110"/>
      <c r="R1449" s="110"/>
      <c r="S1449" s="110"/>
      <c r="T1449" s="110"/>
    </row>
    <row r="1450" spans="1:20" s="46" customFormat="1" ht="102" customHeight="1">
      <c r="A1450" s="16" t="s">
        <v>946</v>
      </c>
      <c r="B1450" s="14">
        <v>793</v>
      </c>
      <c r="C1450" s="15" t="s">
        <v>19</v>
      </c>
      <c r="D1450" s="15" t="s">
        <v>54</v>
      </c>
      <c r="E1450" s="15" t="s">
        <v>945</v>
      </c>
      <c r="F1450" s="15"/>
      <c r="G1450" s="70">
        <f t="shared" ref="G1450:I1451" si="400">G1451</f>
        <v>67827</v>
      </c>
      <c r="H1450" s="70">
        <f t="shared" si="400"/>
        <v>0</v>
      </c>
      <c r="I1450" s="70">
        <f t="shared" si="400"/>
        <v>0</v>
      </c>
      <c r="J1450" s="177"/>
      <c r="K1450" s="222"/>
      <c r="L1450" s="222"/>
      <c r="M1450" s="222"/>
      <c r="N1450" s="222"/>
      <c r="O1450" s="222"/>
      <c r="P1450" s="222"/>
      <c r="Q1450" s="222"/>
      <c r="R1450" s="222"/>
    </row>
    <row r="1451" spans="1:20" s="46" customFormat="1" ht="27" customHeight="1">
      <c r="A1451" s="16" t="s">
        <v>323</v>
      </c>
      <c r="B1451" s="14">
        <v>793</v>
      </c>
      <c r="C1451" s="15" t="s">
        <v>19</v>
      </c>
      <c r="D1451" s="15" t="s">
        <v>54</v>
      </c>
      <c r="E1451" s="15" t="s">
        <v>945</v>
      </c>
      <c r="F1451" s="15" t="s">
        <v>37</v>
      </c>
      <c r="G1451" s="70">
        <f t="shared" si="400"/>
        <v>67827</v>
      </c>
      <c r="H1451" s="70">
        <f t="shared" si="400"/>
        <v>0</v>
      </c>
      <c r="I1451" s="70">
        <f t="shared" si="400"/>
        <v>0</v>
      </c>
      <c r="J1451" s="177"/>
      <c r="K1451" s="222"/>
      <c r="L1451" s="222"/>
      <c r="M1451" s="222"/>
      <c r="N1451" s="222"/>
      <c r="O1451" s="222"/>
      <c r="P1451" s="222"/>
      <c r="Q1451" s="222"/>
      <c r="R1451" s="222"/>
    </row>
    <row r="1452" spans="1:20" s="46" customFormat="1" ht="25.5">
      <c r="A1452" s="16" t="s">
        <v>38</v>
      </c>
      <c r="B1452" s="14">
        <v>793</v>
      </c>
      <c r="C1452" s="15" t="s">
        <v>19</v>
      </c>
      <c r="D1452" s="15" t="s">
        <v>54</v>
      </c>
      <c r="E1452" s="15" t="s">
        <v>945</v>
      </c>
      <c r="F1452" s="15" t="s">
        <v>39</v>
      </c>
      <c r="G1452" s="70">
        <f>'прил 5,'!G1187</f>
        <v>67827</v>
      </c>
      <c r="H1452" s="70">
        <v>0</v>
      </c>
      <c r="I1452" s="70">
        <v>0</v>
      </c>
      <c r="J1452" s="177"/>
      <c r="K1452" s="222"/>
      <c r="L1452" s="222"/>
      <c r="M1452" s="222"/>
      <c r="N1452" s="222"/>
      <c r="O1452" s="222"/>
      <c r="P1452" s="222"/>
      <c r="Q1452" s="222"/>
      <c r="R1452" s="222"/>
    </row>
    <row r="1453" spans="1:20" s="22" customFormat="1" ht="25.5">
      <c r="A1453" s="34" t="s">
        <v>362</v>
      </c>
      <c r="B1453" s="35">
        <v>794</v>
      </c>
      <c r="C1453" s="36" t="s">
        <v>19</v>
      </c>
      <c r="D1453" s="36" t="s">
        <v>70</v>
      </c>
      <c r="E1453" s="36" t="s">
        <v>263</v>
      </c>
      <c r="F1453" s="36"/>
      <c r="G1453" s="71">
        <f>G1454+G1458+G1462</f>
        <v>3254488.71</v>
      </c>
      <c r="H1453" s="71">
        <f>H1454+H1458+H1462+H1469</f>
        <v>3280281.71</v>
      </c>
      <c r="I1453" s="71">
        <f>I1454+I1458+I1462+I1469</f>
        <v>3306331.71</v>
      </c>
      <c r="J1453" s="21">
        <v>1141737</v>
      </c>
      <c r="P1453" s="21"/>
      <c r="Q1453" s="21"/>
      <c r="R1453" s="21"/>
      <c r="S1453" s="21"/>
      <c r="T1453" s="21"/>
    </row>
    <row r="1454" spans="1:20" s="33" customFormat="1" ht="25.5">
      <c r="A1454" s="16" t="s">
        <v>363</v>
      </c>
      <c r="B1454" s="14">
        <v>794</v>
      </c>
      <c r="C1454" s="15" t="s">
        <v>19</v>
      </c>
      <c r="D1454" s="15" t="s">
        <v>70</v>
      </c>
      <c r="E1454" s="15" t="s">
        <v>264</v>
      </c>
      <c r="F1454" s="39"/>
      <c r="G1454" s="87">
        <f>G1455</f>
        <v>1575485.85</v>
      </c>
      <c r="H1454" s="87">
        <f t="shared" ref="H1454:I1456" si="401">H1455</f>
        <v>1187858</v>
      </c>
      <c r="I1454" s="87">
        <f t="shared" si="401"/>
        <v>1199736</v>
      </c>
      <c r="J1454" s="113">
        <v>541620</v>
      </c>
      <c r="P1454" s="113"/>
      <c r="Q1454" s="113"/>
      <c r="R1454" s="113"/>
      <c r="S1454" s="113"/>
      <c r="T1454" s="113"/>
    </row>
    <row r="1455" spans="1:20" s="33" customFormat="1" ht="25.5">
      <c r="A1455" s="16" t="s">
        <v>76</v>
      </c>
      <c r="B1455" s="14">
        <v>794</v>
      </c>
      <c r="C1455" s="15" t="s">
        <v>19</v>
      </c>
      <c r="D1455" s="15" t="s">
        <v>70</v>
      </c>
      <c r="E1455" s="15" t="s">
        <v>265</v>
      </c>
      <c r="F1455" s="15"/>
      <c r="G1455" s="87">
        <f>G1456</f>
        <v>1575485.85</v>
      </c>
      <c r="H1455" s="87">
        <f t="shared" si="401"/>
        <v>1187858</v>
      </c>
      <c r="I1455" s="87">
        <f t="shared" si="401"/>
        <v>1199736</v>
      </c>
      <c r="J1455" s="113">
        <v>797785</v>
      </c>
      <c r="P1455" s="113"/>
      <c r="Q1455" s="113"/>
      <c r="R1455" s="113"/>
      <c r="S1455" s="113"/>
      <c r="T1455" s="113"/>
    </row>
    <row r="1456" spans="1:20" s="33" customFormat="1" ht="51">
      <c r="A1456" s="56" t="s">
        <v>55</v>
      </c>
      <c r="B1456" s="14">
        <v>794</v>
      </c>
      <c r="C1456" s="15" t="s">
        <v>19</v>
      </c>
      <c r="D1456" s="15" t="s">
        <v>70</v>
      </c>
      <c r="E1456" s="15" t="s">
        <v>265</v>
      </c>
      <c r="F1456" s="15" t="s">
        <v>58</v>
      </c>
      <c r="G1456" s="87">
        <f>G1457</f>
        <v>1575485.85</v>
      </c>
      <c r="H1456" s="87">
        <f t="shared" si="401"/>
        <v>1187858</v>
      </c>
      <c r="I1456" s="87">
        <f t="shared" si="401"/>
        <v>1199736</v>
      </c>
      <c r="J1456" s="113">
        <v>630505</v>
      </c>
      <c r="P1456" s="113"/>
      <c r="Q1456" s="113"/>
      <c r="R1456" s="113"/>
      <c r="S1456" s="113"/>
      <c r="T1456" s="113"/>
    </row>
    <row r="1457" spans="1:20" ht="25.5">
      <c r="A1457" s="56" t="s">
        <v>56</v>
      </c>
      <c r="B1457" s="14">
        <v>794</v>
      </c>
      <c r="C1457" s="15" t="s">
        <v>19</v>
      </c>
      <c r="D1457" s="15" t="s">
        <v>70</v>
      </c>
      <c r="E1457" s="15" t="s">
        <v>265</v>
      </c>
      <c r="F1457" s="15" t="s">
        <v>59</v>
      </c>
      <c r="G1457" s="87">
        <f>'прил 5,'!G1832</f>
        <v>1575485.85</v>
      </c>
      <c r="H1457" s="87">
        <f>'прил 5,'!H1832</f>
        <v>1187858</v>
      </c>
      <c r="I1457" s="87">
        <f>'прил 5,'!I1832</f>
        <v>1199736</v>
      </c>
      <c r="J1457" s="113">
        <v>1885891</v>
      </c>
    </row>
    <row r="1458" spans="1:20" s="33" customFormat="1" ht="25.5">
      <c r="A1458" s="16" t="s">
        <v>364</v>
      </c>
      <c r="B1458" s="14">
        <v>794</v>
      </c>
      <c r="C1458" s="15" t="s">
        <v>19</v>
      </c>
      <c r="D1458" s="15" t="s">
        <v>70</v>
      </c>
      <c r="E1458" s="15" t="s">
        <v>266</v>
      </c>
      <c r="F1458" s="39"/>
      <c r="G1458" s="87">
        <f>G1459</f>
        <v>165512</v>
      </c>
      <c r="H1458" s="87">
        <f t="shared" ref="H1458:I1460" si="402">H1459</f>
        <v>505512</v>
      </c>
      <c r="I1458" s="87">
        <f t="shared" si="402"/>
        <v>505512</v>
      </c>
      <c r="J1458" s="113">
        <v>61300</v>
      </c>
      <c r="P1458" s="113"/>
      <c r="Q1458" s="113"/>
      <c r="R1458" s="113"/>
      <c r="S1458" s="113"/>
      <c r="T1458" s="113"/>
    </row>
    <row r="1459" spans="1:20" s="33" customFormat="1" ht="25.5">
      <c r="A1459" s="16" t="s">
        <v>76</v>
      </c>
      <c r="B1459" s="14">
        <v>794</v>
      </c>
      <c r="C1459" s="15" t="s">
        <v>19</v>
      </c>
      <c r="D1459" s="15" t="s">
        <v>70</v>
      </c>
      <c r="E1459" s="15" t="s">
        <v>267</v>
      </c>
      <c r="F1459" s="15"/>
      <c r="G1459" s="87">
        <f>G1460</f>
        <v>165512</v>
      </c>
      <c r="H1459" s="87">
        <f t="shared" si="402"/>
        <v>505512</v>
      </c>
      <c r="I1459" s="87">
        <f t="shared" si="402"/>
        <v>505512</v>
      </c>
      <c r="J1459" s="113">
        <f>SUM(J1453:J1458)</f>
        <v>5058838</v>
      </c>
      <c r="P1459" s="113"/>
      <c r="Q1459" s="113"/>
      <c r="R1459" s="113"/>
      <c r="S1459" s="113"/>
      <c r="T1459" s="113"/>
    </row>
    <row r="1460" spans="1:20" s="33" customFormat="1" ht="51">
      <c r="A1460" s="56" t="s">
        <v>55</v>
      </c>
      <c r="B1460" s="14">
        <v>794</v>
      </c>
      <c r="C1460" s="15" t="s">
        <v>19</v>
      </c>
      <c r="D1460" s="15" t="s">
        <v>70</v>
      </c>
      <c r="E1460" s="15" t="s">
        <v>267</v>
      </c>
      <c r="F1460" s="15" t="s">
        <v>58</v>
      </c>
      <c r="G1460" s="87">
        <f>G1461</f>
        <v>165512</v>
      </c>
      <c r="H1460" s="87">
        <f t="shared" si="402"/>
        <v>505512</v>
      </c>
      <c r="I1460" s="87">
        <f t="shared" si="402"/>
        <v>505512</v>
      </c>
      <c r="J1460" s="113"/>
      <c r="P1460" s="113"/>
      <c r="Q1460" s="113"/>
      <c r="R1460" s="113"/>
      <c r="S1460" s="113"/>
      <c r="T1460" s="113"/>
    </row>
    <row r="1461" spans="1:20" s="33" customFormat="1" ht="25.5">
      <c r="A1461" s="56" t="s">
        <v>56</v>
      </c>
      <c r="B1461" s="14">
        <v>794</v>
      </c>
      <c r="C1461" s="15" t="s">
        <v>19</v>
      </c>
      <c r="D1461" s="15" t="s">
        <v>70</v>
      </c>
      <c r="E1461" s="15" t="s">
        <v>267</v>
      </c>
      <c r="F1461" s="15" t="s">
        <v>59</v>
      </c>
      <c r="G1461" s="87">
        <f>'прил 5,'!G1836</f>
        <v>165512</v>
      </c>
      <c r="H1461" s="87">
        <f>'прил 5,'!H1834</f>
        <v>505512</v>
      </c>
      <c r="I1461" s="87">
        <f>'прил 5,'!I1834</f>
        <v>505512</v>
      </c>
      <c r="J1461" s="113"/>
      <c r="P1461" s="113"/>
      <c r="Q1461" s="113"/>
      <c r="R1461" s="113"/>
      <c r="S1461" s="113"/>
      <c r="T1461" s="113"/>
    </row>
    <row r="1462" spans="1:20">
      <c r="A1462" s="56" t="s">
        <v>365</v>
      </c>
      <c r="B1462" s="14">
        <v>794</v>
      </c>
      <c r="C1462" s="15" t="s">
        <v>19</v>
      </c>
      <c r="D1462" s="15" t="s">
        <v>70</v>
      </c>
      <c r="E1462" s="15" t="s">
        <v>268</v>
      </c>
      <c r="F1462" s="15"/>
      <c r="G1462" s="87">
        <f>G1463</f>
        <v>1513490.8599999999</v>
      </c>
      <c r="H1462" s="87">
        <f>H1463</f>
        <v>1586911.71</v>
      </c>
      <c r="I1462" s="87">
        <f>I1463</f>
        <v>1601083.71</v>
      </c>
    </row>
    <row r="1463" spans="1:20" s="33" customFormat="1" ht="25.5">
      <c r="A1463" s="16" t="s">
        <v>76</v>
      </c>
      <c r="B1463" s="14">
        <v>794</v>
      </c>
      <c r="C1463" s="15" t="s">
        <v>19</v>
      </c>
      <c r="D1463" s="15" t="s">
        <v>70</v>
      </c>
      <c r="E1463" s="15" t="s">
        <v>269</v>
      </c>
      <c r="F1463" s="39"/>
      <c r="G1463" s="87">
        <f>G1464+G1466</f>
        <v>1513490.8599999999</v>
      </c>
      <c r="H1463" s="87">
        <f>H1464+H1466</f>
        <v>1586911.71</v>
      </c>
      <c r="I1463" s="87">
        <f>I1464+I1466</f>
        <v>1601083.71</v>
      </c>
      <c r="J1463" s="113"/>
      <c r="P1463" s="113"/>
      <c r="Q1463" s="113"/>
      <c r="R1463" s="113"/>
      <c r="S1463" s="113"/>
      <c r="T1463" s="113"/>
    </row>
    <row r="1464" spans="1:20" ht="51">
      <c r="A1464" s="56" t="s">
        <v>55</v>
      </c>
      <c r="B1464" s="14">
        <v>794</v>
      </c>
      <c r="C1464" s="15" t="s">
        <v>19</v>
      </c>
      <c r="D1464" s="15" t="s">
        <v>70</v>
      </c>
      <c r="E1464" s="15" t="s">
        <v>269</v>
      </c>
      <c r="F1464" s="15" t="s">
        <v>58</v>
      </c>
      <c r="G1464" s="87">
        <f>G1465</f>
        <v>1168379.71</v>
      </c>
      <c r="H1464" s="87">
        <f>H1465</f>
        <v>1232411.71</v>
      </c>
      <c r="I1464" s="87">
        <f>I1465</f>
        <v>1246583.71</v>
      </c>
    </row>
    <row r="1465" spans="1:20" ht="25.5">
      <c r="A1465" s="56" t="s">
        <v>56</v>
      </c>
      <c r="B1465" s="14">
        <v>794</v>
      </c>
      <c r="C1465" s="15" t="s">
        <v>19</v>
      </c>
      <c r="D1465" s="15" t="s">
        <v>70</v>
      </c>
      <c r="E1465" s="15" t="s">
        <v>269</v>
      </c>
      <c r="F1465" s="15" t="s">
        <v>59</v>
      </c>
      <c r="G1465" s="87">
        <f>'прил 5,'!G1840</f>
        <v>1168379.71</v>
      </c>
      <c r="H1465" s="87">
        <f>'прил 5,'!H1840</f>
        <v>1232411.71</v>
      </c>
      <c r="I1465" s="87">
        <f>'прил 5,'!I1840</f>
        <v>1246583.71</v>
      </c>
    </row>
    <row r="1466" spans="1:20" ht="25.5">
      <c r="A1466" s="16" t="s">
        <v>36</v>
      </c>
      <c r="B1466" s="14">
        <v>794</v>
      </c>
      <c r="C1466" s="15" t="s">
        <v>19</v>
      </c>
      <c r="D1466" s="15" t="s">
        <v>70</v>
      </c>
      <c r="E1466" s="15" t="s">
        <v>269</v>
      </c>
      <c r="F1466" s="15" t="s">
        <v>37</v>
      </c>
      <c r="G1466" s="87">
        <f>G1467</f>
        <v>345111.15</v>
      </c>
      <c r="H1466" s="87">
        <f>H1467</f>
        <v>354500</v>
      </c>
      <c r="I1466" s="87">
        <f>I1467</f>
        <v>354500</v>
      </c>
    </row>
    <row r="1467" spans="1:20" ht="25.5">
      <c r="A1467" s="16" t="s">
        <v>38</v>
      </c>
      <c r="B1467" s="14">
        <v>794</v>
      </c>
      <c r="C1467" s="15" t="s">
        <v>19</v>
      </c>
      <c r="D1467" s="15" t="s">
        <v>70</v>
      </c>
      <c r="E1467" s="15" t="s">
        <v>269</v>
      </c>
      <c r="F1467" s="15" t="s">
        <v>39</v>
      </c>
      <c r="G1467" s="87">
        <f>'прил 5,'!G1842</f>
        <v>345111.15</v>
      </c>
      <c r="H1467" s="87">
        <f>'прил 5,'!H1842</f>
        <v>354500</v>
      </c>
      <c r="I1467" s="87">
        <f>'прил 5,'!I1842</f>
        <v>354500</v>
      </c>
    </row>
    <row r="1468" spans="1:20" s="22" customFormat="1" ht="25.5">
      <c r="A1468" s="34" t="s">
        <v>845</v>
      </c>
      <c r="B1468" s="35">
        <v>799</v>
      </c>
      <c r="C1468" s="36" t="s">
        <v>19</v>
      </c>
      <c r="D1468" s="36" t="s">
        <v>161</v>
      </c>
      <c r="E1468" s="36" t="s">
        <v>846</v>
      </c>
      <c r="F1468" s="36"/>
      <c r="G1468" s="71">
        <f>G1470+G1475</f>
        <v>2477384.79</v>
      </c>
      <c r="H1468" s="71">
        <f t="shared" ref="H1468:I1468" si="403">H1470</f>
        <v>2448139.29</v>
      </c>
      <c r="I1468" s="71">
        <f t="shared" si="403"/>
        <v>2467096.29</v>
      </c>
      <c r="P1468" s="21"/>
      <c r="Q1468" s="21"/>
      <c r="R1468" s="21"/>
      <c r="S1468" s="21"/>
      <c r="T1468" s="21"/>
    </row>
    <row r="1469" spans="1:20" s="46" customFormat="1" ht="25.5" hidden="1">
      <c r="A1469" s="56" t="s">
        <v>367</v>
      </c>
      <c r="B1469" s="14">
        <v>794</v>
      </c>
      <c r="C1469" s="15" t="s">
        <v>19</v>
      </c>
      <c r="D1469" s="15" t="s">
        <v>161</v>
      </c>
      <c r="E1469" s="15" t="s">
        <v>270</v>
      </c>
      <c r="F1469" s="15"/>
      <c r="G1469" s="87"/>
      <c r="H1469" s="87"/>
      <c r="I1469" s="87"/>
      <c r="J1469" s="110"/>
      <c r="P1469" s="110"/>
      <c r="Q1469" s="110"/>
      <c r="R1469" s="110"/>
      <c r="S1469" s="110"/>
      <c r="T1469" s="110"/>
    </row>
    <row r="1470" spans="1:20" s="46" customFormat="1" ht="25.5">
      <c r="A1470" s="16" t="s">
        <v>76</v>
      </c>
      <c r="B1470" s="14">
        <v>794</v>
      </c>
      <c r="C1470" s="15" t="s">
        <v>19</v>
      </c>
      <c r="D1470" s="15" t="s">
        <v>161</v>
      </c>
      <c r="E1470" s="15" t="s">
        <v>847</v>
      </c>
      <c r="F1470" s="15"/>
      <c r="G1470" s="87">
        <f>G1471+G1473</f>
        <v>2429370.29</v>
      </c>
      <c r="H1470" s="87">
        <f t="shared" ref="H1470:I1470" si="404">H1471+H1473</f>
        <v>2448139.29</v>
      </c>
      <c r="I1470" s="87">
        <f t="shared" si="404"/>
        <v>2467096.29</v>
      </c>
      <c r="J1470" s="110"/>
      <c r="P1470" s="110"/>
      <c r="Q1470" s="110"/>
      <c r="R1470" s="110"/>
      <c r="S1470" s="110"/>
      <c r="T1470" s="110"/>
    </row>
    <row r="1471" spans="1:20" s="3" customFormat="1" ht="51">
      <c r="A1471" s="56" t="s">
        <v>55</v>
      </c>
      <c r="B1471" s="14">
        <v>794</v>
      </c>
      <c r="C1471" s="15" t="s">
        <v>19</v>
      </c>
      <c r="D1471" s="15" t="s">
        <v>161</v>
      </c>
      <c r="E1471" s="15" t="s">
        <v>847</v>
      </c>
      <c r="F1471" s="15" t="s">
        <v>58</v>
      </c>
      <c r="G1471" s="87">
        <f>G1472</f>
        <v>2295770.29</v>
      </c>
      <c r="H1471" s="87">
        <f>H1472</f>
        <v>2314539.29</v>
      </c>
      <c r="I1471" s="87">
        <f>I1472</f>
        <v>2333496.29</v>
      </c>
      <c r="J1471" s="111"/>
      <c r="P1471" s="111"/>
      <c r="Q1471" s="111"/>
      <c r="R1471" s="111"/>
      <c r="S1471" s="111"/>
      <c r="T1471" s="111"/>
    </row>
    <row r="1472" spans="1:20" s="3" customFormat="1" ht="25.5">
      <c r="A1472" s="56" t="s">
        <v>56</v>
      </c>
      <c r="B1472" s="14">
        <v>794</v>
      </c>
      <c r="C1472" s="15" t="s">
        <v>19</v>
      </c>
      <c r="D1472" s="15" t="s">
        <v>161</v>
      </c>
      <c r="E1472" s="15" t="s">
        <v>847</v>
      </c>
      <c r="F1472" s="15" t="s">
        <v>59</v>
      </c>
      <c r="G1472" s="87">
        <f>'прил 5,'!G2264</f>
        <v>2295770.29</v>
      </c>
      <c r="H1472" s="87">
        <f>'прил 5,'!H2264</f>
        <v>2314539.29</v>
      </c>
      <c r="I1472" s="87">
        <f>'прил 5,'!I2264</f>
        <v>2333496.29</v>
      </c>
      <c r="J1472" s="111"/>
      <c r="P1472" s="111"/>
      <c r="Q1472" s="111"/>
      <c r="R1472" s="111"/>
      <c r="S1472" s="111"/>
      <c r="T1472" s="111"/>
    </row>
    <row r="1473" spans="1:20" s="3" customFormat="1" ht="25.5">
      <c r="A1473" s="16" t="s">
        <v>36</v>
      </c>
      <c r="B1473" s="14">
        <v>794</v>
      </c>
      <c r="C1473" s="15" t="s">
        <v>19</v>
      </c>
      <c r="D1473" s="15" t="s">
        <v>161</v>
      </c>
      <c r="E1473" s="15" t="s">
        <v>847</v>
      </c>
      <c r="F1473" s="15" t="s">
        <v>37</v>
      </c>
      <c r="G1473" s="87">
        <f>G1474</f>
        <v>133600</v>
      </c>
      <c r="H1473" s="87">
        <f>H1474</f>
        <v>133600</v>
      </c>
      <c r="I1473" s="87">
        <f>I1474</f>
        <v>133600</v>
      </c>
      <c r="J1473" s="111"/>
      <c r="P1473" s="111"/>
      <c r="Q1473" s="111"/>
      <c r="R1473" s="111"/>
      <c r="S1473" s="111"/>
      <c r="T1473" s="111"/>
    </row>
    <row r="1474" spans="1:20" s="3" customFormat="1" ht="25.5">
      <c r="A1474" s="16" t="s">
        <v>38</v>
      </c>
      <c r="B1474" s="14">
        <v>794</v>
      </c>
      <c r="C1474" s="15" t="s">
        <v>19</v>
      </c>
      <c r="D1474" s="15" t="s">
        <v>161</v>
      </c>
      <c r="E1474" s="15" t="s">
        <v>847</v>
      </c>
      <c r="F1474" s="15" t="s">
        <v>39</v>
      </c>
      <c r="G1474" s="87">
        <f>'прил 5,'!G2266</f>
        <v>133600</v>
      </c>
      <c r="H1474" s="87">
        <f>'прил 5,'!H2266</f>
        <v>133600</v>
      </c>
      <c r="I1474" s="87">
        <f>'прил 5,'!I2266</f>
        <v>133600</v>
      </c>
      <c r="J1474" s="111"/>
      <c r="P1474" s="111"/>
      <c r="Q1474" s="111"/>
      <c r="R1474" s="111"/>
      <c r="S1474" s="111"/>
      <c r="T1474" s="111"/>
    </row>
    <row r="1475" spans="1:20" s="3" customFormat="1" ht="74.25" customHeight="1">
      <c r="A1475" s="30" t="s">
        <v>140</v>
      </c>
      <c r="B1475" s="14">
        <v>794</v>
      </c>
      <c r="C1475" s="15" t="s">
        <v>19</v>
      </c>
      <c r="D1475" s="15" t="s">
        <v>161</v>
      </c>
      <c r="E1475" s="15" t="s">
        <v>955</v>
      </c>
      <c r="F1475" s="15"/>
      <c r="G1475" s="87">
        <f t="shared" ref="G1475:I1476" si="405">G1476</f>
        <v>48014.5</v>
      </c>
      <c r="H1475" s="87">
        <f t="shared" si="405"/>
        <v>0</v>
      </c>
      <c r="I1475" s="87">
        <f t="shared" si="405"/>
        <v>0</v>
      </c>
      <c r="J1475" s="111"/>
      <c r="P1475" s="111"/>
      <c r="Q1475" s="111"/>
      <c r="R1475" s="111"/>
      <c r="S1475" s="111"/>
      <c r="T1475" s="111"/>
    </row>
    <row r="1476" spans="1:20" s="3" customFormat="1" ht="37.5" customHeight="1">
      <c r="A1476" s="16" t="s">
        <v>36</v>
      </c>
      <c r="B1476" s="14">
        <v>794</v>
      </c>
      <c r="C1476" s="15" t="s">
        <v>19</v>
      </c>
      <c r="D1476" s="15" t="s">
        <v>161</v>
      </c>
      <c r="E1476" s="15" t="s">
        <v>955</v>
      </c>
      <c r="F1476" s="15" t="s">
        <v>37</v>
      </c>
      <c r="G1476" s="87">
        <f t="shared" si="405"/>
        <v>48014.5</v>
      </c>
      <c r="H1476" s="87">
        <f t="shared" si="405"/>
        <v>0</v>
      </c>
      <c r="I1476" s="87">
        <f t="shared" si="405"/>
        <v>0</v>
      </c>
      <c r="J1476" s="111"/>
      <c r="P1476" s="111"/>
      <c r="Q1476" s="111"/>
      <c r="R1476" s="111"/>
      <c r="S1476" s="111"/>
      <c r="T1476" s="111"/>
    </row>
    <row r="1477" spans="1:20" s="3" customFormat="1" ht="38.25" customHeight="1">
      <c r="A1477" s="16" t="s">
        <v>38</v>
      </c>
      <c r="B1477" s="14">
        <v>794</v>
      </c>
      <c r="C1477" s="15" t="s">
        <v>19</v>
      </c>
      <c r="D1477" s="15" t="s">
        <v>161</v>
      </c>
      <c r="E1477" s="15" t="s">
        <v>955</v>
      </c>
      <c r="F1477" s="15" t="s">
        <v>39</v>
      </c>
      <c r="G1477" s="87">
        <f>'прил 5,'!G2269</f>
        <v>48014.5</v>
      </c>
      <c r="H1477" s="87">
        <f>'прил 5,'!H2269</f>
        <v>0</v>
      </c>
      <c r="I1477" s="87">
        <f>'прил 5,'!I2269</f>
        <v>0</v>
      </c>
      <c r="J1477" s="111"/>
      <c r="P1477" s="111"/>
      <c r="Q1477" s="111"/>
      <c r="R1477" s="111"/>
      <c r="S1477" s="111"/>
      <c r="T1477" s="111"/>
    </row>
    <row r="1478" spans="1:20" s="22" customFormat="1" ht="25.5">
      <c r="A1478" s="240" t="s">
        <v>332</v>
      </c>
      <c r="B1478" s="35">
        <v>793</v>
      </c>
      <c r="C1478" s="36" t="s">
        <v>19</v>
      </c>
      <c r="D1478" s="36" t="s">
        <v>23</v>
      </c>
      <c r="E1478" s="36" t="s">
        <v>250</v>
      </c>
      <c r="F1478" s="36"/>
      <c r="G1478" s="71">
        <f>G1479</f>
        <v>16347013</v>
      </c>
      <c r="H1478" s="71">
        <f>H1479</f>
        <v>16249381</v>
      </c>
      <c r="I1478" s="71">
        <f>I1479</f>
        <v>16387204</v>
      </c>
      <c r="J1478" s="21">
        <v>8109357</v>
      </c>
      <c r="P1478" s="21"/>
      <c r="Q1478" s="21"/>
      <c r="R1478" s="21"/>
      <c r="S1478" s="21"/>
      <c r="T1478" s="21"/>
    </row>
    <row r="1479" spans="1:20" s="90" customFormat="1" ht="25.5" customHeight="1">
      <c r="A1479" s="82" t="s">
        <v>50</v>
      </c>
      <c r="B1479" s="149">
        <v>793</v>
      </c>
      <c r="C1479" s="84" t="s">
        <v>19</v>
      </c>
      <c r="D1479" s="84" t="s">
        <v>23</v>
      </c>
      <c r="E1479" s="84" t="s">
        <v>292</v>
      </c>
      <c r="F1479" s="84"/>
      <c r="G1479" s="87">
        <f>G1480+G1482+G1484</f>
        <v>16347013</v>
      </c>
      <c r="H1479" s="87">
        <f>H1480+H1482+H1484</f>
        <v>16249381</v>
      </c>
      <c r="I1479" s="87">
        <f>I1480+I1482+I1484</f>
        <v>16387204</v>
      </c>
      <c r="J1479" s="126">
        <v>6041147</v>
      </c>
      <c r="P1479" s="126"/>
      <c r="Q1479" s="126"/>
      <c r="R1479" s="126"/>
      <c r="S1479" s="126"/>
      <c r="T1479" s="126"/>
    </row>
    <row r="1480" spans="1:20" s="90" customFormat="1" ht="51">
      <c r="A1480" s="82" t="s">
        <v>319</v>
      </c>
      <c r="B1480" s="149">
        <v>793</v>
      </c>
      <c r="C1480" s="84" t="s">
        <v>19</v>
      </c>
      <c r="D1480" s="84" t="s">
        <v>23</v>
      </c>
      <c r="E1480" s="84" t="s">
        <v>292</v>
      </c>
      <c r="F1480" s="84" t="s">
        <v>58</v>
      </c>
      <c r="G1480" s="87">
        <f>G1481</f>
        <v>9569745</v>
      </c>
      <c r="H1480" s="87">
        <f>H1481</f>
        <v>9427412</v>
      </c>
      <c r="I1480" s="87">
        <f>I1481</f>
        <v>9520086</v>
      </c>
      <c r="J1480" s="126">
        <v>496800</v>
      </c>
      <c r="P1480" s="126"/>
      <c r="Q1480" s="126"/>
      <c r="R1480" s="126"/>
      <c r="S1480" s="126"/>
      <c r="T1480" s="126"/>
    </row>
    <row r="1481" spans="1:20" s="90" customFormat="1">
      <c r="A1481" s="82" t="s">
        <v>326</v>
      </c>
      <c r="B1481" s="149"/>
      <c r="C1481" s="84"/>
      <c r="D1481" s="84"/>
      <c r="E1481" s="84" t="s">
        <v>292</v>
      </c>
      <c r="F1481" s="84" t="s">
        <v>325</v>
      </c>
      <c r="G1481" s="87">
        <f>'прил 5,'!G1254</f>
        <v>9569745</v>
      </c>
      <c r="H1481" s="87">
        <f>'прил 5,'!H1254</f>
        <v>9427412</v>
      </c>
      <c r="I1481" s="87">
        <f>'прил 5,'!I1254</f>
        <v>9520086</v>
      </c>
      <c r="J1481" s="126">
        <f>SUM(J1478:J1480)</f>
        <v>14647304</v>
      </c>
      <c r="P1481" s="126"/>
      <c r="Q1481" s="126"/>
      <c r="R1481" s="126"/>
      <c r="S1481" s="126"/>
      <c r="T1481" s="126"/>
    </row>
    <row r="1482" spans="1:20" s="90" customFormat="1" ht="24" customHeight="1">
      <c r="A1482" s="82" t="s">
        <v>323</v>
      </c>
      <c r="B1482" s="149">
        <v>793</v>
      </c>
      <c r="C1482" s="84" t="s">
        <v>19</v>
      </c>
      <c r="D1482" s="84" t="s">
        <v>23</v>
      </c>
      <c r="E1482" s="84" t="s">
        <v>292</v>
      </c>
      <c r="F1482" s="84" t="s">
        <v>37</v>
      </c>
      <c r="G1482" s="87">
        <f>G1483</f>
        <v>6721909</v>
      </c>
      <c r="H1482" s="87">
        <f>H1483</f>
        <v>6766610</v>
      </c>
      <c r="I1482" s="87">
        <f>I1483</f>
        <v>6811759</v>
      </c>
      <c r="J1482" s="126"/>
      <c r="P1482" s="126"/>
      <c r="Q1482" s="126"/>
      <c r="R1482" s="126"/>
      <c r="S1482" s="126"/>
      <c r="T1482" s="126"/>
    </row>
    <row r="1483" spans="1:20" s="90" customFormat="1" ht="24" customHeight="1">
      <c r="A1483" s="82" t="s">
        <v>38</v>
      </c>
      <c r="B1483" s="149">
        <v>793</v>
      </c>
      <c r="C1483" s="84" t="s">
        <v>19</v>
      </c>
      <c r="D1483" s="84" t="s">
        <v>23</v>
      </c>
      <c r="E1483" s="84" t="s">
        <v>292</v>
      </c>
      <c r="F1483" s="84" t="s">
        <v>39</v>
      </c>
      <c r="G1483" s="87">
        <f>'прил 5,'!G1256</f>
        <v>6721909</v>
      </c>
      <c r="H1483" s="87">
        <f>'прил 5,'!H1256</f>
        <v>6766610</v>
      </c>
      <c r="I1483" s="87">
        <f>'прил 5,'!I1256</f>
        <v>6811759</v>
      </c>
      <c r="J1483" s="126"/>
      <c r="P1483" s="126"/>
      <c r="Q1483" s="126"/>
      <c r="R1483" s="126"/>
      <c r="S1483" s="126"/>
      <c r="T1483" s="126"/>
    </row>
    <row r="1484" spans="1:20" s="90" customFormat="1" ht="24" customHeight="1">
      <c r="A1484" s="82" t="s">
        <v>63</v>
      </c>
      <c r="B1484" s="149">
        <v>793</v>
      </c>
      <c r="C1484" s="84" t="s">
        <v>19</v>
      </c>
      <c r="D1484" s="84" t="s">
        <v>23</v>
      </c>
      <c r="E1484" s="84" t="s">
        <v>292</v>
      </c>
      <c r="F1484" s="84" t="s">
        <v>64</v>
      </c>
      <c r="G1484" s="87">
        <f>G1486+G1485</f>
        <v>55359</v>
      </c>
      <c r="H1484" s="87">
        <f>H1486+H1485</f>
        <v>55359</v>
      </c>
      <c r="I1484" s="87">
        <f>I1486+I1485</f>
        <v>55359</v>
      </c>
      <c r="J1484" s="126"/>
      <c r="P1484" s="126"/>
      <c r="Q1484" s="126"/>
      <c r="R1484" s="126"/>
      <c r="S1484" s="126"/>
      <c r="T1484" s="126"/>
    </row>
    <row r="1485" spans="1:20" s="90" customFormat="1" ht="24" hidden="1" customHeight="1">
      <c r="A1485" s="82" t="s">
        <v>328</v>
      </c>
      <c r="B1485" s="149">
        <v>793</v>
      </c>
      <c r="C1485" s="84" t="s">
        <v>19</v>
      </c>
      <c r="D1485" s="84" t="s">
        <v>23</v>
      </c>
      <c r="E1485" s="84" t="s">
        <v>292</v>
      </c>
      <c r="F1485" s="84" t="s">
        <v>327</v>
      </c>
      <c r="G1485" s="87">
        <f>'прил 5,'!G1260</f>
        <v>0</v>
      </c>
      <c r="H1485" s="87">
        <f>'прил 5,'!AH1260</f>
        <v>0</v>
      </c>
      <c r="I1485" s="87">
        <f>'прил 5,'!AI1260</f>
        <v>0</v>
      </c>
      <c r="J1485" s="126"/>
      <c r="P1485" s="126"/>
      <c r="Q1485" s="126"/>
      <c r="R1485" s="126"/>
      <c r="S1485" s="126"/>
      <c r="T1485" s="126"/>
    </row>
    <row r="1486" spans="1:20" s="90" customFormat="1" ht="24" customHeight="1">
      <c r="A1486" s="82" t="s">
        <v>144</v>
      </c>
      <c r="B1486" s="149">
        <v>793</v>
      </c>
      <c r="C1486" s="84" t="s">
        <v>19</v>
      </c>
      <c r="D1486" s="84" t="s">
        <v>23</v>
      </c>
      <c r="E1486" s="84" t="s">
        <v>292</v>
      </c>
      <c r="F1486" s="84" t="s">
        <v>67</v>
      </c>
      <c r="G1486" s="87">
        <f>'прил 5,'!G1261</f>
        <v>55359</v>
      </c>
      <c r="H1486" s="87">
        <f>'прил 5,'!H1261</f>
        <v>55359</v>
      </c>
      <c r="I1486" s="87">
        <f>'прил 5,'!I1261</f>
        <v>55359</v>
      </c>
      <c r="J1486" s="126"/>
      <c r="P1486" s="126"/>
      <c r="Q1486" s="126"/>
      <c r="R1486" s="126"/>
      <c r="S1486" s="126"/>
      <c r="T1486" s="126"/>
    </row>
    <row r="1487" spans="1:20" s="161" customFormat="1" ht="34.5" customHeight="1">
      <c r="A1487" s="158" t="s">
        <v>169</v>
      </c>
      <c r="B1487" s="155">
        <v>793</v>
      </c>
      <c r="C1487" s="156" t="s">
        <v>19</v>
      </c>
      <c r="D1487" s="156" t="s">
        <v>72</v>
      </c>
      <c r="E1487" s="156" t="s">
        <v>233</v>
      </c>
      <c r="F1487" s="159"/>
      <c r="G1487" s="157">
        <f>G1488</f>
        <v>2190000</v>
      </c>
      <c r="H1487" s="157">
        <f t="shared" ref="H1487:I1487" si="406">H1488</f>
        <v>1000000</v>
      </c>
      <c r="I1487" s="157">
        <f t="shared" si="406"/>
        <v>1000000</v>
      </c>
      <c r="J1487" s="160">
        <v>1000000</v>
      </c>
      <c r="P1487" s="160"/>
      <c r="Q1487" s="160"/>
      <c r="R1487" s="160"/>
      <c r="S1487" s="160"/>
      <c r="T1487" s="160"/>
    </row>
    <row r="1488" spans="1:20" s="90" customFormat="1" ht="25.5">
      <c r="A1488" s="139" t="s">
        <v>169</v>
      </c>
      <c r="B1488" s="149">
        <v>793</v>
      </c>
      <c r="C1488" s="84" t="s">
        <v>19</v>
      </c>
      <c r="D1488" s="84" t="s">
        <v>72</v>
      </c>
      <c r="E1488" s="84" t="s">
        <v>275</v>
      </c>
      <c r="F1488" s="149"/>
      <c r="G1488" s="87">
        <f>G1489+G1491+G1493+G1495+G1497</f>
        <v>2190000</v>
      </c>
      <c r="H1488" s="87">
        <f t="shared" ref="H1488:I1488" si="407">H1489+H1491+H1493+H1495+H1497</f>
        <v>1000000</v>
      </c>
      <c r="I1488" s="87">
        <f t="shared" si="407"/>
        <v>1000000</v>
      </c>
      <c r="J1488" s="126"/>
      <c r="P1488" s="126"/>
      <c r="Q1488" s="126"/>
      <c r="R1488" s="126"/>
      <c r="S1488" s="126"/>
      <c r="T1488" s="126"/>
    </row>
    <row r="1489" spans="1:20" s="90" customFormat="1" ht="27.75" customHeight="1">
      <c r="A1489" s="16" t="s">
        <v>323</v>
      </c>
      <c r="B1489" s="14">
        <v>793</v>
      </c>
      <c r="C1489" s="15" t="s">
        <v>19</v>
      </c>
      <c r="D1489" s="15" t="s">
        <v>23</v>
      </c>
      <c r="E1489" s="15" t="s">
        <v>275</v>
      </c>
      <c r="F1489" s="15" t="s">
        <v>37</v>
      </c>
      <c r="G1489" s="87">
        <f>G1490</f>
        <v>642670</v>
      </c>
      <c r="H1489" s="87"/>
      <c r="I1489" s="87"/>
      <c r="J1489" s="126"/>
      <c r="P1489" s="126"/>
      <c r="Q1489" s="126"/>
      <c r="R1489" s="126"/>
      <c r="S1489" s="126"/>
      <c r="T1489" s="126"/>
    </row>
    <row r="1490" spans="1:20" s="90" customFormat="1" ht="27.75" customHeight="1">
      <c r="A1490" s="16" t="s">
        <v>38</v>
      </c>
      <c r="B1490" s="14">
        <v>793</v>
      </c>
      <c r="C1490" s="15" t="s">
        <v>19</v>
      </c>
      <c r="D1490" s="15" t="s">
        <v>23</v>
      </c>
      <c r="E1490" s="15" t="s">
        <v>275</v>
      </c>
      <c r="F1490" s="15" t="s">
        <v>39</v>
      </c>
      <c r="G1490" s="87">
        <f>'прил 5,'!G1262+'прил 5,'!G413+'прил 5,'!G1355+'прил 5,'!G1482+'прил 5,'!G1703+'прил 5,'!G1321+'прил 5,'!G1376+'прил 5,'!G1591</f>
        <v>642670</v>
      </c>
      <c r="H1490" s="87"/>
      <c r="I1490" s="87"/>
      <c r="J1490" s="126"/>
      <c r="P1490" s="126"/>
      <c r="Q1490" s="126"/>
      <c r="R1490" s="126"/>
      <c r="S1490" s="126"/>
      <c r="T1490" s="126"/>
    </row>
    <row r="1491" spans="1:20" s="90" customFormat="1" ht="30.75" customHeight="1">
      <c r="A1491" s="82" t="s">
        <v>358</v>
      </c>
      <c r="B1491" s="149">
        <v>793</v>
      </c>
      <c r="C1491" s="84" t="s">
        <v>69</v>
      </c>
      <c r="D1491" s="84" t="s">
        <v>70</v>
      </c>
      <c r="E1491" s="84" t="s">
        <v>275</v>
      </c>
      <c r="F1491" s="84" t="s">
        <v>149</v>
      </c>
      <c r="G1491" s="87">
        <f>G1492</f>
        <v>85000</v>
      </c>
      <c r="H1491" s="87">
        <f>H1492</f>
        <v>0</v>
      </c>
      <c r="I1491" s="87">
        <f>I1492</f>
        <v>0</v>
      </c>
      <c r="J1491" s="126"/>
      <c r="P1491" s="126"/>
      <c r="Q1491" s="126"/>
      <c r="R1491" s="126"/>
      <c r="S1491" s="126"/>
      <c r="T1491" s="126"/>
    </row>
    <row r="1492" spans="1:20" s="90" customFormat="1" ht="30.75" customHeight="1">
      <c r="A1492" s="82" t="s">
        <v>354</v>
      </c>
      <c r="B1492" s="149">
        <v>793</v>
      </c>
      <c r="C1492" s="84" t="s">
        <v>69</v>
      </c>
      <c r="D1492" s="84" t="s">
        <v>70</v>
      </c>
      <c r="E1492" s="84" t="s">
        <v>275</v>
      </c>
      <c r="F1492" s="84" t="s">
        <v>151</v>
      </c>
      <c r="G1492" s="87">
        <f>'прил 5,'!G1755</f>
        <v>85000</v>
      </c>
      <c r="H1492" s="87">
        <f>'прил 5,'!H1755</f>
        <v>0</v>
      </c>
      <c r="I1492" s="87">
        <f>'прил 5,'!I1755</f>
        <v>0</v>
      </c>
      <c r="J1492" s="126"/>
      <c r="P1492" s="126"/>
      <c r="Q1492" s="126"/>
      <c r="R1492" s="126"/>
      <c r="S1492" s="126"/>
      <c r="T1492" s="126"/>
    </row>
    <row r="1493" spans="1:20" s="90" customFormat="1" ht="30.75" customHeight="1">
      <c r="A1493" s="82" t="s">
        <v>156</v>
      </c>
      <c r="B1493" s="149">
        <v>793</v>
      </c>
      <c r="C1493" s="84" t="s">
        <v>173</v>
      </c>
      <c r="D1493" s="84" t="s">
        <v>70</v>
      </c>
      <c r="E1493" s="84" t="s">
        <v>275</v>
      </c>
      <c r="F1493" s="84" t="s">
        <v>157</v>
      </c>
      <c r="G1493" s="87">
        <f>G1494</f>
        <v>892825.94</v>
      </c>
      <c r="H1493" s="87">
        <v>0</v>
      </c>
      <c r="I1493" s="87">
        <v>0</v>
      </c>
      <c r="P1493" s="126"/>
      <c r="Q1493" s="126"/>
      <c r="R1493" s="126"/>
      <c r="S1493" s="126"/>
      <c r="T1493" s="126"/>
    </row>
    <row r="1494" spans="1:20" s="90" customFormat="1" ht="30.75" customHeight="1">
      <c r="A1494" s="82" t="s">
        <v>178</v>
      </c>
      <c r="B1494" s="149">
        <v>793</v>
      </c>
      <c r="C1494" s="84" t="s">
        <v>173</v>
      </c>
      <c r="D1494" s="84" t="s">
        <v>70</v>
      </c>
      <c r="E1494" s="84" t="s">
        <v>275</v>
      </c>
      <c r="F1494" s="84" t="s">
        <v>179</v>
      </c>
      <c r="G1494" s="87">
        <f>'прил 5,'!G1484+'прил 5,'!G1291+'прил 5,'!G1357+'прил 5,'!G1605+'прил 5,'!G1709+'прил 5,'!G1624</f>
        <v>892825.94</v>
      </c>
      <c r="H1494" s="87">
        <f>'прил 5,'!H1484+'прил 5,'!H1291+'прил 5,'!H1357+'прил 5,'!H1605</f>
        <v>0</v>
      </c>
      <c r="I1494" s="87">
        <f>'прил 5,'!I1484+'прил 5,'!I1291+'прил 5,'!I1357+'прил 5,'!I1605</f>
        <v>0</v>
      </c>
      <c r="P1494" s="126"/>
      <c r="Q1494" s="126"/>
      <c r="R1494" s="126"/>
      <c r="S1494" s="126"/>
      <c r="T1494" s="126"/>
    </row>
    <row r="1495" spans="1:20" ht="18" customHeight="1">
      <c r="A1495" s="82" t="s">
        <v>30</v>
      </c>
      <c r="B1495" s="49"/>
      <c r="C1495" s="15"/>
      <c r="D1495" s="15"/>
      <c r="E1495" s="84" t="s">
        <v>275</v>
      </c>
      <c r="F1495" s="15" t="s">
        <v>31</v>
      </c>
      <c r="G1495" s="70">
        <f>G1496</f>
        <v>174496</v>
      </c>
      <c r="H1495" s="70"/>
      <c r="I1495" s="70"/>
      <c r="J1495" s="1"/>
    </row>
    <row r="1496" spans="1:20" ht="18" customHeight="1">
      <c r="A1496" s="16" t="s">
        <v>32</v>
      </c>
      <c r="B1496" s="49"/>
      <c r="C1496" s="15"/>
      <c r="D1496" s="15"/>
      <c r="E1496" s="84" t="s">
        <v>275</v>
      </c>
      <c r="F1496" s="15" t="s">
        <v>33</v>
      </c>
      <c r="G1496" s="70">
        <f>'прил 5,'!G351+'прил 5,'!G924</f>
        <v>174496</v>
      </c>
      <c r="H1496" s="70"/>
      <c r="I1496" s="70"/>
      <c r="J1496" s="1"/>
    </row>
    <row r="1497" spans="1:20" s="90" customFormat="1">
      <c r="A1497" s="82" t="s">
        <v>63</v>
      </c>
      <c r="B1497" s="149">
        <v>793</v>
      </c>
      <c r="C1497" s="84" t="s">
        <v>19</v>
      </c>
      <c r="D1497" s="84" t="s">
        <v>72</v>
      </c>
      <c r="E1497" s="84" t="s">
        <v>275</v>
      </c>
      <c r="F1497" s="84" t="s">
        <v>64</v>
      </c>
      <c r="G1497" s="87">
        <f>G1498</f>
        <v>395008.06</v>
      </c>
      <c r="H1497" s="87">
        <f>H1498</f>
        <v>1000000</v>
      </c>
      <c r="I1497" s="87">
        <f>I1498</f>
        <v>1000000</v>
      </c>
      <c r="J1497" s="126"/>
      <c r="P1497" s="126"/>
      <c r="Q1497" s="126"/>
      <c r="R1497" s="126"/>
      <c r="S1497" s="126"/>
      <c r="T1497" s="126"/>
    </row>
    <row r="1498" spans="1:20" s="90" customFormat="1" ht="19.5" customHeight="1">
      <c r="A1498" s="82" t="s">
        <v>180</v>
      </c>
      <c r="B1498" s="149">
        <v>793</v>
      </c>
      <c r="C1498" s="84" t="s">
        <v>19</v>
      </c>
      <c r="D1498" s="84" t="s">
        <v>72</v>
      </c>
      <c r="E1498" s="84" t="s">
        <v>275</v>
      </c>
      <c r="F1498" s="84" t="s">
        <v>181</v>
      </c>
      <c r="G1498" s="87">
        <f>'прил 5,'!G1202</f>
        <v>395008.06</v>
      </c>
      <c r="H1498" s="87">
        <f>'прил 5,'!H1202</f>
        <v>1000000</v>
      </c>
      <c r="I1498" s="87">
        <f>'прил 5,'!I1202</f>
        <v>1000000</v>
      </c>
      <c r="J1498" s="126"/>
      <c r="P1498" s="126"/>
      <c r="Q1498" s="126"/>
      <c r="R1498" s="126"/>
      <c r="S1498" s="126"/>
      <c r="T1498" s="126"/>
    </row>
    <row r="1499" spans="1:20" s="90" customFormat="1" hidden="1">
      <c r="A1499" s="82" t="s">
        <v>32</v>
      </c>
      <c r="B1499" s="149">
        <v>757</v>
      </c>
      <c r="C1499" s="84" t="s">
        <v>44</v>
      </c>
      <c r="D1499" s="84" t="s">
        <v>19</v>
      </c>
      <c r="E1499" s="84" t="s">
        <v>275</v>
      </c>
      <c r="F1499" s="84" t="s">
        <v>33</v>
      </c>
      <c r="G1499" s="85"/>
      <c r="H1499" s="85"/>
      <c r="I1499" s="85"/>
      <c r="J1499" s="126"/>
      <c r="P1499" s="126"/>
      <c r="Q1499" s="126"/>
      <c r="R1499" s="126"/>
      <c r="S1499" s="126"/>
      <c r="T1499" s="126"/>
    </row>
    <row r="1500" spans="1:20" s="124" customFormat="1" ht="30.75" customHeight="1">
      <c r="A1500" s="154" t="s">
        <v>1118</v>
      </c>
      <c r="B1500" s="155">
        <v>795</v>
      </c>
      <c r="C1500" s="156" t="s">
        <v>173</v>
      </c>
      <c r="D1500" s="156" t="s">
        <v>28</v>
      </c>
      <c r="E1500" s="156" t="s">
        <v>1117</v>
      </c>
      <c r="F1500" s="156"/>
      <c r="G1500" s="157">
        <f t="shared" ref="G1500:I1502" si="408">G1501</f>
        <v>209963.74</v>
      </c>
      <c r="H1500" s="157">
        <f t="shared" si="408"/>
        <v>0</v>
      </c>
      <c r="I1500" s="157">
        <f t="shared" si="408"/>
        <v>0</v>
      </c>
      <c r="J1500" s="123"/>
      <c r="P1500" s="123"/>
      <c r="Q1500" s="123"/>
      <c r="R1500" s="123"/>
      <c r="S1500" s="123"/>
      <c r="T1500" s="123"/>
    </row>
    <row r="1501" spans="1:20" s="124" customFormat="1" ht="24.75" customHeight="1">
      <c r="A1501" s="82" t="s">
        <v>333</v>
      </c>
      <c r="B1501" s="149">
        <v>795</v>
      </c>
      <c r="C1501" s="84" t="s">
        <v>173</v>
      </c>
      <c r="D1501" s="84" t="s">
        <v>28</v>
      </c>
      <c r="E1501" s="84" t="s">
        <v>1116</v>
      </c>
      <c r="F1501" s="84"/>
      <c r="G1501" s="87">
        <f>G1502+G1504</f>
        <v>209963.74</v>
      </c>
      <c r="H1501" s="87">
        <f t="shared" si="408"/>
        <v>0</v>
      </c>
      <c r="I1501" s="87">
        <f t="shared" si="408"/>
        <v>0</v>
      </c>
      <c r="J1501" s="123"/>
      <c r="P1501" s="123"/>
      <c r="Q1501" s="123"/>
      <c r="R1501" s="123"/>
      <c r="S1501" s="123"/>
      <c r="T1501" s="123"/>
    </row>
    <row r="1502" spans="1:20" s="124" customFormat="1" ht="26.25" customHeight="1">
      <c r="A1502" s="82" t="s">
        <v>323</v>
      </c>
      <c r="B1502" s="149">
        <v>795</v>
      </c>
      <c r="C1502" s="84" t="s">
        <v>173</v>
      </c>
      <c r="D1502" s="84" t="s">
        <v>28</v>
      </c>
      <c r="E1502" s="84" t="s">
        <v>1116</v>
      </c>
      <c r="F1502" s="84" t="s">
        <v>37</v>
      </c>
      <c r="G1502" s="87">
        <f t="shared" si="408"/>
        <v>207892.94</v>
      </c>
      <c r="H1502" s="87">
        <f t="shared" si="408"/>
        <v>0</v>
      </c>
      <c r="I1502" s="87">
        <f t="shared" si="408"/>
        <v>0</v>
      </c>
      <c r="J1502" s="123"/>
      <c r="P1502" s="123"/>
      <c r="Q1502" s="123"/>
      <c r="R1502" s="123"/>
      <c r="S1502" s="123"/>
      <c r="T1502" s="123"/>
    </row>
    <row r="1503" spans="1:20" s="124" customFormat="1" ht="26.25" customHeight="1">
      <c r="A1503" s="82" t="s">
        <v>38</v>
      </c>
      <c r="B1503" s="149">
        <v>795</v>
      </c>
      <c r="C1503" s="84" t="s">
        <v>173</v>
      </c>
      <c r="D1503" s="84" t="s">
        <v>28</v>
      </c>
      <c r="E1503" s="84" t="s">
        <v>1116</v>
      </c>
      <c r="F1503" s="84" t="s">
        <v>39</v>
      </c>
      <c r="G1503" s="87">
        <f>'прил 5,'!G2236</f>
        <v>207892.94</v>
      </c>
      <c r="H1503" s="87"/>
      <c r="I1503" s="87"/>
      <c r="J1503" s="123"/>
      <c r="P1503" s="123"/>
      <c r="Q1503" s="123"/>
      <c r="R1503" s="123"/>
      <c r="S1503" s="123"/>
      <c r="T1503" s="123"/>
    </row>
    <row r="1504" spans="1:20" ht="25.5" customHeight="1">
      <c r="A1504" s="82" t="s">
        <v>63</v>
      </c>
      <c r="B1504" s="149">
        <v>763</v>
      </c>
      <c r="C1504" s="84" t="s">
        <v>173</v>
      </c>
      <c r="D1504" s="84" t="s">
        <v>19</v>
      </c>
      <c r="E1504" s="84" t="s">
        <v>1116</v>
      </c>
      <c r="F1504" s="84" t="s">
        <v>64</v>
      </c>
      <c r="G1504" s="87">
        <f t="shared" ref="G1504:I1504" si="409">G1505</f>
        <v>2070.8000000000002</v>
      </c>
      <c r="H1504" s="87">
        <f t="shared" si="409"/>
        <v>0</v>
      </c>
      <c r="I1504" s="87">
        <f t="shared" si="409"/>
        <v>0</v>
      </c>
      <c r="J1504" s="177"/>
      <c r="K1504" s="186"/>
      <c r="L1504" s="186"/>
      <c r="M1504" s="186"/>
      <c r="N1504" s="186"/>
      <c r="O1504" s="186"/>
      <c r="P1504" s="186"/>
      <c r="Q1504" s="186"/>
      <c r="R1504" s="186"/>
      <c r="S1504" s="1"/>
      <c r="T1504" s="1"/>
    </row>
    <row r="1505" spans="1:20" s="18" customFormat="1" ht="26.25" customHeight="1">
      <c r="A1505" s="82" t="s">
        <v>328</v>
      </c>
      <c r="B1505" s="149">
        <v>763</v>
      </c>
      <c r="C1505" s="84" t="s">
        <v>173</v>
      </c>
      <c r="D1505" s="84" t="s">
        <v>19</v>
      </c>
      <c r="E1505" s="84" t="s">
        <v>1116</v>
      </c>
      <c r="F1505" s="84" t="s">
        <v>327</v>
      </c>
      <c r="G1505" s="87">
        <v>2070.8000000000002</v>
      </c>
      <c r="H1505" s="87"/>
      <c r="I1505" s="87"/>
      <c r="J1505" s="177"/>
      <c r="K1505" s="200"/>
      <c r="L1505" s="200"/>
      <c r="M1505" s="200"/>
      <c r="N1505" s="200"/>
      <c r="O1505" s="200"/>
      <c r="P1505" s="200"/>
      <c r="Q1505" s="200"/>
      <c r="R1505" s="200"/>
    </row>
    <row r="1506" spans="1:20" s="124" customFormat="1" ht="26.25" customHeight="1">
      <c r="A1506" s="154" t="s">
        <v>164</v>
      </c>
      <c r="B1506" s="155">
        <v>793</v>
      </c>
      <c r="C1506" s="156" t="s">
        <v>19</v>
      </c>
      <c r="D1506" s="156" t="s">
        <v>23</v>
      </c>
      <c r="E1506" s="162" t="s">
        <v>210</v>
      </c>
      <c r="F1506" s="156"/>
      <c r="G1506" s="157">
        <f>G1510+G1534+G1538+G1531+G1525+G1528+G1541+G1519+G1507+G1516</f>
        <v>7335865.2300000004</v>
      </c>
      <c r="H1506" s="157">
        <f>H1510+H1534+H1538+H1531+H1525+H1528+H1541+H1519+H1507</f>
        <v>2375924.7599999998</v>
      </c>
      <c r="I1506" s="157">
        <f>I1510+I1534+I1538+I1531+I1525+I1528+I1541+I1519+I1507</f>
        <v>3000000</v>
      </c>
      <c r="J1506" s="123">
        <v>1487719</v>
      </c>
      <c r="P1506" s="123"/>
      <c r="Q1506" s="123"/>
      <c r="R1506" s="123"/>
      <c r="S1506" s="123"/>
      <c r="T1506" s="123"/>
    </row>
    <row r="1507" spans="1:20" s="18" customFormat="1" ht="25.5">
      <c r="A1507" s="82" t="s">
        <v>1115</v>
      </c>
      <c r="B1507" s="149">
        <v>792</v>
      </c>
      <c r="C1507" s="84" t="s">
        <v>309</v>
      </c>
      <c r="D1507" s="84" t="s">
        <v>28</v>
      </c>
      <c r="E1507" s="84" t="s">
        <v>1114</v>
      </c>
      <c r="F1507" s="84"/>
      <c r="G1507" s="87">
        <f t="shared" ref="G1507:I1508" si="410">G1508</f>
        <v>449460</v>
      </c>
      <c r="H1507" s="87">
        <f t="shared" si="410"/>
        <v>0</v>
      </c>
      <c r="I1507" s="87">
        <f t="shared" si="410"/>
        <v>0</v>
      </c>
      <c r="J1507" s="177"/>
      <c r="K1507" s="200"/>
      <c r="L1507" s="200"/>
      <c r="M1507" s="200"/>
      <c r="N1507" s="200"/>
      <c r="O1507" s="200"/>
      <c r="P1507" s="200"/>
      <c r="Q1507" s="200"/>
      <c r="R1507" s="200"/>
    </row>
    <row r="1508" spans="1:20" s="18" customFormat="1">
      <c r="A1508" s="82" t="s">
        <v>156</v>
      </c>
      <c r="B1508" s="149">
        <v>792</v>
      </c>
      <c r="C1508" s="84" t="s">
        <v>309</v>
      </c>
      <c r="D1508" s="84" t="s">
        <v>28</v>
      </c>
      <c r="E1508" s="84" t="s">
        <v>1114</v>
      </c>
      <c r="F1508" s="84" t="s">
        <v>157</v>
      </c>
      <c r="G1508" s="87">
        <f t="shared" si="410"/>
        <v>449460</v>
      </c>
      <c r="H1508" s="87">
        <f t="shared" si="410"/>
        <v>0</v>
      </c>
      <c r="I1508" s="87">
        <f t="shared" si="410"/>
        <v>0</v>
      </c>
      <c r="J1508" s="177"/>
      <c r="K1508" s="200"/>
      <c r="L1508" s="200"/>
      <c r="M1508" s="200"/>
      <c r="N1508" s="200"/>
      <c r="O1508" s="200"/>
      <c r="P1508" s="200"/>
      <c r="Q1508" s="200"/>
      <c r="R1508" s="200"/>
    </row>
    <row r="1509" spans="1:20" s="18" customFormat="1">
      <c r="A1509" s="82" t="s">
        <v>312</v>
      </c>
      <c r="B1509" s="149">
        <v>792</v>
      </c>
      <c r="C1509" s="84" t="s">
        <v>309</v>
      </c>
      <c r="D1509" s="84" t="s">
        <v>28</v>
      </c>
      <c r="E1509" s="84" t="s">
        <v>1114</v>
      </c>
      <c r="F1509" s="84" t="s">
        <v>313</v>
      </c>
      <c r="G1509" s="87">
        <f>'прил 5,'!G1128</f>
        <v>449460</v>
      </c>
      <c r="H1509" s="87">
        <v>0</v>
      </c>
      <c r="I1509" s="87">
        <v>0</v>
      </c>
      <c r="J1509" s="177"/>
      <c r="K1509" s="200"/>
      <c r="L1509" s="200"/>
      <c r="M1509" s="200"/>
      <c r="N1509" s="200"/>
      <c r="O1509" s="200"/>
      <c r="P1509" s="200"/>
      <c r="Q1509" s="200"/>
      <c r="R1509" s="200"/>
    </row>
    <row r="1510" spans="1:20" s="90" customFormat="1" ht="20.25" customHeight="1">
      <c r="A1510" s="82" t="s">
        <v>333</v>
      </c>
      <c r="B1510" s="149">
        <v>793</v>
      </c>
      <c r="C1510" s="84" t="s">
        <v>19</v>
      </c>
      <c r="D1510" s="84" t="s">
        <v>23</v>
      </c>
      <c r="E1510" s="84" t="s">
        <v>211</v>
      </c>
      <c r="F1510" s="84"/>
      <c r="G1510" s="87">
        <f>G1511+G1513</f>
        <v>1585504.03</v>
      </c>
      <c r="H1510" s="87">
        <f t="shared" ref="H1510:I1510" si="411">H1511+H1513</f>
        <v>2375924.7599999998</v>
      </c>
      <c r="I1510" s="87">
        <f t="shared" si="411"/>
        <v>3000000</v>
      </c>
      <c r="J1510" s="126"/>
      <c r="P1510" s="126"/>
      <c r="Q1510" s="126"/>
      <c r="R1510" s="126"/>
      <c r="S1510" s="126"/>
      <c r="T1510" s="126"/>
    </row>
    <row r="1511" spans="1:20" s="90" customFormat="1" ht="29.25" customHeight="1">
      <c r="A1511" s="16" t="s">
        <v>323</v>
      </c>
      <c r="B1511" s="84" t="s">
        <v>94</v>
      </c>
      <c r="C1511" s="84" t="s">
        <v>26</v>
      </c>
      <c r="D1511" s="84" t="s">
        <v>28</v>
      </c>
      <c r="E1511" s="84" t="s">
        <v>211</v>
      </c>
      <c r="F1511" s="84" t="s">
        <v>37</v>
      </c>
      <c r="G1511" s="87">
        <f>G1512</f>
        <v>0</v>
      </c>
      <c r="H1511" s="87"/>
      <c r="I1511" s="87"/>
      <c r="J1511" s="126"/>
      <c r="P1511" s="126"/>
      <c r="Q1511" s="126"/>
      <c r="R1511" s="126"/>
      <c r="S1511" s="126"/>
      <c r="T1511" s="126"/>
    </row>
    <row r="1512" spans="1:20" s="90" customFormat="1" ht="36.75" customHeight="1">
      <c r="A1512" s="16" t="s">
        <v>38</v>
      </c>
      <c r="B1512" s="84" t="s">
        <v>94</v>
      </c>
      <c r="C1512" s="84" t="s">
        <v>26</v>
      </c>
      <c r="D1512" s="84" t="s">
        <v>28</v>
      </c>
      <c r="E1512" s="84" t="s">
        <v>211</v>
      </c>
      <c r="F1512" s="84" t="s">
        <v>39</v>
      </c>
      <c r="G1512" s="87">
        <f>'прил 5,'!G2242</f>
        <v>0</v>
      </c>
      <c r="H1512" s="87"/>
      <c r="I1512" s="87"/>
      <c r="J1512" s="126"/>
      <c r="P1512" s="126"/>
      <c r="Q1512" s="126"/>
      <c r="R1512" s="126"/>
      <c r="S1512" s="126"/>
      <c r="T1512" s="126"/>
    </row>
    <row r="1513" spans="1:20" s="90" customFormat="1">
      <c r="A1513" s="82" t="s">
        <v>63</v>
      </c>
      <c r="B1513" s="149">
        <v>792</v>
      </c>
      <c r="C1513" s="84" t="s">
        <v>19</v>
      </c>
      <c r="D1513" s="84" t="s">
        <v>23</v>
      </c>
      <c r="E1513" s="84" t="s">
        <v>211</v>
      </c>
      <c r="F1513" s="84" t="s">
        <v>64</v>
      </c>
      <c r="G1513" s="87">
        <f>G1514+G1515</f>
        <v>1585504.03</v>
      </c>
      <c r="H1513" s="87">
        <f t="shared" ref="H1513:I1513" si="412">H1514</f>
        <v>2375924.7599999998</v>
      </c>
      <c r="I1513" s="87">
        <f t="shared" si="412"/>
        <v>3000000</v>
      </c>
      <c r="J1513" s="126"/>
      <c r="P1513" s="126"/>
      <c r="Q1513" s="126"/>
      <c r="R1513" s="126"/>
      <c r="S1513" s="126"/>
      <c r="T1513" s="126"/>
    </row>
    <row r="1514" spans="1:20" s="90" customFormat="1" ht="18.75" customHeight="1">
      <c r="A1514" s="82" t="s">
        <v>328</v>
      </c>
      <c r="B1514" s="149"/>
      <c r="C1514" s="84"/>
      <c r="D1514" s="84"/>
      <c r="E1514" s="84" t="s">
        <v>211</v>
      </c>
      <c r="F1514" s="84" t="s">
        <v>327</v>
      </c>
      <c r="G1514" s="87">
        <f>'прил 5,'!G1088</f>
        <v>1434196.01</v>
      </c>
      <c r="H1514" s="87">
        <f>'прил 5,'!H1088</f>
        <v>2375924.7599999998</v>
      </c>
      <c r="I1514" s="87">
        <f>'прил 5,'!I1088</f>
        <v>3000000</v>
      </c>
      <c r="J1514" s="126"/>
      <c r="P1514" s="126"/>
      <c r="Q1514" s="126"/>
      <c r="R1514" s="126"/>
      <c r="S1514" s="126"/>
      <c r="T1514" s="126"/>
    </row>
    <row r="1515" spans="1:20" ht="18.75" customHeight="1">
      <c r="A1515" s="82" t="s">
        <v>144</v>
      </c>
      <c r="B1515" s="14">
        <v>793</v>
      </c>
      <c r="C1515" s="15" t="s">
        <v>19</v>
      </c>
      <c r="D1515" s="15" t="s">
        <v>23</v>
      </c>
      <c r="E1515" s="15" t="s">
        <v>211</v>
      </c>
      <c r="F1515" s="15" t="s">
        <v>67</v>
      </c>
      <c r="G1515" s="70">
        <f>'прил 5,'!G1272</f>
        <v>151308.01999999999</v>
      </c>
      <c r="H1515" s="70"/>
      <c r="I1515" s="70"/>
      <c r="J1515" s="1"/>
    </row>
    <row r="1516" spans="1:20" ht="30.75" customHeight="1">
      <c r="A1516" s="82" t="s">
        <v>333</v>
      </c>
      <c r="B1516" s="149">
        <v>793</v>
      </c>
      <c r="C1516" s="84" t="s">
        <v>19</v>
      </c>
      <c r="D1516" s="84" t="s">
        <v>23</v>
      </c>
      <c r="E1516" s="84" t="s">
        <v>833</v>
      </c>
      <c r="F1516" s="84"/>
      <c r="G1516" s="87">
        <f t="shared" ref="G1516:I1517" si="413">G1517</f>
        <v>50000</v>
      </c>
      <c r="H1516" s="87">
        <f t="shared" si="413"/>
        <v>0</v>
      </c>
      <c r="I1516" s="87">
        <f t="shared" si="413"/>
        <v>0</v>
      </c>
      <c r="J1516" s="177"/>
      <c r="K1516" s="186"/>
      <c r="L1516" s="186"/>
      <c r="M1516" s="186"/>
      <c r="N1516" s="186"/>
      <c r="O1516" s="186"/>
      <c r="P1516" s="186"/>
      <c r="Q1516" s="186"/>
      <c r="R1516" s="186"/>
      <c r="S1516" s="1"/>
      <c r="T1516" s="1"/>
    </row>
    <row r="1517" spans="1:20" ht="19.5" customHeight="1">
      <c r="A1517" s="82" t="s">
        <v>63</v>
      </c>
      <c r="B1517" s="149">
        <v>793</v>
      </c>
      <c r="C1517" s="84" t="s">
        <v>19</v>
      </c>
      <c r="D1517" s="84" t="s">
        <v>23</v>
      </c>
      <c r="E1517" s="84" t="s">
        <v>833</v>
      </c>
      <c r="F1517" s="84" t="s">
        <v>64</v>
      </c>
      <c r="G1517" s="87">
        <f>G1518</f>
        <v>50000</v>
      </c>
      <c r="H1517" s="87">
        <f t="shared" si="413"/>
        <v>0</v>
      </c>
      <c r="I1517" s="87">
        <f t="shared" si="413"/>
        <v>0</v>
      </c>
      <c r="J1517" s="177"/>
      <c r="K1517" s="186"/>
      <c r="L1517" s="186"/>
      <c r="M1517" s="186"/>
      <c r="N1517" s="186"/>
      <c r="O1517" s="186"/>
      <c r="P1517" s="186"/>
      <c r="Q1517" s="186"/>
      <c r="R1517" s="186"/>
      <c r="S1517" s="1"/>
      <c r="T1517" s="1"/>
    </row>
    <row r="1518" spans="1:20" ht="18.75" customHeight="1">
      <c r="A1518" s="82" t="s">
        <v>1129</v>
      </c>
      <c r="B1518" s="149">
        <v>793</v>
      </c>
      <c r="C1518" s="84" t="s">
        <v>19</v>
      </c>
      <c r="D1518" s="84" t="s">
        <v>23</v>
      </c>
      <c r="E1518" s="84" t="s">
        <v>833</v>
      </c>
      <c r="F1518" s="84" t="s">
        <v>67</v>
      </c>
      <c r="G1518" s="87">
        <f>'прил 5,'!G1275</f>
        <v>50000</v>
      </c>
      <c r="H1518" s="87">
        <v>0</v>
      </c>
      <c r="I1518" s="87">
        <v>0</v>
      </c>
      <c r="J1518" s="177"/>
      <c r="K1518" s="186"/>
      <c r="L1518" s="186"/>
      <c r="M1518" s="186"/>
      <c r="N1518" s="186"/>
      <c r="O1518" s="186"/>
      <c r="P1518" s="186"/>
      <c r="Q1518" s="186"/>
      <c r="R1518" s="186"/>
      <c r="S1518" s="1"/>
      <c r="T1518" s="1"/>
    </row>
    <row r="1519" spans="1:20" s="90" customFormat="1" ht="30.75" customHeight="1">
      <c r="A1519" s="82" t="s">
        <v>405</v>
      </c>
      <c r="B1519" s="149">
        <v>793</v>
      </c>
      <c r="C1519" s="84" t="s">
        <v>19</v>
      </c>
      <c r="D1519" s="84" t="s">
        <v>23</v>
      </c>
      <c r="E1519" s="84" t="s">
        <v>404</v>
      </c>
      <c r="F1519" s="84"/>
      <c r="G1519" s="87">
        <f t="shared" ref="G1519:I1519" si="414">G1520</f>
        <v>6852</v>
      </c>
      <c r="H1519" s="87">
        <f t="shared" si="414"/>
        <v>0</v>
      </c>
      <c r="I1519" s="87">
        <f t="shared" si="414"/>
        <v>0</v>
      </c>
      <c r="P1519" s="126"/>
      <c r="Q1519" s="126"/>
      <c r="R1519" s="126"/>
      <c r="S1519" s="126"/>
      <c r="T1519" s="126"/>
    </row>
    <row r="1520" spans="1:20" s="90" customFormat="1" ht="19.5" customHeight="1">
      <c r="A1520" s="82" t="s">
        <v>63</v>
      </c>
      <c r="B1520" s="149">
        <v>793</v>
      </c>
      <c r="C1520" s="84" t="s">
        <v>19</v>
      </c>
      <c r="D1520" s="84" t="s">
        <v>23</v>
      </c>
      <c r="E1520" s="84" t="s">
        <v>404</v>
      </c>
      <c r="F1520" s="84" t="s">
        <v>64</v>
      </c>
      <c r="G1520" s="87">
        <f>G1521</f>
        <v>6852</v>
      </c>
      <c r="H1520" s="87">
        <f>H1521+H1522</f>
        <v>0</v>
      </c>
      <c r="I1520" s="87">
        <f>I1521+I1522</f>
        <v>0</v>
      </c>
      <c r="P1520" s="126"/>
      <c r="Q1520" s="126"/>
      <c r="R1520" s="126"/>
      <c r="S1520" s="126"/>
      <c r="T1520" s="126"/>
    </row>
    <row r="1521" spans="1:20" s="90" customFormat="1" ht="18.75" customHeight="1">
      <c r="A1521" s="82" t="s">
        <v>328</v>
      </c>
      <c r="B1521" s="149">
        <v>793</v>
      </c>
      <c r="C1521" s="84" t="s">
        <v>19</v>
      </c>
      <c r="D1521" s="84" t="s">
        <v>23</v>
      </c>
      <c r="E1521" s="84" t="s">
        <v>404</v>
      </c>
      <c r="F1521" s="84" t="s">
        <v>327</v>
      </c>
      <c r="G1521" s="87">
        <f>'прил 5,'!G1850+'прил 5,'!G2159</f>
        <v>6852</v>
      </c>
      <c r="H1521" s="87">
        <v>0</v>
      </c>
      <c r="I1521" s="87">
        <v>0</v>
      </c>
      <c r="P1521" s="126"/>
      <c r="Q1521" s="126"/>
      <c r="R1521" s="126"/>
      <c r="S1521" s="126"/>
      <c r="T1521" s="126"/>
    </row>
    <row r="1522" spans="1:20" s="90" customFormat="1" ht="40.5" customHeight="1">
      <c r="A1522" s="82" t="s">
        <v>431</v>
      </c>
      <c r="B1522" s="149">
        <v>774</v>
      </c>
      <c r="C1522" s="84" t="s">
        <v>19</v>
      </c>
      <c r="D1522" s="84" t="s">
        <v>23</v>
      </c>
      <c r="E1522" s="84" t="s">
        <v>430</v>
      </c>
      <c r="F1522" s="84"/>
      <c r="G1522" s="87">
        <f>G1523</f>
        <v>0</v>
      </c>
      <c r="H1522" s="87">
        <v>0</v>
      </c>
      <c r="I1522" s="87">
        <v>0</v>
      </c>
      <c r="J1522" s="126"/>
      <c r="P1522" s="126"/>
      <c r="Q1522" s="126"/>
      <c r="R1522" s="126"/>
      <c r="S1522" s="126"/>
      <c r="T1522" s="126"/>
    </row>
    <row r="1523" spans="1:20" s="90" customFormat="1">
      <c r="A1523" s="82" t="s">
        <v>63</v>
      </c>
      <c r="B1523" s="149">
        <v>774</v>
      </c>
      <c r="C1523" s="84" t="s">
        <v>19</v>
      </c>
      <c r="D1523" s="84" t="s">
        <v>23</v>
      </c>
      <c r="E1523" s="84" t="s">
        <v>430</v>
      </c>
      <c r="F1523" s="84" t="s">
        <v>64</v>
      </c>
      <c r="G1523" s="87">
        <f>G1524</f>
        <v>0</v>
      </c>
      <c r="H1523" s="87">
        <v>0</v>
      </c>
      <c r="I1523" s="87">
        <v>0</v>
      </c>
      <c r="J1523" s="126"/>
      <c r="P1523" s="126"/>
      <c r="Q1523" s="126"/>
      <c r="R1523" s="126"/>
      <c r="S1523" s="126"/>
      <c r="T1523" s="126"/>
    </row>
    <row r="1524" spans="1:20" s="90" customFormat="1" ht="15" customHeight="1">
      <c r="A1524" s="82" t="s">
        <v>328</v>
      </c>
      <c r="B1524" s="149">
        <v>774</v>
      </c>
      <c r="C1524" s="84" t="s">
        <v>19</v>
      </c>
      <c r="D1524" s="84" t="s">
        <v>23</v>
      </c>
      <c r="E1524" s="84" t="s">
        <v>430</v>
      </c>
      <c r="F1524" s="84" t="s">
        <v>327</v>
      </c>
      <c r="G1524" s="87"/>
      <c r="H1524" s="87">
        <v>0</v>
      </c>
      <c r="I1524" s="87">
        <v>0</v>
      </c>
      <c r="J1524" s="126"/>
      <c r="P1524" s="126"/>
      <c r="Q1524" s="126"/>
      <c r="R1524" s="126"/>
      <c r="S1524" s="126"/>
      <c r="T1524" s="126"/>
    </row>
    <row r="1525" spans="1:20" ht="33" customHeight="1">
      <c r="A1525" s="82" t="s">
        <v>431</v>
      </c>
      <c r="B1525" s="14">
        <v>793</v>
      </c>
      <c r="C1525" s="15" t="s">
        <v>19</v>
      </c>
      <c r="D1525" s="15" t="s">
        <v>23</v>
      </c>
      <c r="E1525" s="15" t="s">
        <v>430</v>
      </c>
      <c r="F1525" s="15"/>
      <c r="G1525" s="70">
        <f>G1526</f>
        <v>0</v>
      </c>
      <c r="H1525" s="70">
        <f t="shared" ref="H1525:I1525" si="415">H1526</f>
        <v>0</v>
      </c>
      <c r="I1525" s="70">
        <f t="shared" si="415"/>
        <v>0</v>
      </c>
      <c r="J1525" s="1"/>
    </row>
    <row r="1526" spans="1:20" ht="18.75" customHeight="1">
      <c r="A1526" s="82" t="s">
        <v>63</v>
      </c>
      <c r="B1526" s="14">
        <v>793</v>
      </c>
      <c r="C1526" s="15" t="s">
        <v>19</v>
      </c>
      <c r="D1526" s="15" t="s">
        <v>23</v>
      </c>
      <c r="E1526" s="15" t="s">
        <v>430</v>
      </c>
      <c r="F1526" s="15" t="s">
        <v>64</v>
      </c>
      <c r="G1526" s="70">
        <f>G1527</f>
        <v>0</v>
      </c>
      <c r="H1526" s="70">
        <f>H1527</f>
        <v>0</v>
      </c>
      <c r="I1526" s="70">
        <f>I1527</f>
        <v>0</v>
      </c>
      <c r="J1526" s="1"/>
    </row>
    <row r="1527" spans="1:20" ht="18.75" customHeight="1">
      <c r="A1527" s="82" t="s">
        <v>144</v>
      </c>
      <c r="B1527" s="14">
        <v>793</v>
      </c>
      <c r="C1527" s="15" t="s">
        <v>19</v>
      </c>
      <c r="D1527" s="15" t="s">
        <v>23</v>
      </c>
      <c r="E1527" s="15" t="s">
        <v>430</v>
      </c>
      <c r="F1527" s="15" t="s">
        <v>67</v>
      </c>
      <c r="G1527" s="70">
        <f>'прил 5,'!G1284</f>
        <v>0</v>
      </c>
      <c r="H1527" s="70">
        <v>0</v>
      </c>
      <c r="I1527" s="70">
        <v>0</v>
      </c>
      <c r="J1527" s="1"/>
    </row>
    <row r="1528" spans="1:20" ht="31.5" customHeight="1">
      <c r="A1528" s="82" t="s">
        <v>837</v>
      </c>
      <c r="B1528" s="14">
        <v>793</v>
      </c>
      <c r="C1528" s="15" t="s">
        <v>19</v>
      </c>
      <c r="D1528" s="15" t="s">
        <v>23</v>
      </c>
      <c r="E1528" s="15" t="s">
        <v>836</v>
      </c>
      <c r="F1528" s="15"/>
      <c r="G1528" s="70">
        <f>G1529</f>
        <v>120000</v>
      </c>
      <c r="H1528" s="70">
        <f t="shared" ref="H1528:I1528" si="416">H1529</f>
        <v>0</v>
      </c>
      <c r="I1528" s="70">
        <f t="shared" si="416"/>
        <v>0</v>
      </c>
      <c r="J1528" s="1"/>
    </row>
    <row r="1529" spans="1:20" ht="18.75" customHeight="1">
      <c r="A1529" s="82" t="s">
        <v>63</v>
      </c>
      <c r="B1529" s="14">
        <v>793</v>
      </c>
      <c r="C1529" s="15" t="s">
        <v>19</v>
      </c>
      <c r="D1529" s="15" t="s">
        <v>23</v>
      </c>
      <c r="E1529" s="15" t="s">
        <v>836</v>
      </c>
      <c r="F1529" s="15" t="s">
        <v>64</v>
      </c>
      <c r="G1529" s="70">
        <f>G1530</f>
        <v>120000</v>
      </c>
      <c r="H1529" s="70">
        <f>H1530</f>
        <v>0</v>
      </c>
      <c r="I1529" s="70">
        <f>I1530</f>
        <v>0</v>
      </c>
      <c r="J1529" s="1"/>
    </row>
    <row r="1530" spans="1:20" ht="18.75" customHeight="1">
      <c r="A1530" s="82" t="s">
        <v>144</v>
      </c>
      <c r="B1530" s="14">
        <v>793</v>
      </c>
      <c r="C1530" s="15" t="s">
        <v>19</v>
      </c>
      <c r="D1530" s="15" t="s">
        <v>23</v>
      </c>
      <c r="E1530" s="15" t="s">
        <v>836</v>
      </c>
      <c r="F1530" s="15" t="s">
        <v>67</v>
      </c>
      <c r="G1530" s="70">
        <f>'прил 5,'!G1287</f>
        <v>120000</v>
      </c>
      <c r="H1530" s="70">
        <v>0</v>
      </c>
      <c r="I1530" s="70">
        <v>0</v>
      </c>
      <c r="J1530" s="1"/>
    </row>
    <row r="1531" spans="1:20" ht="19.5" customHeight="1">
      <c r="A1531" s="82" t="s">
        <v>832</v>
      </c>
      <c r="B1531" s="14">
        <v>792</v>
      </c>
      <c r="C1531" s="15" t="s">
        <v>26</v>
      </c>
      <c r="D1531" s="15" t="s">
        <v>28</v>
      </c>
      <c r="E1531" s="15" t="s">
        <v>833</v>
      </c>
      <c r="F1531" s="15"/>
      <c r="G1531" s="70">
        <f>G1532</f>
        <v>90000</v>
      </c>
      <c r="H1531" s="70">
        <f t="shared" ref="H1531:I1531" si="417">H1532</f>
        <v>0</v>
      </c>
      <c r="I1531" s="70">
        <f t="shared" si="417"/>
        <v>0</v>
      </c>
      <c r="J1531" s="1"/>
    </row>
    <row r="1532" spans="1:20" ht="30" customHeight="1">
      <c r="A1532" s="16" t="s">
        <v>30</v>
      </c>
      <c r="B1532" s="14">
        <v>792</v>
      </c>
      <c r="C1532" s="15" t="s">
        <v>26</v>
      </c>
      <c r="D1532" s="15" t="s">
        <v>28</v>
      </c>
      <c r="E1532" s="15" t="s">
        <v>833</v>
      </c>
      <c r="F1532" s="15" t="s">
        <v>31</v>
      </c>
      <c r="G1532" s="70">
        <f>G1533</f>
        <v>90000</v>
      </c>
      <c r="H1532" s="70">
        <f>H1533</f>
        <v>0</v>
      </c>
      <c r="I1532" s="70">
        <f>I1533</f>
        <v>0</v>
      </c>
      <c r="J1532" s="1"/>
    </row>
    <row r="1533" spans="1:20" ht="18.75" customHeight="1">
      <c r="A1533" s="16" t="s">
        <v>32</v>
      </c>
      <c r="B1533" s="14">
        <v>792</v>
      </c>
      <c r="C1533" s="15" t="s">
        <v>26</v>
      </c>
      <c r="D1533" s="15" t="s">
        <v>28</v>
      </c>
      <c r="E1533" s="15" t="s">
        <v>833</v>
      </c>
      <c r="F1533" s="15" t="s">
        <v>33</v>
      </c>
      <c r="G1533" s="70">
        <f>'прил 5,'!G801</f>
        <v>90000</v>
      </c>
      <c r="H1533" s="70">
        <v>0</v>
      </c>
      <c r="I1533" s="70">
        <v>0</v>
      </c>
      <c r="J1533" s="1"/>
    </row>
    <row r="1534" spans="1:20" s="90" customFormat="1" ht="25.5" hidden="1" customHeight="1">
      <c r="A1534" s="82" t="s">
        <v>164</v>
      </c>
      <c r="B1534" s="149">
        <v>793</v>
      </c>
      <c r="C1534" s="84" t="s">
        <v>19</v>
      </c>
      <c r="D1534" s="84" t="s">
        <v>23</v>
      </c>
      <c r="E1534" s="84" t="s">
        <v>210</v>
      </c>
      <c r="F1534" s="84"/>
      <c r="G1534" s="87">
        <f>G1535</f>
        <v>0</v>
      </c>
      <c r="H1534" s="87">
        <f t="shared" ref="H1534:I1534" si="418">H1535</f>
        <v>0</v>
      </c>
      <c r="I1534" s="87">
        <f t="shared" si="418"/>
        <v>0</v>
      </c>
      <c r="P1534" s="126"/>
      <c r="Q1534" s="126"/>
      <c r="R1534" s="126"/>
      <c r="S1534" s="126"/>
      <c r="T1534" s="126"/>
    </row>
    <row r="1535" spans="1:20" s="90" customFormat="1" ht="30.75" hidden="1" customHeight="1">
      <c r="A1535" s="82" t="s">
        <v>698</v>
      </c>
      <c r="B1535" s="149">
        <v>793</v>
      </c>
      <c r="C1535" s="84" t="s">
        <v>19</v>
      </c>
      <c r="D1535" s="84" t="s">
        <v>23</v>
      </c>
      <c r="E1535" s="84" t="s">
        <v>697</v>
      </c>
      <c r="F1535" s="84"/>
      <c r="G1535" s="87">
        <f t="shared" ref="G1535:I1536" si="419">G1536</f>
        <v>0</v>
      </c>
      <c r="H1535" s="87">
        <f t="shared" si="419"/>
        <v>0</v>
      </c>
      <c r="I1535" s="87">
        <f t="shared" si="419"/>
        <v>0</v>
      </c>
      <c r="P1535" s="126"/>
      <c r="Q1535" s="126"/>
      <c r="R1535" s="126"/>
      <c r="S1535" s="126"/>
      <c r="T1535" s="126"/>
    </row>
    <row r="1536" spans="1:20" s="90" customFormat="1" ht="19.5" hidden="1" customHeight="1">
      <c r="A1536" s="82" t="s">
        <v>63</v>
      </c>
      <c r="B1536" s="149">
        <v>793</v>
      </c>
      <c r="C1536" s="84" t="s">
        <v>19</v>
      </c>
      <c r="D1536" s="84" t="s">
        <v>23</v>
      </c>
      <c r="E1536" s="84" t="s">
        <v>697</v>
      </c>
      <c r="F1536" s="84" t="s">
        <v>64</v>
      </c>
      <c r="G1536" s="87">
        <f>G1537</f>
        <v>0</v>
      </c>
      <c r="H1536" s="87">
        <f t="shared" si="419"/>
        <v>0</v>
      </c>
      <c r="I1536" s="87">
        <f t="shared" si="419"/>
        <v>0</v>
      </c>
      <c r="P1536" s="126"/>
      <c r="Q1536" s="126"/>
      <c r="R1536" s="126"/>
      <c r="S1536" s="126"/>
      <c r="T1536" s="126"/>
    </row>
    <row r="1537" spans="1:20" s="90" customFormat="1" ht="18.75" hidden="1" customHeight="1">
      <c r="A1537" s="82" t="s">
        <v>180</v>
      </c>
      <c r="B1537" s="149">
        <v>793</v>
      </c>
      <c r="C1537" s="84" t="s">
        <v>19</v>
      </c>
      <c r="D1537" s="84" t="s">
        <v>23</v>
      </c>
      <c r="E1537" s="84" t="s">
        <v>697</v>
      </c>
      <c r="F1537" s="84" t="s">
        <v>181</v>
      </c>
      <c r="G1537" s="87"/>
      <c r="H1537" s="87"/>
      <c r="I1537" s="87"/>
      <c r="P1537" s="126"/>
      <c r="Q1537" s="126"/>
      <c r="R1537" s="126"/>
      <c r="S1537" s="126"/>
      <c r="T1537" s="126"/>
    </row>
    <row r="1538" spans="1:20" s="46" customFormat="1" ht="48" customHeight="1">
      <c r="A1538" s="16" t="s">
        <v>810</v>
      </c>
      <c r="B1538" s="14">
        <v>793</v>
      </c>
      <c r="C1538" s="15" t="s">
        <v>19</v>
      </c>
      <c r="D1538" s="15" t="s">
        <v>26</v>
      </c>
      <c r="E1538" s="15" t="s">
        <v>808</v>
      </c>
      <c r="F1538" s="15"/>
      <c r="G1538" s="70">
        <f t="shared" ref="G1538:I1539" si="420">G1539</f>
        <v>4829049.2</v>
      </c>
      <c r="H1538" s="70">
        <f t="shared" si="420"/>
        <v>0</v>
      </c>
      <c r="I1538" s="70">
        <f t="shared" si="420"/>
        <v>0</v>
      </c>
      <c r="P1538" s="110"/>
      <c r="Q1538" s="110"/>
      <c r="R1538" s="110"/>
      <c r="S1538" s="110"/>
      <c r="T1538" s="110"/>
    </row>
    <row r="1539" spans="1:20" s="46" customFormat="1" ht="29.25" customHeight="1">
      <c r="A1539" s="16" t="s">
        <v>63</v>
      </c>
      <c r="B1539" s="14">
        <v>793</v>
      </c>
      <c r="C1539" s="15" t="s">
        <v>19</v>
      </c>
      <c r="D1539" s="15" t="s">
        <v>26</v>
      </c>
      <c r="E1539" s="15" t="s">
        <v>808</v>
      </c>
      <c r="F1539" s="15" t="s">
        <v>64</v>
      </c>
      <c r="G1539" s="70">
        <f t="shared" si="420"/>
        <v>4829049.2</v>
      </c>
      <c r="H1539" s="70">
        <f t="shared" si="420"/>
        <v>0</v>
      </c>
      <c r="I1539" s="70">
        <f t="shared" si="420"/>
        <v>0</v>
      </c>
      <c r="P1539" s="110"/>
      <c r="Q1539" s="110"/>
      <c r="R1539" s="110"/>
      <c r="S1539" s="110"/>
      <c r="T1539" s="110"/>
    </row>
    <row r="1540" spans="1:20" s="46" customFormat="1">
      <c r="A1540" s="16" t="s">
        <v>809</v>
      </c>
      <c r="B1540" s="14">
        <v>793</v>
      </c>
      <c r="C1540" s="15" t="s">
        <v>19</v>
      </c>
      <c r="D1540" s="15" t="s">
        <v>26</v>
      </c>
      <c r="E1540" s="15" t="s">
        <v>808</v>
      </c>
      <c r="F1540" s="15" t="s">
        <v>807</v>
      </c>
      <c r="G1540" s="70">
        <f>'прил 5,'!G1197</f>
        <v>4829049.2</v>
      </c>
      <c r="H1540" s="70"/>
      <c r="I1540" s="70"/>
      <c r="P1540" s="110"/>
      <c r="Q1540" s="110"/>
      <c r="R1540" s="110"/>
      <c r="S1540" s="110"/>
      <c r="T1540" s="110"/>
    </row>
    <row r="1541" spans="1:20" ht="19.5" customHeight="1">
      <c r="A1541" s="82" t="s">
        <v>1046</v>
      </c>
      <c r="B1541" s="14">
        <v>774</v>
      </c>
      <c r="C1541" s="15" t="s">
        <v>26</v>
      </c>
      <c r="D1541" s="15" t="s">
        <v>28</v>
      </c>
      <c r="E1541" s="15" t="s">
        <v>1047</v>
      </c>
      <c r="F1541" s="15"/>
      <c r="G1541" s="70">
        <f>G1542</f>
        <v>205000</v>
      </c>
      <c r="H1541" s="70">
        <f t="shared" ref="H1541:I1541" si="421">H1542</f>
        <v>0</v>
      </c>
      <c r="I1541" s="70">
        <f t="shared" si="421"/>
        <v>0</v>
      </c>
      <c r="J1541" s="177"/>
      <c r="K1541" s="186"/>
      <c r="L1541" s="186"/>
      <c r="M1541" s="186"/>
      <c r="N1541" s="186"/>
      <c r="O1541" s="186"/>
      <c r="P1541" s="186"/>
      <c r="Q1541" s="186"/>
      <c r="R1541" s="186"/>
      <c r="S1541" s="1"/>
      <c r="T1541" s="1"/>
    </row>
    <row r="1542" spans="1:20" ht="30.75" customHeight="1">
      <c r="A1542" s="16" t="s">
        <v>30</v>
      </c>
      <c r="B1542" s="14">
        <v>774</v>
      </c>
      <c r="C1542" s="15" t="s">
        <v>26</v>
      </c>
      <c r="D1542" s="15" t="s">
        <v>28</v>
      </c>
      <c r="E1542" s="15" t="s">
        <v>1047</v>
      </c>
      <c r="F1542" s="15" t="s">
        <v>31</v>
      </c>
      <c r="G1542" s="70">
        <f>G1543</f>
        <v>205000</v>
      </c>
      <c r="H1542" s="70">
        <f>H1543</f>
        <v>0</v>
      </c>
      <c r="I1542" s="70">
        <f>I1543</f>
        <v>0</v>
      </c>
      <c r="J1542" s="177"/>
      <c r="K1542" s="186"/>
      <c r="L1542" s="186"/>
      <c r="M1542" s="186"/>
      <c r="N1542" s="186"/>
      <c r="O1542" s="186"/>
      <c r="P1542" s="186"/>
      <c r="Q1542" s="186"/>
      <c r="R1542" s="186"/>
      <c r="S1542" s="1"/>
      <c r="T1542" s="1"/>
    </row>
    <row r="1543" spans="1:20" ht="18.75" customHeight="1">
      <c r="A1543" s="16" t="s">
        <v>32</v>
      </c>
      <c r="B1543" s="14">
        <v>774</v>
      </c>
      <c r="C1543" s="15" t="s">
        <v>26</v>
      </c>
      <c r="D1543" s="15" t="s">
        <v>28</v>
      </c>
      <c r="E1543" s="15" t="s">
        <v>1047</v>
      </c>
      <c r="F1543" s="15" t="s">
        <v>33</v>
      </c>
      <c r="G1543" s="70">
        <f>'прил 5,'!G804+'прил 5,'!G1278</f>
        <v>205000</v>
      </c>
      <c r="H1543" s="70">
        <v>0</v>
      </c>
      <c r="I1543" s="70">
        <v>0</v>
      </c>
      <c r="J1543" s="177"/>
      <c r="K1543" s="186"/>
      <c r="L1543" s="186"/>
      <c r="M1543" s="186"/>
      <c r="N1543" s="186"/>
      <c r="O1543" s="186"/>
      <c r="P1543" s="186"/>
      <c r="Q1543" s="186"/>
      <c r="R1543" s="186"/>
      <c r="S1543" s="1"/>
      <c r="T1543" s="1"/>
    </row>
    <row r="1544" spans="1:20" s="124" customFormat="1">
      <c r="A1544" s="154" t="s">
        <v>277</v>
      </c>
      <c r="B1544" s="155">
        <v>793</v>
      </c>
      <c r="C1544" s="156" t="s">
        <v>19</v>
      </c>
      <c r="D1544" s="156" t="s">
        <v>173</v>
      </c>
      <c r="E1544" s="156" t="s">
        <v>278</v>
      </c>
      <c r="F1544" s="156"/>
      <c r="G1544" s="157">
        <f>G1547+G1548</f>
        <v>124287.62999999999</v>
      </c>
      <c r="H1544" s="157">
        <f>H1547</f>
        <v>4134.4299999999994</v>
      </c>
      <c r="I1544" s="157">
        <f>I1547</f>
        <v>3685.6099999999997</v>
      </c>
      <c r="J1544" s="123"/>
      <c r="P1544" s="123"/>
      <c r="Q1544" s="123"/>
      <c r="R1544" s="123"/>
      <c r="S1544" s="123"/>
      <c r="T1544" s="123"/>
    </row>
    <row r="1545" spans="1:20" s="150" customFormat="1" ht="39.75" customHeight="1">
      <c r="A1545" s="82" t="s">
        <v>280</v>
      </c>
      <c r="B1545" s="149">
        <v>793</v>
      </c>
      <c r="C1545" s="84" t="s">
        <v>19</v>
      </c>
      <c r="D1545" s="84" t="s">
        <v>173</v>
      </c>
      <c r="E1545" s="84" t="s">
        <v>374</v>
      </c>
      <c r="F1545" s="84"/>
      <c r="G1545" s="87">
        <f t="shared" ref="G1545:I1546" si="422">G1546</f>
        <v>124287.62999999999</v>
      </c>
      <c r="H1545" s="87">
        <f t="shared" si="422"/>
        <v>4134.4299999999994</v>
      </c>
      <c r="I1545" s="87">
        <f t="shared" si="422"/>
        <v>3685.6099999999997</v>
      </c>
      <c r="J1545" s="152">
        <v>11200</v>
      </c>
      <c r="P1545" s="152"/>
      <c r="Q1545" s="152"/>
      <c r="R1545" s="152"/>
      <c r="S1545" s="152"/>
      <c r="T1545" s="152"/>
    </row>
    <row r="1546" spans="1:20" s="150" customFormat="1">
      <c r="A1546" s="82" t="s">
        <v>323</v>
      </c>
      <c r="B1546" s="149">
        <v>793</v>
      </c>
      <c r="C1546" s="84" t="s">
        <v>19</v>
      </c>
      <c r="D1546" s="84" t="s">
        <v>173</v>
      </c>
      <c r="E1546" s="84" t="s">
        <v>374</v>
      </c>
      <c r="F1546" s="84" t="s">
        <v>37</v>
      </c>
      <c r="G1546" s="87">
        <f t="shared" si="422"/>
        <v>124287.62999999999</v>
      </c>
      <c r="H1546" s="87">
        <f t="shared" si="422"/>
        <v>4134.4299999999994</v>
      </c>
      <c r="I1546" s="87">
        <f t="shared" si="422"/>
        <v>3685.6099999999997</v>
      </c>
      <c r="J1546" s="152"/>
      <c r="P1546" s="152"/>
      <c r="Q1546" s="152"/>
      <c r="R1546" s="152"/>
      <c r="S1546" s="152"/>
      <c r="T1546" s="152"/>
    </row>
    <row r="1547" spans="1:20" s="46" customFormat="1" ht="25.5">
      <c r="A1547" s="16" t="s">
        <v>38</v>
      </c>
      <c r="B1547" s="14">
        <v>793</v>
      </c>
      <c r="C1547" s="15" t="s">
        <v>19</v>
      </c>
      <c r="D1547" s="15" t="s">
        <v>173</v>
      </c>
      <c r="E1547" s="15" t="s">
        <v>374</v>
      </c>
      <c r="F1547" s="15" t="s">
        <v>39</v>
      </c>
      <c r="G1547" s="87">
        <f>'прил 5,'!G1192</f>
        <v>124287.62999999999</v>
      </c>
      <c r="H1547" s="87">
        <f>'прил 5,'!H1192</f>
        <v>4134.4299999999994</v>
      </c>
      <c r="I1547" s="87">
        <f>'прил 5,'!I1192</f>
        <v>3685.6099999999997</v>
      </c>
      <c r="J1547" s="110"/>
      <c r="P1547" s="110"/>
      <c r="Q1547" s="110"/>
      <c r="R1547" s="110"/>
      <c r="S1547" s="110"/>
      <c r="T1547" s="110"/>
    </row>
    <row r="1548" spans="1:20" s="46" customFormat="1" hidden="1">
      <c r="A1548" s="16" t="s">
        <v>277</v>
      </c>
      <c r="B1548" s="14">
        <v>793</v>
      </c>
      <c r="C1548" s="15" t="s">
        <v>19</v>
      </c>
      <c r="D1548" s="15" t="s">
        <v>26</v>
      </c>
      <c r="E1548" s="15" t="s">
        <v>278</v>
      </c>
      <c r="F1548" s="15"/>
      <c r="G1548" s="70">
        <f t="shared" ref="G1548:I1548" si="423">G1549</f>
        <v>0</v>
      </c>
      <c r="H1548" s="70">
        <f t="shared" si="423"/>
        <v>0</v>
      </c>
      <c r="I1548" s="70">
        <f t="shared" si="423"/>
        <v>0</v>
      </c>
      <c r="P1548" s="110"/>
      <c r="Q1548" s="2"/>
      <c r="R1548" s="110"/>
      <c r="S1548" s="110"/>
      <c r="T1548" s="110"/>
    </row>
    <row r="1549" spans="1:20" s="46" customFormat="1" ht="48" hidden="1" customHeight="1">
      <c r="A1549" s="16"/>
      <c r="B1549" s="14"/>
      <c r="C1549" s="15"/>
      <c r="D1549" s="15"/>
      <c r="E1549" s="15"/>
      <c r="F1549" s="15"/>
      <c r="G1549" s="70"/>
      <c r="H1549" s="70"/>
      <c r="I1549" s="70"/>
      <c r="P1549" s="110"/>
      <c r="Q1549" s="110"/>
      <c r="R1549" s="110"/>
      <c r="S1549" s="110"/>
      <c r="T1549" s="110"/>
    </row>
    <row r="1550" spans="1:20" s="46" customFormat="1" ht="29.25" hidden="1" customHeight="1">
      <c r="A1550" s="16"/>
      <c r="B1550" s="14"/>
      <c r="C1550" s="15"/>
      <c r="D1550" s="15"/>
      <c r="E1550" s="15"/>
      <c r="F1550" s="15"/>
      <c r="G1550" s="70"/>
      <c r="H1550" s="70"/>
      <c r="I1550" s="70"/>
      <c r="P1550" s="110"/>
      <c r="Q1550" s="110"/>
      <c r="R1550" s="110"/>
      <c r="S1550" s="110"/>
      <c r="T1550" s="110"/>
    </row>
    <row r="1551" spans="1:20" s="46" customFormat="1" hidden="1">
      <c r="A1551" s="16"/>
      <c r="B1551" s="14"/>
      <c r="C1551" s="15"/>
      <c r="D1551" s="15"/>
      <c r="E1551" s="15"/>
      <c r="F1551" s="15"/>
      <c r="G1551" s="70"/>
      <c r="H1551" s="70"/>
      <c r="I1551" s="70"/>
      <c r="P1551" s="110"/>
      <c r="Q1551" s="110"/>
      <c r="R1551" s="110"/>
      <c r="S1551" s="110"/>
      <c r="T1551" s="110"/>
    </row>
    <row r="1552" spans="1:20" s="22" customFormat="1" ht="26.25" customHeight="1">
      <c r="A1552" s="34" t="s">
        <v>368</v>
      </c>
      <c r="B1552" s="36"/>
      <c r="C1552" s="36"/>
      <c r="D1552" s="36"/>
      <c r="E1552" s="36"/>
      <c r="F1552" s="36"/>
      <c r="G1552" s="71">
        <f>G20+G1386</f>
        <v>1867280251.6599998</v>
      </c>
      <c r="H1552" s="71">
        <f>H20+H1386</f>
        <v>1435918073.3499997</v>
      </c>
      <c r="I1552" s="71">
        <f>I20+I1386</f>
        <v>1646941446.9099996</v>
      </c>
      <c r="J1552" s="21"/>
      <c r="L1552" s="21">
        <f>G1479+H1479+I1479+G1470+H1470+I1470+G1463+H1463+I1463+G1455+H1455+I1455+G1423+H1423+I1423+G1419+H1419+I1419+G1167+H1167+I1167+G899+H899+I899+G676+H676+I676+G59+H59+I59</f>
        <v>293021803.59000003</v>
      </c>
      <c r="P1552" s="21"/>
      <c r="Q1552" s="21"/>
      <c r="R1552" s="21"/>
      <c r="S1552" s="21"/>
      <c r="T1552" s="21"/>
    </row>
    <row r="1553" spans="1:20" s="18" customFormat="1" hidden="1">
      <c r="A1553" s="16"/>
      <c r="B1553" s="14"/>
      <c r="C1553" s="15"/>
      <c r="D1553" s="15"/>
      <c r="E1553" s="15"/>
      <c r="F1553" s="15"/>
      <c r="G1553" s="87"/>
      <c r="H1553" s="87"/>
      <c r="I1553" s="87"/>
      <c r="J1553" s="17"/>
      <c r="P1553" s="17"/>
      <c r="Q1553" s="17"/>
      <c r="R1553" s="17"/>
      <c r="S1553" s="17"/>
      <c r="T1553" s="17"/>
    </row>
    <row r="1554" spans="1:20" s="18" customFormat="1" hidden="1">
      <c r="A1554" s="16"/>
      <c r="B1554" s="14"/>
      <c r="C1554" s="15"/>
      <c r="D1554" s="15"/>
      <c r="E1554" s="15"/>
      <c r="F1554" s="15"/>
      <c r="G1554" s="87"/>
      <c r="H1554" s="87"/>
      <c r="I1554" s="87"/>
      <c r="J1554" s="17"/>
      <c r="P1554" s="17"/>
      <c r="Q1554" s="17"/>
      <c r="R1554" s="17"/>
      <c r="S1554" s="17"/>
      <c r="T1554" s="17"/>
    </row>
    <row r="1555" spans="1:20" hidden="1"/>
    <row r="1556" spans="1:20" hidden="1">
      <c r="G1556" s="89">
        <v>1303746913.27</v>
      </c>
      <c r="H1556" s="89">
        <v>1303746913.27</v>
      </c>
      <c r="I1556" s="89">
        <v>1303746913.27</v>
      </c>
    </row>
    <row r="1557" spans="1:20" ht="21.75" hidden="1" customHeight="1">
      <c r="G1557" s="89">
        <f>G1552-G1556</f>
        <v>563533338.38999987</v>
      </c>
      <c r="H1557" s="89">
        <f>H1552-H1556</f>
        <v>132171160.07999969</v>
      </c>
      <c r="I1557" s="89">
        <f>I1552-I1556</f>
        <v>343194533.63999963</v>
      </c>
    </row>
    <row r="1558" spans="1:20" hidden="1"/>
    <row r="1559" spans="1:20" hidden="1">
      <c r="G1559" s="89" t="e">
        <f>#REF!+#REF!+#REF!+G373+#REF!+#REF!+#REF!+#REF!+G1128+G1498+#REF!</f>
        <v>#REF!</v>
      </c>
      <c r="H1559" s="89" t="e">
        <f>#REF!+#REF!+#REF!+H373+#REF!+#REF!+#REF!+#REF!+H1128+H1498+#REF!</f>
        <v>#REF!</v>
      </c>
      <c r="I1559" s="89" t="e">
        <f>#REF!+#REF!+#REF!+I373+#REF!+#REF!+#REF!+#REF!+I1128+I1498+#REF!</f>
        <v>#REF!</v>
      </c>
    </row>
    <row r="1560" spans="1:20" hidden="1">
      <c r="B1560" s="1"/>
      <c r="C1560" s="1"/>
      <c r="D1560" s="1"/>
      <c r="E1560" s="1"/>
      <c r="F1560" s="1"/>
    </row>
    <row r="1561" spans="1:20" hidden="1">
      <c r="B1561" s="1"/>
      <c r="C1561" s="1"/>
      <c r="D1561" s="1"/>
      <c r="E1561" s="1"/>
      <c r="F1561" s="1"/>
      <c r="G1561" s="89">
        <f>'прил 5,'!G2271-'прил 6.'!G1552</f>
        <v>0</v>
      </c>
      <c r="H1561" s="89">
        <f>H1552-'прил 5,'!H2271</f>
        <v>0</v>
      </c>
      <c r="I1561" s="89">
        <f>I1552-'прил 5,'!I2271</f>
        <v>0</v>
      </c>
    </row>
    <row r="1562" spans="1:20" hidden="1">
      <c r="B1562" s="1"/>
      <c r="C1562" s="1"/>
      <c r="D1562" s="1"/>
      <c r="E1562" s="1"/>
      <c r="F1562" s="1"/>
      <c r="G1562" s="89" t="e">
        <f>G1559-G1498</f>
        <v>#REF!</v>
      </c>
      <c r="H1562" s="89" t="e">
        <f>H1559-H1498</f>
        <v>#REF!</v>
      </c>
      <c r="I1562" s="89" t="e">
        <f>I1559-I1498</f>
        <v>#REF!</v>
      </c>
    </row>
    <row r="1563" spans="1:20" hidden="1">
      <c r="B1563" s="1"/>
      <c r="C1563" s="1"/>
      <c r="D1563" s="1"/>
      <c r="E1563" s="1"/>
      <c r="F1563" s="1"/>
    </row>
    <row r="1568" spans="1:20" hidden="1"/>
    <row r="1569" spans="7:15" hidden="1"/>
    <row r="1570" spans="7:15" hidden="1"/>
    <row r="1571" spans="7:15" hidden="1"/>
    <row r="1572" spans="7:15" hidden="1">
      <c r="J1572" s="89">
        <f t="shared" ref="J1572:O1572" si="424">J1552-J1570</f>
        <v>0</v>
      </c>
      <c r="K1572" s="89">
        <f t="shared" si="424"/>
        <v>0</v>
      </c>
      <c r="L1572" s="89">
        <f t="shared" si="424"/>
        <v>293021803.59000003</v>
      </c>
      <c r="M1572" s="89">
        <f t="shared" si="424"/>
        <v>0</v>
      </c>
      <c r="N1572" s="89">
        <f t="shared" si="424"/>
        <v>0</v>
      </c>
      <c r="O1572" s="89">
        <f t="shared" si="424"/>
        <v>0</v>
      </c>
    </row>
    <row r="1573" spans="7:15" hidden="1"/>
    <row r="1574" spans="7:15" hidden="1"/>
    <row r="1575" spans="7:15" hidden="1"/>
    <row r="1576" spans="7:15" hidden="1"/>
    <row r="1577" spans="7:15" hidden="1"/>
    <row r="1578" spans="7:15" hidden="1"/>
    <row r="1579" spans="7:15" hidden="1"/>
    <row r="1580" spans="7:15">
      <c r="G1580" s="89">
        <f>G1552-'прил 5,'!G2271</f>
        <v>0</v>
      </c>
      <c r="H1580" s="89">
        <f>H1552-'прил 5,'!H2271</f>
        <v>0</v>
      </c>
      <c r="I1580" s="89">
        <f>I1552-'прил 5,'!I2271</f>
        <v>0</v>
      </c>
    </row>
  </sheetData>
  <mergeCells count="28">
    <mergeCell ref="G16:I16"/>
    <mergeCell ref="B11:D11"/>
    <mergeCell ref="E11:G11"/>
    <mergeCell ref="B12:C12"/>
    <mergeCell ref="D12:G12"/>
    <mergeCell ref="B13:D13"/>
    <mergeCell ref="E13:G13"/>
    <mergeCell ref="B9:D9"/>
    <mergeCell ref="E9:G9"/>
    <mergeCell ref="B10:C10"/>
    <mergeCell ref="D10:G10"/>
    <mergeCell ref="A16:A18"/>
    <mergeCell ref="A15:I15"/>
    <mergeCell ref="G17:G18"/>
    <mergeCell ref="D17:D18"/>
    <mergeCell ref="B17:B18"/>
    <mergeCell ref="C17:C18"/>
    <mergeCell ref="F16:F18"/>
    <mergeCell ref="E16:E18"/>
    <mergeCell ref="H17:H18"/>
    <mergeCell ref="I17:I18"/>
    <mergeCell ref="B14:C14"/>
    <mergeCell ref="D14:G14"/>
    <mergeCell ref="E1:G1"/>
    <mergeCell ref="E2:G2"/>
    <mergeCell ref="E4:G4"/>
    <mergeCell ref="E6:G6"/>
    <mergeCell ref="E8:G8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466" max="16383" man="1"/>
    <brk id="155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2022-11-28T06:08:02Z</cp:lastPrinted>
  <dcterms:created xsi:type="dcterms:W3CDTF">2014-11-17T05:43:53Z</dcterms:created>
  <dcterms:modified xsi:type="dcterms:W3CDTF">2022-11-28T06:11:40Z</dcterms:modified>
</cp:coreProperties>
</file>