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30" windowHeight="11400" activeTab="1"/>
  </bookViews>
  <sheets>
    <sheet name="прил 4 " sheetId="2" r:id="rId1"/>
    <sheet name="прил 5," sheetId="1" r:id="rId2"/>
    <sheet name="прил 6." sheetId="3" r:id="rId3"/>
  </sheets>
  <definedNames>
    <definedName name="_xlnm.Print_Area" localSheetId="0">'прил 4 '!$A$1:$J$69</definedName>
    <definedName name="_xlnm.Print_Area" localSheetId="1">'прил 5,'!$A$1:$I$2222</definedName>
    <definedName name="_xlnm.Print_Area" localSheetId="2">'прил 6.'!$A$1:$O$1523</definedName>
  </definedNames>
  <calcPr calcId="124519" iterate="1"/>
</workbook>
</file>

<file path=xl/calcChain.xml><?xml version="1.0" encoding="utf-8"?>
<calcChain xmlns="http://schemas.openxmlformats.org/spreadsheetml/2006/main">
  <c r="G169" i="3"/>
  <c r="G1380" i="1"/>
  <c r="I1378"/>
  <c r="H1378"/>
  <c r="G1378"/>
  <c r="G1377" s="1"/>
  <c r="H1685" l="1"/>
  <c r="I1685"/>
  <c r="G168" i="3" l="1"/>
  <c r="G167" s="1"/>
  <c r="I168"/>
  <c r="H168"/>
  <c r="G1755" i="1" l="1"/>
  <c r="G1420"/>
  <c r="G858" i="3"/>
  <c r="G831"/>
  <c r="G843"/>
  <c r="G204" i="1"/>
  <c r="G902" i="3" s="1"/>
  <c r="G1218" i="1" l="1"/>
  <c r="G1215"/>
  <c r="G1070"/>
  <c r="I179" i="3" l="1"/>
  <c r="H179"/>
  <c r="G179"/>
  <c r="G1383" i="1"/>
  <c r="G569"/>
  <c r="G575"/>
  <c r="H1315" i="3" l="1"/>
  <c r="G855" l="1"/>
  <c r="G854" s="1"/>
  <c r="G853" s="1"/>
  <c r="I854"/>
  <c r="I853" s="1"/>
  <c r="H854"/>
  <c r="H853" s="1"/>
  <c r="I313" i="1"/>
  <c r="I312" s="1"/>
  <c r="H313"/>
  <c r="H312" s="1"/>
  <c r="G313"/>
  <c r="G312" s="1"/>
  <c r="G38"/>
  <c r="G275"/>
  <c r="G399"/>
  <c r="G416"/>
  <c r="G431"/>
  <c r="H852" i="3"/>
  <c r="H1499" i="1"/>
  <c r="G1370"/>
  <c r="G585" i="3"/>
  <c r="G584" s="1"/>
  <c r="G583" s="1"/>
  <c r="I584"/>
  <c r="I583" s="1"/>
  <c r="H584"/>
  <c r="H583" s="1"/>
  <c r="I702" i="1"/>
  <c r="I701" s="1"/>
  <c r="H702"/>
  <c r="H701" s="1"/>
  <c r="G702"/>
  <c r="G701" s="1"/>
  <c r="G1319"/>
  <c r="G1464"/>
  <c r="G1543"/>
  <c r="G1480"/>
  <c r="G1179"/>
  <c r="I851" i="3"/>
  <c r="I850" s="1"/>
  <c r="H851"/>
  <c r="H850" s="1"/>
  <c r="G851"/>
  <c r="G850" s="1"/>
  <c r="I848"/>
  <c r="I847" s="1"/>
  <c r="H848"/>
  <c r="H847" s="1"/>
  <c r="G848"/>
  <c r="G847" s="1"/>
  <c r="I845"/>
  <c r="I844" s="1"/>
  <c r="H845"/>
  <c r="H844" s="1"/>
  <c r="G845"/>
  <c r="G844" s="1"/>
  <c r="I842"/>
  <c r="I841" s="1"/>
  <c r="H842"/>
  <c r="H841" s="1"/>
  <c r="G842"/>
  <c r="G841" s="1"/>
  <c r="I310" i="1"/>
  <c r="I309" s="1"/>
  <c r="H310"/>
  <c r="H309" s="1"/>
  <c r="G310"/>
  <c r="G309" s="1"/>
  <c r="I307"/>
  <c r="I306" s="1"/>
  <c r="H307"/>
  <c r="H306" s="1"/>
  <c r="G307"/>
  <c r="G306" s="1"/>
  <c r="I304"/>
  <c r="I303" s="1"/>
  <c r="H304"/>
  <c r="H303" s="1"/>
  <c r="G304"/>
  <c r="G303" s="1"/>
  <c r="I581" i="3" l="1"/>
  <c r="I580" s="1"/>
  <c r="H581"/>
  <c r="H580" s="1"/>
  <c r="G581"/>
  <c r="G580" s="1"/>
  <c r="I578"/>
  <c r="I577" s="1"/>
  <c r="H578"/>
  <c r="H577" s="1"/>
  <c r="G578"/>
  <c r="G577" s="1"/>
  <c r="I575"/>
  <c r="I574" s="1"/>
  <c r="H575"/>
  <c r="H574" s="1"/>
  <c r="G575"/>
  <c r="G574" s="1"/>
  <c r="I572"/>
  <c r="I571" s="1"/>
  <c r="H572"/>
  <c r="H571" s="1"/>
  <c r="G572"/>
  <c r="G571" s="1"/>
  <c r="I569"/>
  <c r="I568" s="1"/>
  <c r="H569"/>
  <c r="H568" s="1"/>
  <c r="G569"/>
  <c r="G568" s="1"/>
  <c r="I687" i="1" l="1"/>
  <c r="I686" s="1"/>
  <c r="H687"/>
  <c r="H686" s="1"/>
  <c r="G687"/>
  <c r="G686" s="1"/>
  <c r="I690"/>
  <c r="I689" s="1"/>
  <c r="H690"/>
  <c r="H689" s="1"/>
  <c r="G690"/>
  <c r="G689" s="1"/>
  <c r="I693"/>
  <c r="I692" s="1"/>
  <c r="H693"/>
  <c r="H692" s="1"/>
  <c r="G693"/>
  <c r="G692" s="1"/>
  <c r="I696"/>
  <c r="I695" s="1"/>
  <c r="H696"/>
  <c r="H695" s="1"/>
  <c r="G696"/>
  <c r="G695" s="1"/>
  <c r="I699"/>
  <c r="I698" s="1"/>
  <c r="H699"/>
  <c r="H698" s="1"/>
  <c r="G699"/>
  <c r="G698" s="1"/>
  <c r="G512"/>
  <c r="G667"/>
  <c r="G679"/>
  <c r="G1015" l="1"/>
  <c r="G488"/>
  <c r="G953"/>
  <c r="G653" i="3" s="1"/>
  <c r="G494" i="1"/>
  <c r="G685"/>
  <c r="G658"/>
  <c r="G1194"/>
  <c r="G143"/>
  <c r="G129" i="3" s="1"/>
  <c r="G1122" l="1"/>
  <c r="G1469" l="1"/>
  <c r="G182"/>
  <c r="G1485"/>
  <c r="G2190" i="1"/>
  <c r="I2187"/>
  <c r="I2186" s="1"/>
  <c r="H2187"/>
  <c r="H2186" s="1"/>
  <c r="G2113"/>
  <c r="G2112" s="1"/>
  <c r="G2111" s="1"/>
  <c r="G2110" s="1"/>
  <c r="G2114"/>
  <c r="I1662"/>
  <c r="H1662"/>
  <c r="G1662"/>
  <c r="G1661" s="1"/>
  <c r="G1660" s="1"/>
  <c r="G1659" s="1"/>
  <c r="G1658" s="1"/>
  <c r="I1656"/>
  <c r="H1656"/>
  <c r="G1656"/>
  <c r="G1655" s="1"/>
  <c r="G1654" s="1"/>
  <c r="G711" i="3"/>
  <c r="G710" s="1"/>
  <c r="G709" s="1"/>
  <c r="I710"/>
  <c r="I709" s="1"/>
  <c r="H710"/>
  <c r="H709" s="1"/>
  <c r="G1382"/>
  <c r="G1580" i="1"/>
  <c r="G1579" s="1"/>
  <c r="G1578" s="1"/>
  <c r="G1490" i="3" l="1"/>
  <c r="I1448" i="1"/>
  <c r="H1448"/>
  <c r="G1448"/>
  <c r="G1325"/>
  <c r="I1388" i="3"/>
  <c r="I1387" s="1"/>
  <c r="H1388"/>
  <c r="H1387" s="1"/>
  <c r="I1121" i="1"/>
  <c r="I1120" s="1"/>
  <c r="H1121"/>
  <c r="H1120" s="1"/>
  <c r="G1121"/>
  <c r="G1120" s="1"/>
  <c r="G1389" i="3" s="1"/>
  <c r="G1388" s="1"/>
  <c r="G1387" s="1"/>
  <c r="G513"/>
  <c r="G512" s="1"/>
  <c r="G511" s="1"/>
  <c r="I512"/>
  <c r="I511" s="1"/>
  <c r="H512"/>
  <c r="H511" s="1"/>
  <c r="I642" i="1"/>
  <c r="I641" s="1"/>
  <c r="H642"/>
  <c r="H641" s="1"/>
  <c r="G642"/>
  <c r="G641" s="1"/>
  <c r="H402"/>
  <c r="I402"/>
  <c r="G664" l="1"/>
  <c r="G1119" i="3"/>
  <c r="G1118" s="1"/>
  <c r="G1117" s="1"/>
  <c r="G1315" i="1"/>
  <c r="G1314" s="1"/>
  <c r="I1315"/>
  <c r="I1314" s="1"/>
  <c r="H1315"/>
  <c r="H1314" s="1"/>
  <c r="G1229" i="3"/>
  <c r="G1228" s="1"/>
  <c r="G1227" s="1"/>
  <c r="I1228"/>
  <c r="I1227" s="1"/>
  <c r="H1228"/>
  <c r="H1227" s="1"/>
  <c r="I1545" i="1"/>
  <c r="I1544" s="1"/>
  <c r="H1545"/>
  <c r="H1544" s="1"/>
  <c r="G1545"/>
  <c r="G1544" s="1"/>
  <c r="G1294"/>
  <c r="G1293" s="1"/>
  <c r="G446"/>
  <c r="I1118" i="3"/>
  <c r="I1117" s="1"/>
  <c r="H1118"/>
  <c r="H1117" s="1"/>
  <c r="I1294" i="1"/>
  <c r="I1293" s="1"/>
  <c r="H1294"/>
  <c r="H1293" s="1"/>
  <c r="G1556"/>
  <c r="G1566" s="1"/>
  <c r="I1175" i="3"/>
  <c r="I1174" s="1"/>
  <c r="H1175"/>
  <c r="H1174" s="1"/>
  <c r="G1175"/>
  <c r="G1174" s="1"/>
  <c r="I1509" i="1"/>
  <c r="I1508" s="1"/>
  <c r="H1509"/>
  <c r="H1508" s="1"/>
  <c r="G1509"/>
  <c r="G1508" s="1"/>
  <c r="G1512"/>
  <c r="G1511" s="1"/>
  <c r="H1512"/>
  <c r="H1511" s="1"/>
  <c r="I1512"/>
  <c r="I1511" s="1"/>
  <c r="G1499"/>
  <c r="G712"/>
  <c r="G711" s="1"/>
  <c r="G710" s="1"/>
  <c r="G567" i="3"/>
  <c r="G566" s="1"/>
  <c r="G565" s="1"/>
  <c r="I566"/>
  <c r="I565" s="1"/>
  <c r="H566"/>
  <c r="H565" s="1"/>
  <c r="I714" i="1"/>
  <c r="I713" s="1"/>
  <c r="H714"/>
  <c r="H713" s="1"/>
  <c r="G714"/>
  <c r="G713" s="1"/>
  <c r="G709"/>
  <c r="G724" i="3"/>
  <c r="G723" s="1"/>
  <c r="G722" s="1"/>
  <c r="I723"/>
  <c r="I722" s="1"/>
  <c r="H723"/>
  <c r="H722" s="1"/>
  <c r="I1629" i="1"/>
  <c r="I1628" s="1"/>
  <c r="H1629"/>
  <c r="H1628" s="1"/>
  <c r="G1629"/>
  <c r="G1628" s="1"/>
  <c r="G1618"/>
  <c r="I1070"/>
  <c r="H709"/>
  <c r="H1070"/>
  <c r="I91" i="2"/>
  <c r="J91"/>
  <c r="G564" i="3"/>
  <c r="G563" s="1"/>
  <c r="G562" s="1"/>
  <c r="I563"/>
  <c r="I562" s="1"/>
  <c r="H563"/>
  <c r="H562" s="1"/>
  <c r="I711" i="1"/>
  <c r="I710" s="1"/>
  <c r="H711"/>
  <c r="H710" s="1"/>
  <c r="G1355"/>
  <c r="I1328" i="3"/>
  <c r="H1328"/>
  <c r="G1328"/>
  <c r="I1326"/>
  <c r="H1326"/>
  <c r="G1326"/>
  <c r="H1705" i="1"/>
  <c r="I1705"/>
  <c r="G1705"/>
  <c r="H1703"/>
  <c r="G1703"/>
  <c r="I1703"/>
  <c r="I1695"/>
  <c r="H1695"/>
  <c r="G1695"/>
  <c r="I901" i="3"/>
  <c r="I900" s="1"/>
  <c r="H901"/>
  <c r="H900" s="1"/>
  <c r="G901"/>
  <c r="G900" s="1"/>
  <c r="G1258" i="1"/>
  <c r="I1387"/>
  <c r="I173" i="3" s="1"/>
  <c r="H1387" i="1"/>
  <c r="H173" i="3" s="1"/>
  <c r="I1370" i="1"/>
  <c r="I157" i="3" s="1"/>
  <c r="H1370" i="1"/>
  <c r="H157" i="3" s="1"/>
  <c r="I557"/>
  <c r="I556" s="1"/>
  <c r="H557"/>
  <c r="H556" s="1"/>
  <c r="G557"/>
  <c r="G556" s="1"/>
  <c r="I705" i="1"/>
  <c r="I704" s="1"/>
  <c r="H705"/>
  <c r="H704" s="1"/>
  <c r="G705"/>
  <c r="G704" s="1"/>
  <c r="G555" i="3"/>
  <c r="G627" i="1"/>
  <c r="G588"/>
  <c r="G1606"/>
  <c r="G1309" i="3" s="1"/>
  <c r="G1475"/>
  <c r="G1474" s="1"/>
  <c r="H904" i="1"/>
  <c r="H903" s="1"/>
  <c r="I904"/>
  <c r="I903" s="1"/>
  <c r="G904"/>
  <c r="G903" s="1"/>
  <c r="I614" i="3"/>
  <c r="I613" s="1"/>
  <c r="H614"/>
  <c r="H613" s="1"/>
  <c r="G614"/>
  <c r="G613" s="1"/>
  <c r="I949" i="1"/>
  <c r="I948" s="1"/>
  <c r="H949"/>
  <c r="H948" s="1"/>
  <c r="G949"/>
  <c r="G948" s="1"/>
  <c r="I509" i="3"/>
  <c r="I508" s="1"/>
  <c r="H509"/>
  <c r="H508" s="1"/>
  <c r="G509"/>
  <c r="G508" s="1"/>
  <c r="I639" i="1"/>
  <c r="I638" s="1"/>
  <c r="H639"/>
  <c r="H638" s="1"/>
  <c r="G639"/>
  <c r="G638" s="1"/>
  <c r="G518"/>
  <c r="G315" i="3"/>
  <c r="G322"/>
  <c r="G321" s="1"/>
  <c r="G1690" i="1"/>
  <c r="G1689" s="1"/>
  <c r="G1687"/>
  <c r="G1686" s="1"/>
  <c r="G324" i="3"/>
  <c r="G1387" i="1"/>
  <c r="G173" i="3" s="1"/>
  <c r="G1363" i="1"/>
  <c r="G1362" s="1"/>
  <c r="G278" i="3" s="1"/>
  <c r="G277" s="1"/>
  <c r="G276" s="1"/>
  <c r="G1241" i="1"/>
  <c r="G1240" s="1"/>
  <c r="G1239" s="1"/>
  <c r="G1465" i="3" s="1"/>
  <c r="G1184" i="1"/>
  <c r="G1141"/>
  <c r="G1137"/>
  <c r="G26"/>
  <c r="G24"/>
  <c r="G342"/>
  <c r="G341" s="1"/>
  <c r="G1685" l="1"/>
  <c r="G1464" i="3"/>
  <c r="H1333" i="1"/>
  <c r="H1305"/>
  <c r="G1164"/>
  <c r="I1154" i="3"/>
  <c r="H1154"/>
  <c r="G1154"/>
  <c r="I2147" i="1"/>
  <c r="I2146" s="1"/>
  <c r="H2147"/>
  <c r="H2146" s="1"/>
  <c r="G2147"/>
  <c r="I1333"/>
  <c r="I1336"/>
  <c r="I1305"/>
  <c r="I1308"/>
  <c r="I773" i="3"/>
  <c r="I772" s="1"/>
  <c r="H773"/>
  <c r="H772" s="1"/>
  <c r="G773"/>
  <c r="G772" s="1"/>
  <c r="I249" i="1"/>
  <c r="I248" s="1"/>
  <c r="H249"/>
  <c r="H248" s="1"/>
  <c r="G249"/>
  <c r="G248" s="1"/>
  <c r="I231"/>
  <c r="H231"/>
  <c r="G231"/>
  <c r="G1197"/>
  <c r="G1189"/>
  <c r="G1514" i="3"/>
  <c r="G1513" s="1"/>
  <c r="G1512" s="1"/>
  <c r="I1513"/>
  <c r="I1512" s="1"/>
  <c r="H1513"/>
  <c r="H1512" s="1"/>
  <c r="G784" i="1"/>
  <c r="G783" s="1"/>
  <c r="I784"/>
  <c r="I783" s="1"/>
  <c r="H784"/>
  <c r="H783" s="1"/>
  <c r="G782"/>
  <c r="I325"/>
  <c r="I324" s="1"/>
  <c r="H325"/>
  <c r="H324" s="1"/>
  <c r="G325"/>
  <c r="G324" s="1"/>
  <c r="I904" i="3"/>
  <c r="I903" s="1"/>
  <c r="H904"/>
  <c r="H903" s="1"/>
  <c r="G904"/>
  <c r="G903" s="1"/>
  <c r="G884"/>
  <c r="I1169" i="1"/>
  <c r="H1169"/>
  <c r="G1169"/>
  <c r="G1399" i="3"/>
  <c r="G425"/>
  <c r="G1337"/>
  <c r="G1336" s="1"/>
  <c r="G1335" s="1"/>
  <c r="I1336"/>
  <c r="I1335" s="1"/>
  <c r="H1336"/>
  <c r="H1335" s="1"/>
  <c r="I1730" i="1"/>
  <c r="I1729" s="1"/>
  <c r="H1730"/>
  <c r="H1729" s="1"/>
  <c r="G1730"/>
  <c r="G1729" s="1"/>
  <c r="G1039" i="3"/>
  <c r="G1038" s="1"/>
  <c r="G1037" s="1"/>
  <c r="I1038"/>
  <c r="H1038"/>
  <c r="G1138" i="1"/>
  <c r="G422" i="3" l="1"/>
  <c r="G421" s="1"/>
  <c r="G420" s="1"/>
  <c r="I421"/>
  <c r="I420" s="1"/>
  <c r="H421"/>
  <c r="H420" s="1"/>
  <c r="H970" i="1"/>
  <c r="H969" s="1"/>
  <c r="I970"/>
  <c r="I969" s="1"/>
  <c r="G970"/>
  <c r="G969" s="1"/>
  <c r="I611" i="3"/>
  <c r="I610" s="1"/>
  <c r="H611"/>
  <c r="H610" s="1"/>
  <c r="G611"/>
  <c r="G610" s="1"/>
  <c r="G807"/>
  <c r="G806" s="1"/>
  <c r="G805" s="1"/>
  <c r="I806"/>
  <c r="I805" s="1"/>
  <c r="H806"/>
  <c r="H805" s="1"/>
  <c r="G792"/>
  <c r="G1352" l="1"/>
  <c r="G1351" s="1"/>
  <c r="G901" i="1"/>
  <c r="G900" s="1"/>
  <c r="G899" s="1"/>
  <c r="G1144" i="3"/>
  <c r="G1143" s="1"/>
  <c r="G1142" s="1"/>
  <c r="G1226" i="1"/>
  <c r="G1225" s="1"/>
  <c r="G162" i="3" l="1"/>
  <c r="G161" s="1"/>
  <c r="G1371" i="1"/>
  <c r="G157" i="3"/>
  <c r="G297"/>
  <c r="G296" s="1"/>
  <c r="G295" s="1"/>
  <c r="G1392" i="1"/>
  <c r="G1391" s="1"/>
  <c r="G1390" s="1"/>
  <c r="G302" i="3"/>
  <c r="G301" s="1"/>
  <c r="G300" s="1"/>
  <c r="G299" s="1"/>
  <c r="G1396" i="1"/>
  <c r="G1395" s="1"/>
  <c r="G1394" s="1"/>
  <c r="G1518"/>
  <c r="I763" i="3"/>
  <c r="I762" s="1"/>
  <c r="H763"/>
  <c r="H762" s="1"/>
  <c r="G763"/>
  <c r="G762" s="1"/>
  <c r="I726"/>
  <c r="I725" s="1"/>
  <c r="H726"/>
  <c r="H725" s="1"/>
  <c r="G726"/>
  <c r="G725" s="1"/>
  <c r="I1635" i="1"/>
  <c r="I1634" s="1"/>
  <c r="H1635"/>
  <c r="H1634" s="1"/>
  <c r="G1635"/>
  <c r="G1634" s="1"/>
  <c r="I1127" i="3"/>
  <c r="I1126" s="1"/>
  <c r="H1127"/>
  <c r="H1126" s="1"/>
  <c r="G1127"/>
  <c r="G1126" s="1"/>
  <c r="G1321" i="1"/>
  <c r="G1320" s="1"/>
  <c r="I1321"/>
  <c r="I1320" s="1"/>
  <c r="H1321"/>
  <c r="H1320" s="1"/>
  <c r="I791" i="3"/>
  <c r="I790" s="1"/>
  <c r="H791"/>
  <c r="H790" s="1"/>
  <c r="G791"/>
  <c r="G790" s="1"/>
  <c r="G316" i="1"/>
  <c r="G315" s="1"/>
  <c r="I316"/>
  <c r="I315" s="1"/>
  <c r="H316"/>
  <c r="H315" s="1"/>
  <c r="I165" i="3"/>
  <c r="I164" s="1"/>
  <c r="H165"/>
  <c r="H164" s="1"/>
  <c r="G165"/>
  <c r="G164" s="1"/>
  <c r="G1375" i="1"/>
  <c r="G1374" s="1"/>
  <c r="I1375"/>
  <c r="I1374" s="1"/>
  <c r="H1375"/>
  <c r="H1374" s="1"/>
  <c r="G511"/>
  <c r="G510" s="1"/>
  <c r="G508"/>
  <c r="G507" s="1"/>
  <c r="I508"/>
  <c r="I507" s="1"/>
  <c r="H508"/>
  <c r="H507" s="1"/>
  <c r="I511"/>
  <c r="I510" s="1"/>
  <c r="H511"/>
  <c r="H510" s="1"/>
  <c r="I695" i="3"/>
  <c r="I694" s="1"/>
  <c r="H695"/>
  <c r="H694" s="1"/>
  <c r="G695"/>
  <c r="G694" s="1"/>
  <c r="G154" l="1"/>
  <c r="G533"/>
  <c r="G540"/>
  <c r="G539" s="1"/>
  <c r="G538" s="1"/>
  <c r="I1404" i="1"/>
  <c r="I1403" s="1"/>
  <c r="H1404"/>
  <c r="H1403" s="1"/>
  <c r="G1404"/>
  <c r="G1403" s="1"/>
  <c r="G2150"/>
  <c r="G1157" i="3" s="1"/>
  <c r="G1313" i="1"/>
  <c r="G1308" i="3"/>
  <c r="G1307" s="1"/>
  <c r="G1605" i="1"/>
  <c r="G1604" s="1"/>
  <c r="G1612"/>
  <c r="H549" i="3"/>
  <c r="I549"/>
  <c r="G549"/>
  <c r="G514" i="1"/>
  <c r="G513" s="1"/>
  <c r="I514"/>
  <c r="I513" s="1"/>
  <c r="H514"/>
  <c r="H513" s="1"/>
  <c r="H540" i="3"/>
  <c r="H539" s="1"/>
  <c r="H538" s="1"/>
  <c r="I540"/>
  <c r="I539" s="1"/>
  <c r="I538" s="1"/>
  <c r="G832" i="1"/>
  <c r="G831" s="1"/>
  <c r="I832"/>
  <c r="I831" s="1"/>
  <c r="H832"/>
  <c r="H831" s="1"/>
  <c r="G666"/>
  <c r="G665" s="1"/>
  <c r="I666"/>
  <c r="I665" s="1"/>
  <c r="H666"/>
  <c r="H665" s="1"/>
  <c r="H533" i="3"/>
  <c r="I533"/>
  <c r="I425"/>
  <c r="I424" s="1"/>
  <c r="I423" s="1"/>
  <c r="H425"/>
  <c r="H424" s="1"/>
  <c r="H423" s="1"/>
  <c r="G424"/>
  <c r="G423" s="1"/>
  <c r="I974" i="1"/>
  <c r="I973" s="1"/>
  <c r="I972" s="1"/>
  <c r="H974"/>
  <c r="H973" s="1"/>
  <c r="H972" s="1"/>
  <c r="G973"/>
  <c r="G972" s="1"/>
  <c r="I993"/>
  <c r="I677" i="3" s="1"/>
  <c r="H993" i="1"/>
  <c r="H677" i="3" s="1"/>
  <c r="G993" i="1"/>
  <c r="G677" i="3" s="1"/>
  <c r="I418"/>
  <c r="I417" s="1"/>
  <c r="H418"/>
  <c r="H417" s="1"/>
  <c r="G418"/>
  <c r="G417" s="1"/>
  <c r="I967" i="1"/>
  <c r="I966" s="1"/>
  <c r="H967"/>
  <c r="H966" s="1"/>
  <c r="G967"/>
  <c r="G966" s="1"/>
  <c r="G996"/>
  <c r="I1178" i="3"/>
  <c r="I1177" s="1"/>
  <c r="H1178"/>
  <c r="H1177" s="1"/>
  <c r="G1178"/>
  <c r="G1177" s="1"/>
  <c r="G1401" i="1"/>
  <c r="G1350" i="3" s="1"/>
  <c r="G965" i="1" l="1"/>
  <c r="I965"/>
  <c r="H965"/>
  <c r="H1232" i="3"/>
  <c r="I1232"/>
  <c r="G1232"/>
  <c r="I829" i="1"/>
  <c r="I828" s="1"/>
  <c r="H829"/>
  <c r="H828" s="1"/>
  <c r="G829"/>
  <c r="G828" s="1"/>
  <c r="H320" i="3"/>
  <c r="I320"/>
  <c r="H776"/>
  <c r="H775" s="1"/>
  <c r="I776"/>
  <c r="I775" s="1"/>
  <c r="H153" i="1"/>
  <c r="H152" s="1"/>
  <c r="I153"/>
  <c r="I152" s="1"/>
  <c r="H342" i="3"/>
  <c r="I342"/>
  <c r="G342"/>
  <c r="G320"/>
  <c r="H315"/>
  <c r="I315"/>
  <c r="H332"/>
  <c r="H331" s="1"/>
  <c r="H330" s="1"/>
  <c r="I332"/>
  <c r="I331" s="1"/>
  <c r="I330" s="1"/>
  <c r="G332"/>
  <c r="G331" s="1"/>
  <c r="G330" s="1"/>
  <c r="G1493" i="1"/>
  <c r="G1492" s="1"/>
  <c r="I1493"/>
  <c r="I1492" s="1"/>
  <c r="H1493"/>
  <c r="H1492" s="1"/>
  <c r="H181" i="3" l="1"/>
  <c r="H178" s="1"/>
  <c r="I181"/>
  <c r="I178" s="1"/>
  <c r="H1382" i="1"/>
  <c r="H1381" s="1"/>
  <c r="I1382"/>
  <c r="I1381" s="1"/>
  <c r="I1650" l="1"/>
  <c r="H1650"/>
  <c r="G957"/>
  <c r="I293" i="3"/>
  <c r="I292" s="1"/>
  <c r="I291" s="1"/>
  <c r="H293"/>
  <c r="H292" s="1"/>
  <c r="H291" s="1"/>
  <c r="G293"/>
  <c r="I2133" i="1"/>
  <c r="I2132" s="1"/>
  <c r="I2131" s="1"/>
  <c r="H2133"/>
  <c r="H2132" s="1"/>
  <c r="H2131" s="1"/>
  <c r="G2133"/>
  <c r="I283" i="3"/>
  <c r="H283"/>
  <c r="G283"/>
  <c r="I281"/>
  <c r="I280" s="1"/>
  <c r="H281"/>
  <c r="H280" s="1"/>
  <c r="G281"/>
  <c r="I2121" i="1"/>
  <c r="H2121"/>
  <c r="G2121"/>
  <c r="G290" i="3"/>
  <c r="G286" s="1"/>
  <c r="G285" s="1"/>
  <c r="I289"/>
  <c r="H289"/>
  <c r="G2128" i="1"/>
  <c r="G2127" s="1"/>
  <c r="I2127"/>
  <c r="H2127"/>
  <c r="G156" i="3"/>
  <c r="G155" s="1"/>
  <c r="H156"/>
  <c r="H155" s="1"/>
  <c r="I156"/>
  <c r="I155" s="1"/>
  <c r="I2123" i="1"/>
  <c r="I2120" s="1"/>
  <c r="H2123"/>
  <c r="H2120" s="1"/>
  <c r="G2123"/>
  <c r="I287" i="3"/>
  <c r="I286" s="1"/>
  <c r="I285" s="1"/>
  <c r="H287"/>
  <c r="H286" s="1"/>
  <c r="H285" s="1"/>
  <c r="G287"/>
  <c r="G181"/>
  <c r="I177"/>
  <c r="H177"/>
  <c r="I1380" i="1"/>
  <c r="H1380"/>
  <c r="G1182" i="3"/>
  <c r="I2199" i="1"/>
  <c r="I2198" s="1"/>
  <c r="I2197" s="1"/>
  <c r="I2194" s="1"/>
  <c r="H2199"/>
  <c r="H2198" s="1"/>
  <c r="H2197" s="1"/>
  <c r="H2194" s="1"/>
  <c r="G2199"/>
  <c r="G2198" s="1"/>
  <c r="G2197" s="1"/>
  <c r="G2194" s="1"/>
  <c r="I1192" i="3"/>
  <c r="I1191" s="1"/>
  <c r="H1192"/>
  <c r="H1191" s="1"/>
  <c r="G1192"/>
  <c r="G1191" s="1"/>
  <c r="I2183" i="1"/>
  <c r="I2182" s="1"/>
  <c r="H2183"/>
  <c r="H2182" s="1"/>
  <c r="G2183"/>
  <c r="G2182" s="1"/>
  <c r="G2178" s="1"/>
  <c r="G1165" i="3"/>
  <c r="I2180" i="1"/>
  <c r="I2179" s="1"/>
  <c r="H2180"/>
  <c r="H2179" s="1"/>
  <c r="G2180"/>
  <c r="G2179" s="1"/>
  <c r="I2178"/>
  <c r="I2177" s="1"/>
  <c r="H2178"/>
  <c r="H2177" s="1"/>
  <c r="I2175"/>
  <c r="I2174" s="1"/>
  <c r="H2175"/>
  <c r="H2174" s="1"/>
  <c r="G2175"/>
  <c r="G2174" s="1"/>
  <c r="G2167" s="1"/>
  <c r="I2172"/>
  <c r="I2171" s="1"/>
  <c r="H2172"/>
  <c r="H2171" s="1"/>
  <c r="G2172"/>
  <c r="G2171" s="1"/>
  <c r="I2169"/>
  <c r="I2168" s="1"/>
  <c r="H2169"/>
  <c r="H2168" s="1"/>
  <c r="G2169"/>
  <c r="G2168" s="1"/>
  <c r="G1196" i="3"/>
  <c r="I2165" i="1"/>
  <c r="I2164" s="1"/>
  <c r="H2165"/>
  <c r="H2164" s="1"/>
  <c r="G2165"/>
  <c r="G2164" s="1"/>
  <c r="G2162"/>
  <c r="G2161" s="1"/>
  <c r="I2162"/>
  <c r="I2161" s="1"/>
  <c r="H2162"/>
  <c r="H2161" s="1"/>
  <c r="I2159"/>
  <c r="I2158" s="1"/>
  <c r="H2159"/>
  <c r="H2158" s="1"/>
  <c r="G2159"/>
  <c r="G2158" s="1"/>
  <c r="I2155"/>
  <c r="I2154" s="1"/>
  <c r="H2155"/>
  <c r="H2154" s="1"/>
  <c r="G2155"/>
  <c r="G2154" s="1"/>
  <c r="G1156" i="3"/>
  <c r="G1153" s="1"/>
  <c r="H2203" i="1"/>
  <c r="H2202" s="1"/>
  <c r="H2201" s="1"/>
  <c r="H2153" s="1"/>
  <c r="I2203"/>
  <c r="I2202" s="1"/>
  <c r="I2201" s="1"/>
  <c r="G2203"/>
  <c r="G2205"/>
  <c r="G2204" s="1"/>
  <c r="I2205"/>
  <c r="I2204" s="1"/>
  <c r="H2205"/>
  <c r="H2204" s="1"/>
  <c r="H2145"/>
  <c r="H2144" s="1"/>
  <c r="H2116" s="1"/>
  <c r="H2207" s="1"/>
  <c r="I2145"/>
  <c r="I2144" s="1"/>
  <c r="I2116" s="1"/>
  <c r="I2207" s="1"/>
  <c r="G2149"/>
  <c r="I2142"/>
  <c r="H2142"/>
  <c r="G2142"/>
  <c r="I2140"/>
  <c r="H2140"/>
  <c r="G2140"/>
  <c r="G2136"/>
  <c r="G2135" s="1"/>
  <c r="I2129"/>
  <c r="I2126" s="1"/>
  <c r="I2125" s="1"/>
  <c r="H2129"/>
  <c r="H2126" s="1"/>
  <c r="H2125" s="1"/>
  <c r="G2129"/>
  <c r="G1384" i="3"/>
  <c r="I788" i="1"/>
  <c r="I787" s="1"/>
  <c r="I786" s="1"/>
  <c r="H788"/>
  <c r="H787" s="1"/>
  <c r="H786" s="1"/>
  <c r="G788"/>
  <c r="G787" s="1"/>
  <c r="G786" s="1"/>
  <c r="G1586"/>
  <c r="G1286" i="3" s="1"/>
  <c r="I788"/>
  <c r="I787" s="1"/>
  <c r="H788"/>
  <c r="H787" s="1"/>
  <c r="G788"/>
  <c r="G787" s="1"/>
  <c r="I785"/>
  <c r="I784" s="1"/>
  <c r="H785"/>
  <c r="H784" s="1"/>
  <c r="G785"/>
  <c r="G784" s="1"/>
  <c r="I782"/>
  <c r="I781" s="1"/>
  <c r="H782"/>
  <c r="H781" s="1"/>
  <c r="G782"/>
  <c r="I162" i="1"/>
  <c r="I161" s="1"/>
  <c r="H162"/>
  <c r="H161" s="1"/>
  <c r="G162"/>
  <c r="G161" s="1"/>
  <c r="G159"/>
  <c r="G158" s="1"/>
  <c r="H159"/>
  <c r="H158" s="1"/>
  <c r="I159"/>
  <c r="I158" s="1"/>
  <c r="I1205" i="3"/>
  <c r="H1205"/>
  <c r="H679"/>
  <c r="H678" s="1"/>
  <c r="I679"/>
  <c r="I678" s="1"/>
  <c r="H995" i="1"/>
  <c r="H994" s="1"/>
  <c r="I995"/>
  <c r="I994" s="1"/>
  <c r="I898" i="3"/>
  <c r="I897" s="1"/>
  <c r="H898"/>
  <c r="H897" s="1"/>
  <c r="G898"/>
  <c r="G897" s="1"/>
  <c r="I203" i="1"/>
  <c r="I202" s="1"/>
  <c r="H203"/>
  <c r="H202" s="1"/>
  <c r="G203"/>
  <c r="G202" s="1"/>
  <c r="I89" i="2"/>
  <c r="G178" i="3" l="1"/>
  <c r="G177" s="1"/>
  <c r="G2146" i="1"/>
  <c r="G2145" s="1"/>
  <c r="G2144" s="1"/>
  <c r="G781" i="3"/>
  <c r="G155" i="1"/>
  <c r="G2126"/>
  <c r="G2125" s="1"/>
  <c r="I279" i="3"/>
  <c r="H2139" i="1"/>
  <c r="H2138" s="1"/>
  <c r="H2118" s="1"/>
  <c r="H2117" s="1"/>
  <c r="G2120"/>
  <c r="G2119" s="1"/>
  <c r="H2152"/>
  <c r="H2151" s="1"/>
  <c r="G280" i="3"/>
  <c r="G279" s="1"/>
  <c r="H2119" i="1"/>
  <c r="G2132"/>
  <c r="G2131" s="1"/>
  <c r="I2119"/>
  <c r="H279" i="3"/>
  <c r="G289"/>
  <c r="G2153" i="1"/>
  <c r="G2152" s="1"/>
  <c r="I2153"/>
  <c r="I2152" s="1"/>
  <c r="I2151" s="1"/>
  <c r="I2167"/>
  <c r="H2167"/>
  <c r="I2139"/>
  <c r="I2138" s="1"/>
  <c r="I2118" s="1"/>
  <c r="I2117" s="1"/>
  <c r="G2139"/>
  <c r="G2138" s="1"/>
  <c r="I1420" i="3"/>
  <c r="I1422"/>
  <c r="I1421" s="1"/>
  <c r="G837"/>
  <c r="G836" s="1"/>
  <c r="G835" s="1"/>
  <c r="I836"/>
  <c r="I835" s="1"/>
  <c r="H836"/>
  <c r="H835" s="1"/>
  <c r="I319" i="1"/>
  <c r="I318" s="1"/>
  <c r="H319"/>
  <c r="H318" s="1"/>
  <c r="G319"/>
  <c r="G318" s="1"/>
  <c r="G1205" i="3"/>
  <c r="G1204" s="1"/>
  <c r="G1203" s="1"/>
  <c r="I1204"/>
  <c r="I1203" s="1"/>
  <c r="H1204"/>
  <c r="H1203" s="1"/>
  <c r="G1466" i="1"/>
  <c r="G1465" s="1"/>
  <c r="I1466"/>
  <c r="I1465" s="1"/>
  <c r="I1454" s="1"/>
  <c r="H1466"/>
  <c r="H1465" s="1"/>
  <c r="H1454" s="1"/>
  <c r="G159" i="3"/>
  <c r="G158" s="1"/>
  <c r="G1382" i="1"/>
  <c r="G1381" s="1"/>
  <c r="G580"/>
  <c r="G680" i="3"/>
  <c r="G679" s="1"/>
  <c r="G678" s="1"/>
  <c r="G995" i="1"/>
  <c r="G994" s="1"/>
  <c r="H1135" i="3"/>
  <c r="H1134" s="1"/>
  <c r="H1133" s="1"/>
  <c r="I1135"/>
  <c r="I1134" s="1"/>
  <c r="I1133" s="1"/>
  <c r="G1135"/>
  <c r="G1134" s="1"/>
  <c r="G1133" s="1"/>
  <c r="I1217" i="1"/>
  <c r="I1216" s="1"/>
  <c r="H1217"/>
  <c r="H1216" s="1"/>
  <c r="G1217"/>
  <c r="G1216" s="1"/>
  <c r="G1721"/>
  <c r="G978"/>
  <c r="G1135"/>
  <c r="G2118" l="1"/>
  <c r="G2117" s="1"/>
  <c r="G2116" s="1"/>
  <c r="G1454"/>
  <c r="G1306" i="3"/>
  <c r="G1305" s="1"/>
  <c r="G1304" s="1"/>
  <c r="G1302"/>
  <c r="G1301" s="1"/>
  <c r="G1299"/>
  <c r="H1297"/>
  <c r="H1296" s="1"/>
  <c r="G1297"/>
  <c r="I1296"/>
  <c r="G1295"/>
  <c r="G1294" s="1"/>
  <c r="H1292"/>
  <c r="H1291" s="1"/>
  <c r="G1292"/>
  <c r="I1291"/>
  <c r="G1289"/>
  <c r="G1288" s="1"/>
  <c r="G1287" s="1"/>
  <c r="G1285"/>
  <c r="G1284" s="1"/>
  <c r="G1608" i="1"/>
  <c r="G1607" s="1"/>
  <c r="G767"/>
  <c r="G766" s="1"/>
  <c r="G1333"/>
  <c r="G1017" i="3"/>
  <c r="I777" i="1"/>
  <c r="I776" s="1"/>
  <c r="I772" s="1"/>
  <c r="H777"/>
  <c r="H776" s="1"/>
  <c r="H772" s="1"/>
  <c r="G777"/>
  <c r="G776" s="1"/>
  <c r="G772" s="1"/>
  <c r="I774"/>
  <c r="I773" s="1"/>
  <c r="H774"/>
  <c r="H773" s="1"/>
  <c r="G774"/>
  <c r="G773" s="1"/>
  <c r="G730" i="3" l="1"/>
  <c r="G1291"/>
  <c r="G1296"/>
  <c r="G412"/>
  <c r="G411" s="1"/>
  <c r="G590" i="1"/>
  <c r="G589" s="1"/>
  <c r="I976" i="3"/>
  <c r="I975" s="1"/>
  <c r="I974" s="1"/>
  <c r="H976"/>
  <c r="H975" s="1"/>
  <c r="H974" s="1"/>
  <c r="G976"/>
  <c r="G975" s="1"/>
  <c r="G974" s="1"/>
  <c r="H1018" i="1" l="1"/>
  <c r="H591" i="3"/>
  <c r="H645" i="1"/>
  <c r="H644" s="1"/>
  <c r="I645"/>
  <c r="I644" s="1"/>
  <c r="G645"/>
  <c r="G644" s="1"/>
  <c r="G1423" i="3" l="1"/>
  <c r="G1422" s="1"/>
  <c r="G1421" s="1"/>
  <c r="H1422"/>
  <c r="H1421" s="1"/>
  <c r="I1163" i="1"/>
  <c r="I1162" s="1"/>
  <c r="H1163"/>
  <c r="H1162" s="1"/>
  <c r="G404" i="3"/>
  <c r="I779"/>
  <c r="I778" s="1"/>
  <c r="H779"/>
  <c r="H778" s="1"/>
  <c r="G779"/>
  <c r="G778" s="1"/>
  <c r="G776"/>
  <c r="G775" s="1"/>
  <c r="G834"/>
  <c r="G1001"/>
  <c r="G98" i="1"/>
  <c r="G1163" l="1"/>
  <c r="G1162" s="1"/>
  <c r="I1794"/>
  <c r="H1794"/>
  <c r="G1794"/>
  <c r="G1790"/>
  <c r="H1790"/>
  <c r="I1790"/>
  <c r="G319" i="3"/>
  <c r="I319"/>
  <c r="H319"/>
  <c r="G1488" i="1"/>
  <c r="I1488"/>
  <c r="H1488"/>
  <c r="G314" i="3"/>
  <c r="I314"/>
  <c r="H314"/>
  <c r="G1483" i="1"/>
  <c r="I1483"/>
  <c r="H1483"/>
  <c r="I652" i="3"/>
  <c r="I651" s="1"/>
  <c r="H652"/>
  <c r="H651" s="1"/>
  <c r="G652"/>
  <c r="G651" s="1"/>
  <c r="I952" i="1"/>
  <c r="I951" s="1"/>
  <c r="H952"/>
  <c r="H951" s="1"/>
  <c r="G952"/>
  <c r="G951" s="1"/>
  <c r="I2215"/>
  <c r="H2215"/>
  <c r="G2215"/>
  <c r="H801" i="3"/>
  <c r="I801"/>
  <c r="G801"/>
  <c r="I810" i="1"/>
  <c r="H810"/>
  <c r="G810"/>
  <c r="I798"/>
  <c r="H798"/>
  <c r="G798"/>
  <c r="H1017" i="3"/>
  <c r="I1017"/>
  <c r="H1020"/>
  <c r="I1020"/>
  <c r="G1020"/>
  <c r="I897" i="1"/>
  <c r="I896" s="1"/>
  <c r="H897"/>
  <c r="H896" s="1"/>
  <c r="G897"/>
  <c r="G896" s="1"/>
  <c r="I894"/>
  <c r="I893" s="1"/>
  <c r="H894"/>
  <c r="H893" s="1"/>
  <c r="G894"/>
  <c r="G893" s="1"/>
  <c r="I891"/>
  <c r="I890" s="1"/>
  <c r="H891"/>
  <c r="H890" s="1"/>
  <c r="G891"/>
  <c r="G890" s="1"/>
  <c r="G887"/>
  <c r="G886" s="1"/>
  <c r="G885" s="1"/>
  <c r="G884" s="1"/>
  <c r="I886"/>
  <c r="I885" s="1"/>
  <c r="I884" s="1"/>
  <c r="H886"/>
  <c r="H885" s="1"/>
  <c r="H884" s="1"/>
  <c r="G882"/>
  <c r="G881" s="1"/>
  <c r="I881"/>
  <c r="H881"/>
  <c r="G879"/>
  <c r="I877"/>
  <c r="I876" s="1"/>
  <c r="H877"/>
  <c r="H876" s="1"/>
  <c r="G877"/>
  <c r="G876" s="1"/>
  <c r="I1159" i="3"/>
  <c r="H1159"/>
  <c r="G1159"/>
  <c r="H1514" i="1"/>
  <c r="I1514"/>
  <c r="G1514"/>
  <c r="I1515"/>
  <c r="H1515"/>
  <c r="G1515"/>
  <c r="G1536"/>
  <c r="I676" i="3"/>
  <c r="I675" s="1"/>
  <c r="I674" s="1"/>
  <c r="H676"/>
  <c r="H675" s="1"/>
  <c r="H674" s="1"/>
  <c r="G676"/>
  <c r="G675" s="1"/>
  <c r="G674" s="1"/>
  <c r="I992" i="1"/>
  <c r="I991" s="1"/>
  <c r="I990" s="1"/>
  <c r="H992"/>
  <c r="H991" s="1"/>
  <c r="H990" s="1"/>
  <c r="G992"/>
  <c r="G991" s="1"/>
  <c r="G990" s="1"/>
  <c r="H1196" i="3"/>
  <c r="I1196"/>
  <c r="I449" i="1"/>
  <c r="I448" s="1"/>
  <c r="H449"/>
  <c r="H448" s="1"/>
  <c r="G449"/>
  <c r="G448" s="1"/>
  <c r="I446"/>
  <c r="I1208" i="3" s="1"/>
  <c r="H446" i="1"/>
  <c r="H1208" i="3" s="1"/>
  <c r="G1208"/>
  <c r="I1137" i="1"/>
  <c r="H1137"/>
  <c r="I1135"/>
  <c r="H1135"/>
  <c r="I392"/>
  <c r="H392"/>
  <c r="I390"/>
  <c r="H390"/>
  <c r="G392"/>
  <c r="G390"/>
  <c r="H259"/>
  <c r="H816" i="3"/>
  <c r="I816"/>
  <c r="G816"/>
  <c r="G1078"/>
  <c r="G1063"/>
  <c r="I169" i="1"/>
  <c r="H169"/>
  <c r="H1617"/>
  <c r="H1616" s="1"/>
  <c r="I1617"/>
  <c r="I1616" s="1"/>
  <c r="H45" i="3"/>
  <c r="I45"/>
  <c r="G45"/>
  <c r="H670" i="1"/>
  <c r="I670"/>
  <c r="H399"/>
  <c r="I399"/>
  <c r="H124"/>
  <c r="I124"/>
  <c r="I569"/>
  <c r="I485"/>
  <c r="I217"/>
  <c r="H217"/>
  <c r="I445" l="1"/>
  <c r="I444" s="1"/>
  <c r="H874"/>
  <c r="H873" s="1"/>
  <c r="I874"/>
  <c r="I873" s="1"/>
  <c r="G889"/>
  <c r="G874"/>
  <c r="G873" s="1"/>
  <c r="I889"/>
  <c r="H889"/>
  <c r="H445"/>
  <c r="H444" s="1"/>
  <c r="G445"/>
  <c r="G444" s="1"/>
  <c r="I172" i="3"/>
  <c r="I171" s="1"/>
  <c r="I170" s="1"/>
  <c r="H172"/>
  <c r="H171" s="1"/>
  <c r="H170" s="1"/>
  <c r="G172"/>
  <c r="G171" s="1"/>
  <c r="G170" s="1"/>
  <c r="I154"/>
  <c r="H154"/>
  <c r="I1369" i="1"/>
  <c r="I1368" s="1"/>
  <c r="I1367" s="1"/>
  <c r="H1369"/>
  <c r="H1368" s="1"/>
  <c r="H1367" s="1"/>
  <c r="G1369"/>
  <c r="G1368" s="1"/>
  <c r="G1367" s="1"/>
  <c r="G350"/>
  <c r="I520" i="3"/>
  <c r="I519" s="1"/>
  <c r="H520"/>
  <c r="H519" s="1"/>
  <c r="G520"/>
  <c r="G519" s="1"/>
  <c r="I651" i="1"/>
  <c r="I650" s="1"/>
  <c r="H651"/>
  <c r="H650" s="1"/>
  <c r="G651"/>
  <c r="G650" s="1"/>
  <c r="H561" i="3"/>
  <c r="H560" s="1"/>
  <c r="H559" s="1"/>
  <c r="I561"/>
  <c r="I560" s="1"/>
  <c r="I559" s="1"/>
  <c r="G561"/>
  <c r="G560" s="1"/>
  <c r="G559" s="1"/>
  <c r="I648" i="1"/>
  <c r="I647" s="1"/>
  <c r="H648"/>
  <c r="H647" s="1"/>
  <c r="G648"/>
  <c r="G647" s="1"/>
  <c r="I517" i="3"/>
  <c r="I516" s="1"/>
  <c r="H517"/>
  <c r="H516" s="1"/>
  <c r="G517"/>
  <c r="G516" s="1"/>
  <c r="I708" i="1"/>
  <c r="I707" s="1"/>
  <c r="H708"/>
  <c r="H707" s="1"/>
  <c r="G708"/>
  <c r="G707" s="1"/>
  <c r="I554" i="3"/>
  <c r="I553" s="1"/>
  <c r="H554"/>
  <c r="H553" s="1"/>
  <c r="G554"/>
  <c r="G553" s="1"/>
  <c r="I684" i="1"/>
  <c r="I683" s="1"/>
  <c r="H684"/>
  <c r="H683" s="1"/>
  <c r="G684"/>
  <c r="G683" s="1"/>
  <c r="G166"/>
  <c r="G609"/>
  <c r="I128" i="3"/>
  <c r="I127" s="1"/>
  <c r="H128"/>
  <c r="H127" s="1"/>
  <c r="G128"/>
  <c r="G127" s="1"/>
  <c r="I146" i="1"/>
  <c r="I145" s="1"/>
  <c r="H146"/>
  <c r="H145" s="1"/>
  <c r="G146"/>
  <c r="G145" s="1"/>
  <c r="I1044"/>
  <c r="I1043" s="1"/>
  <c r="H1044"/>
  <c r="H1043" s="1"/>
  <c r="G1044"/>
  <c r="G1043" s="1"/>
  <c r="I1041"/>
  <c r="I1040" s="1"/>
  <c r="H1041"/>
  <c r="H1040" s="1"/>
  <c r="G1041"/>
  <c r="G1040" s="1"/>
  <c r="I1038"/>
  <c r="I1037" s="1"/>
  <c r="H1038"/>
  <c r="H1037" s="1"/>
  <c r="G1038"/>
  <c r="G1037" s="1"/>
  <c r="G1034"/>
  <c r="G1033" s="1"/>
  <c r="G1032" s="1"/>
  <c r="G1031" s="1"/>
  <c r="I1033"/>
  <c r="I1032" s="1"/>
  <c r="I1031" s="1"/>
  <c r="H1033"/>
  <c r="H1032" s="1"/>
  <c r="H1031" s="1"/>
  <c r="G1029"/>
  <c r="G1028" s="1"/>
  <c r="I1028"/>
  <c r="H1028"/>
  <c r="G1026"/>
  <c r="I1024"/>
  <c r="I1023" s="1"/>
  <c r="H1024"/>
  <c r="H1023" s="1"/>
  <c r="G1024"/>
  <c r="G1023" s="1"/>
  <c r="I1314" i="3"/>
  <c r="I1313" s="1"/>
  <c r="H1314"/>
  <c r="H1313" s="1"/>
  <c r="I1542" i="1"/>
  <c r="I1541" s="1"/>
  <c r="I1496" s="1"/>
  <c r="H1542"/>
  <c r="H1541" s="1"/>
  <c r="H1496" s="1"/>
  <c r="G1542"/>
  <c r="G1541" s="1"/>
  <c r="G1496" s="1"/>
  <c r="G1315" i="3" l="1"/>
  <c r="G1314" s="1"/>
  <c r="G1313" s="1"/>
  <c r="I1021" i="1"/>
  <c r="I1020" s="1"/>
  <c r="H1021"/>
  <c r="H1020" s="1"/>
  <c r="G1021"/>
  <c r="G1020" s="1"/>
  <c r="G1036"/>
  <c r="G1035" s="1"/>
  <c r="H1036"/>
  <c r="H1035" s="1"/>
  <c r="I1036"/>
  <c r="I1035" s="1"/>
  <c r="I1019" l="1"/>
  <c r="H1019"/>
  <c r="G1019"/>
  <c r="G485"/>
  <c r="I1008"/>
  <c r="I350" i="3" s="1"/>
  <c r="H1008" i="1"/>
  <c r="H350" i="3" s="1"/>
  <c r="G350"/>
  <c r="H396"/>
  <c r="H395" s="1"/>
  <c r="H394" s="1"/>
  <c r="I396"/>
  <c r="I395" s="1"/>
  <c r="I394" s="1"/>
  <c r="G396"/>
  <c r="G395" s="1"/>
  <c r="G394" s="1"/>
  <c r="I825" i="1"/>
  <c r="I824" s="1"/>
  <c r="H825"/>
  <c r="H824" s="1"/>
  <c r="G825"/>
  <c r="G824" s="1"/>
  <c r="I503" i="3"/>
  <c r="H503"/>
  <c r="H387"/>
  <c r="H386" s="1"/>
  <c r="H385" s="1"/>
  <c r="I387"/>
  <c r="I386" s="1"/>
  <c r="I385" s="1"/>
  <c r="G317"/>
  <c r="I594" i="1"/>
  <c r="H594"/>
  <c r="G594"/>
  <c r="G353" i="3" s="1"/>
  <c r="H324"/>
  <c r="I324"/>
  <c r="H317"/>
  <c r="I317"/>
  <c r="I1490" i="1"/>
  <c r="I1487" s="1"/>
  <c r="H1490"/>
  <c r="H1487" s="1"/>
  <c r="I1485"/>
  <c r="I1482" s="1"/>
  <c r="H1485"/>
  <c r="H1482" s="1"/>
  <c r="H700" i="3"/>
  <c r="I700"/>
  <c r="G700"/>
  <c r="I1408" i="1"/>
  <c r="I1407" s="1"/>
  <c r="H1408"/>
  <c r="H1407" s="1"/>
  <c r="G1408"/>
  <c r="G1407" s="1"/>
  <c r="G1406" s="1"/>
  <c r="G1402" s="1"/>
  <c r="H253"/>
  <c r="I1000" i="3"/>
  <c r="I999" s="1"/>
  <c r="I998" s="1"/>
  <c r="H1000"/>
  <c r="H999" s="1"/>
  <c r="H998" s="1"/>
  <c r="G1000"/>
  <c r="G999" s="1"/>
  <c r="G998" s="1"/>
  <c r="I213" i="1"/>
  <c r="I212" s="1"/>
  <c r="I211" s="1"/>
  <c r="H213"/>
  <c r="H212" s="1"/>
  <c r="H211" s="1"/>
  <c r="G213"/>
  <c r="G212" s="1"/>
  <c r="G211" s="1"/>
  <c r="I985" i="3"/>
  <c r="I984" s="1"/>
  <c r="H985"/>
  <c r="H984" s="1"/>
  <c r="G985"/>
  <c r="G984" s="1"/>
  <c r="I209" i="1"/>
  <c r="I208" s="1"/>
  <c r="H209"/>
  <c r="H208" s="1"/>
  <c r="G209"/>
  <c r="G208" s="1"/>
  <c r="I1388"/>
  <c r="H1388"/>
  <c r="G1388"/>
  <c r="I1386"/>
  <c r="H1386"/>
  <c r="G1386"/>
  <c r="J656" i="3"/>
  <c r="K656"/>
  <c r="L656"/>
  <c r="M656"/>
  <c r="N656"/>
  <c r="O656"/>
  <c r="H657"/>
  <c r="H656" s="1"/>
  <c r="H655" s="1"/>
  <c r="H654" s="1"/>
  <c r="I657"/>
  <c r="I656" s="1"/>
  <c r="I655" s="1"/>
  <c r="I654" s="1"/>
  <c r="H661"/>
  <c r="H660" s="1"/>
  <c r="I661"/>
  <c r="I660" s="1"/>
  <c r="H663"/>
  <c r="H662" s="1"/>
  <c r="I663"/>
  <c r="I662" s="1"/>
  <c r="H356"/>
  <c r="H355" s="1"/>
  <c r="H354" s="1"/>
  <c r="I356"/>
  <c r="I355" s="1"/>
  <c r="I354" s="1"/>
  <c r="H165" i="1"/>
  <c r="H164" s="1"/>
  <c r="I165"/>
  <c r="I164" s="1"/>
  <c r="H626" i="3"/>
  <c r="H625" s="1"/>
  <c r="I626"/>
  <c r="I625" s="1"/>
  <c r="H606"/>
  <c r="I606"/>
  <c r="H588"/>
  <c r="H587" s="1"/>
  <c r="H586" s="1"/>
  <c r="I588"/>
  <c r="I587" s="1"/>
  <c r="I586" s="1"/>
  <c r="H548"/>
  <c r="H547" s="1"/>
  <c r="I548"/>
  <c r="I547" s="1"/>
  <c r="H532"/>
  <c r="H531" s="1"/>
  <c r="I532"/>
  <c r="I531" s="1"/>
  <c r="H530"/>
  <c r="H529" s="1"/>
  <c r="H528" s="1"/>
  <c r="I530"/>
  <c r="I529" s="1"/>
  <c r="I528" s="1"/>
  <c r="G530"/>
  <c r="G529" s="1"/>
  <c r="G528" s="1"/>
  <c r="H527"/>
  <c r="H526" s="1"/>
  <c r="H525" s="1"/>
  <c r="I527"/>
  <c r="I526" s="1"/>
  <c r="I525" s="1"/>
  <c r="G527"/>
  <c r="G526" s="1"/>
  <c r="G525" s="1"/>
  <c r="H515"/>
  <c r="I515"/>
  <c r="H494"/>
  <c r="H493" s="1"/>
  <c r="H492" s="1"/>
  <c r="I494"/>
  <c r="I493" s="1"/>
  <c r="I492" s="1"/>
  <c r="G494"/>
  <c r="G493" s="1"/>
  <c r="G492" s="1"/>
  <c r="H473"/>
  <c r="H472" s="1"/>
  <c r="I473"/>
  <c r="I472" s="1"/>
  <c r="H471"/>
  <c r="I471"/>
  <c r="H470"/>
  <c r="I470"/>
  <c r="H469"/>
  <c r="I469"/>
  <c r="J467"/>
  <c r="K467"/>
  <c r="L467"/>
  <c r="M467"/>
  <c r="N467"/>
  <c r="O467"/>
  <c r="H461"/>
  <c r="I462"/>
  <c r="H460"/>
  <c r="H459" s="1"/>
  <c r="H458" s="1"/>
  <c r="H457" s="1"/>
  <c r="I460"/>
  <c r="I459" s="1"/>
  <c r="I458" s="1"/>
  <c r="I457" s="1"/>
  <c r="H445"/>
  <c r="H444" s="1"/>
  <c r="H443" s="1"/>
  <c r="I445"/>
  <c r="I444" s="1"/>
  <c r="I443" s="1"/>
  <c r="H439"/>
  <c r="H438" s="1"/>
  <c r="H437" s="1"/>
  <c r="I439"/>
  <c r="I438" s="1"/>
  <c r="I437" s="1"/>
  <c r="H428"/>
  <c r="H427" s="1"/>
  <c r="H426" s="1"/>
  <c r="I428"/>
  <c r="I427" s="1"/>
  <c r="I426" s="1"/>
  <c r="H401"/>
  <c r="H400" s="1"/>
  <c r="I401"/>
  <c r="I400" s="1"/>
  <c r="H393"/>
  <c r="H392" s="1"/>
  <c r="H391" s="1"/>
  <c r="I393"/>
  <c r="I392" s="1"/>
  <c r="I391" s="1"/>
  <c r="G393"/>
  <c r="G392" s="1"/>
  <c r="G391" s="1"/>
  <c r="H390"/>
  <c r="H389" s="1"/>
  <c r="H388" s="1"/>
  <c r="I390"/>
  <c r="I389" s="1"/>
  <c r="I388" s="1"/>
  <c r="H384"/>
  <c r="H383" s="1"/>
  <c r="H382" s="1"/>
  <c r="I384"/>
  <c r="I383" s="1"/>
  <c r="I382" s="1"/>
  <c r="H372"/>
  <c r="H371" s="1"/>
  <c r="H370" s="1"/>
  <c r="I372"/>
  <c r="I371" s="1"/>
  <c r="I370" s="1"/>
  <c r="H369"/>
  <c r="H368" s="1"/>
  <c r="H367" s="1"/>
  <c r="I369"/>
  <c r="I368" s="1"/>
  <c r="I367" s="1"/>
  <c r="H362"/>
  <c r="H361" s="1"/>
  <c r="H360" s="1"/>
  <c r="I362"/>
  <c r="I361" s="1"/>
  <c r="I360" s="1"/>
  <c r="G390"/>
  <c r="G389" s="1"/>
  <c r="G388" s="1"/>
  <c r="I626" i="1"/>
  <c r="I625" s="1"/>
  <c r="H626"/>
  <c r="H625" s="1"/>
  <c r="G626"/>
  <c r="G625" s="1"/>
  <c r="I660"/>
  <c r="I659" s="1"/>
  <c r="H660"/>
  <c r="H659" s="1"/>
  <c r="G660"/>
  <c r="G659" s="1"/>
  <c r="I657"/>
  <c r="I656" s="1"/>
  <c r="H657"/>
  <c r="H656" s="1"/>
  <c r="G657"/>
  <c r="G656" s="1"/>
  <c r="I410" i="3"/>
  <c r="I409" s="1"/>
  <c r="I408" s="1"/>
  <c r="H410"/>
  <c r="H409" s="1"/>
  <c r="H408" s="1"/>
  <c r="G670" i="1"/>
  <c r="I835"/>
  <c r="I834" s="1"/>
  <c r="H835"/>
  <c r="H834" s="1"/>
  <c r="G835"/>
  <c r="G834" s="1"/>
  <c r="I605"/>
  <c r="I604" s="1"/>
  <c r="H605"/>
  <c r="H604" s="1"/>
  <c r="G605"/>
  <c r="G604" s="1"/>
  <c r="G462" i="3"/>
  <c r="G410"/>
  <c r="I574" i="1"/>
  <c r="I573" s="1"/>
  <c r="H574"/>
  <c r="H573" s="1"/>
  <c r="G439" i="3"/>
  <c r="G460"/>
  <c r="I803" i="1"/>
  <c r="I802" s="1"/>
  <c r="H803"/>
  <c r="H802" s="1"/>
  <c r="G803"/>
  <c r="G802" s="1"/>
  <c r="H797"/>
  <c r="I797"/>
  <c r="G797"/>
  <c r="I491" i="3"/>
  <c r="I490" s="1"/>
  <c r="I489" s="1"/>
  <c r="H491"/>
  <c r="H490" s="1"/>
  <c r="H489" s="1"/>
  <c r="I501" i="1"/>
  <c r="I500" s="1"/>
  <c r="H501"/>
  <c r="H500" s="1"/>
  <c r="G501"/>
  <c r="G500" s="1"/>
  <c r="I518"/>
  <c r="H518"/>
  <c r="I494"/>
  <c r="I493" s="1"/>
  <c r="I492" s="1"/>
  <c r="H494"/>
  <c r="H375" i="3" s="1"/>
  <c r="H374" s="1"/>
  <c r="H373" s="1"/>
  <c r="I487" i="1"/>
  <c r="I486" s="1"/>
  <c r="H487"/>
  <c r="H486" s="1"/>
  <c r="G487"/>
  <c r="G486" s="1"/>
  <c r="I349" i="3" l="1"/>
  <c r="I348" s="1"/>
  <c r="H353"/>
  <c r="I353"/>
  <c r="H1402" i="1"/>
  <c r="H1406"/>
  <c r="I1402"/>
  <c r="I1406"/>
  <c r="G387" i="3"/>
  <c r="G386" s="1"/>
  <c r="G385" s="1"/>
  <c r="H493" i="1"/>
  <c r="H492" s="1"/>
  <c r="H605" i="3"/>
  <c r="H604" s="1"/>
  <c r="I605"/>
  <c r="I604" s="1"/>
  <c r="G574" i="1"/>
  <c r="G573" s="1"/>
  <c r="G493"/>
  <c r="G492" s="1"/>
  <c r="I514" i="3"/>
  <c r="H514"/>
  <c r="H543"/>
  <c r="H542" s="1"/>
  <c r="H541" s="1"/>
  <c r="I375"/>
  <c r="I374" s="1"/>
  <c r="I373" s="1"/>
  <c r="H502"/>
  <c r="H501" s="1"/>
  <c r="G543"/>
  <c r="G375"/>
  <c r="G374" s="1"/>
  <c r="G373" s="1"/>
  <c r="I502"/>
  <c r="I501" s="1"/>
  <c r="G1385" i="1"/>
  <c r="G1384" s="1"/>
  <c r="G1366" s="1"/>
  <c r="G1485"/>
  <c r="G1482" s="1"/>
  <c r="G1490"/>
  <c r="G1487" s="1"/>
  <c r="G502" i="3"/>
  <c r="G501" s="1"/>
  <c r="H468"/>
  <c r="H467" s="1"/>
  <c r="I1385" i="1"/>
  <c r="I1384" s="1"/>
  <c r="I1366" s="1"/>
  <c r="I543" i="3"/>
  <c r="I542" s="1"/>
  <c r="I541" s="1"/>
  <c r="H1385" i="1"/>
  <c r="H1384" s="1"/>
  <c r="H1366" s="1"/>
  <c r="H462" i="3"/>
  <c r="I461"/>
  <c r="H349"/>
  <c r="H348" s="1"/>
  <c r="I468"/>
  <c r="I467" s="1"/>
  <c r="G461"/>
  <c r="J1210"/>
  <c r="K1210"/>
  <c r="L1210"/>
  <c r="M1210"/>
  <c r="N1210"/>
  <c r="O1210"/>
  <c r="I1556" i="1"/>
  <c r="I1566" s="1"/>
  <c r="I1554" s="1"/>
  <c r="I1551" s="1"/>
  <c r="H1556"/>
  <c r="H1566" s="1"/>
  <c r="H1554" s="1"/>
  <c r="H1340" i="3"/>
  <c r="I1340"/>
  <c r="H1334"/>
  <c r="I1334"/>
  <c r="H1331"/>
  <c r="I1331"/>
  <c r="H1325"/>
  <c r="I1325"/>
  <c r="H1319"/>
  <c r="I1319"/>
  <c r="H1202"/>
  <c r="I1202"/>
  <c r="H1190"/>
  <c r="I1190"/>
  <c r="H1182"/>
  <c r="I1182"/>
  <c r="H1165"/>
  <c r="I1165"/>
  <c r="H1162"/>
  <c r="I1162"/>
  <c r="I1311"/>
  <c r="I1310" s="1"/>
  <c r="H1311"/>
  <c r="H1310" s="1"/>
  <c r="G1311"/>
  <c r="G1310" s="1"/>
  <c r="I1611" i="1"/>
  <c r="H1211" i="3" l="1"/>
  <c r="H1210" s="1"/>
  <c r="H1209" s="1"/>
  <c r="I1211"/>
  <c r="I1210" s="1"/>
  <c r="I1209" s="1"/>
  <c r="H1187"/>
  <c r="H1186" s="1"/>
  <c r="I1187"/>
  <c r="I1186" s="1"/>
  <c r="G1162"/>
  <c r="H327"/>
  <c r="I327"/>
  <c r="G1202"/>
  <c r="G1190"/>
  <c r="G1187"/>
  <c r="H714"/>
  <c r="I714"/>
  <c r="G714"/>
  <c r="H721"/>
  <c r="I721"/>
  <c r="G721"/>
  <c r="H718"/>
  <c r="I718"/>
  <c r="G718"/>
  <c r="H730"/>
  <c r="I730"/>
  <c r="I1632" i="1"/>
  <c r="I1615" s="1"/>
  <c r="I1614" s="1"/>
  <c r="I1613" s="1"/>
  <c r="H1632"/>
  <c r="H1615" s="1"/>
  <c r="H1614" s="1"/>
  <c r="G1632"/>
  <c r="I1631"/>
  <c r="H1631"/>
  <c r="G1631"/>
  <c r="I1626"/>
  <c r="I1625" s="1"/>
  <c r="H1626"/>
  <c r="H1625" s="1"/>
  <c r="G1626"/>
  <c r="G1625" s="1"/>
  <c r="I1623"/>
  <c r="I1622" s="1"/>
  <c r="H1623"/>
  <c r="H1622" s="1"/>
  <c r="G1623"/>
  <c r="G1622" s="1"/>
  <c r="I1620"/>
  <c r="I1619" s="1"/>
  <c r="H1620"/>
  <c r="H1619" s="1"/>
  <c r="G1620"/>
  <c r="G1619" s="1"/>
  <c r="G1615" s="1"/>
  <c r="G1617"/>
  <c r="G1616" s="1"/>
  <c r="I1610"/>
  <c r="I1582" s="1"/>
  <c r="H1611"/>
  <c r="H1610" s="1"/>
  <c r="H1582" s="1"/>
  <c r="G1611"/>
  <c r="G1610" s="1"/>
  <c r="G1602"/>
  <c r="G1601" s="1"/>
  <c r="G1599"/>
  <c r="H1597"/>
  <c r="H1596" s="1"/>
  <c r="H1583" s="1"/>
  <c r="G1597"/>
  <c r="I1596"/>
  <c r="I1583" s="1"/>
  <c r="G1595"/>
  <c r="G1594" s="1"/>
  <c r="H1592"/>
  <c r="H1591" s="1"/>
  <c r="H1579" s="1"/>
  <c r="H1578" s="1"/>
  <c r="G1592"/>
  <c r="I1591"/>
  <c r="I1579" s="1"/>
  <c r="I1578" s="1"/>
  <c r="G1589"/>
  <c r="G1588" s="1"/>
  <c r="G1587" s="1"/>
  <c r="G1585"/>
  <c r="G1584" s="1"/>
  <c r="I1576"/>
  <c r="I1575" s="1"/>
  <c r="H1576"/>
  <c r="H1575" s="1"/>
  <c r="G1576"/>
  <c r="G1575" s="1"/>
  <c r="I1573"/>
  <c r="I1572" s="1"/>
  <c r="H1573"/>
  <c r="H1572" s="1"/>
  <c r="G1573"/>
  <c r="G1572" s="1"/>
  <c r="I1570"/>
  <c r="H1570"/>
  <c r="G1570"/>
  <c r="I1568"/>
  <c r="H1568"/>
  <c r="G1568"/>
  <c r="I1565"/>
  <c r="I1564" s="1"/>
  <c r="H1565"/>
  <c r="G1564"/>
  <c r="H1495"/>
  <c r="I1495"/>
  <c r="I1538"/>
  <c r="I1537" s="1"/>
  <c r="H1538"/>
  <c r="H1537" s="1"/>
  <c r="G1538"/>
  <c r="G1537" s="1"/>
  <c r="I1534"/>
  <c r="H1534"/>
  <c r="G1534"/>
  <c r="H1533"/>
  <c r="H1532" s="1"/>
  <c r="H1531" s="1"/>
  <c r="I1532"/>
  <c r="I1531" s="1"/>
  <c r="G1532"/>
  <c r="G1531" s="1"/>
  <c r="H1550"/>
  <c r="H1549" s="1"/>
  <c r="H1547" s="1"/>
  <c r="G1549"/>
  <c r="G1548" s="1"/>
  <c r="G1547" s="1"/>
  <c r="G1495" s="1"/>
  <c r="I1549"/>
  <c r="I1547" s="1"/>
  <c r="I1529"/>
  <c r="I1528" s="1"/>
  <c r="H1529"/>
  <c r="H1528" s="1"/>
  <c r="G1529"/>
  <c r="G1528" s="1"/>
  <c r="I1526"/>
  <c r="I1525" s="1"/>
  <c r="H1526"/>
  <c r="H1525" s="1"/>
  <c r="G1526"/>
  <c r="G1525" s="1"/>
  <c r="I1523"/>
  <c r="I1522" s="1"/>
  <c r="H1523"/>
  <c r="H1522" s="1"/>
  <c r="G1523"/>
  <c r="G1522" s="1"/>
  <c r="I1520"/>
  <c r="I1519" s="1"/>
  <c r="H1520"/>
  <c r="H1519" s="1"/>
  <c r="G1520"/>
  <c r="G1519" s="1"/>
  <c r="I1517"/>
  <c r="H1517"/>
  <c r="G1517"/>
  <c r="I1506"/>
  <c r="I1505" s="1"/>
  <c r="H1506"/>
  <c r="H1505" s="1"/>
  <c r="G1506"/>
  <c r="G1505" s="1"/>
  <c r="I1503"/>
  <c r="I1502" s="1"/>
  <c r="H1503"/>
  <c r="H1502" s="1"/>
  <c r="G1503"/>
  <c r="G1502" s="1"/>
  <c r="G1500"/>
  <c r="I1498"/>
  <c r="I1497" s="1"/>
  <c r="H1498"/>
  <c r="H1497" s="1"/>
  <c r="G1498"/>
  <c r="I341" i="3"/>
  <c r="I340" s="1"/>
  <c r="H341"/>
  <c r="H340" s="1"/>
  <c r="G341"/>
  <c r="I338"/>
  <c r="I337" s="1"/>
  <c r="H338"/>
  <c r="H337" s="1"/>
  <c r="G338"/>
  <c r="G337" s="1"/>
  <c r="I335"/>
  <c r="I334" s="1"/>
  <c r="H335"/>
  <c r="H334" s="1"/>
  <c r="G335"/>
  <c r="G334" s="1"/>
  <c r="I1479" i="1"/>
  <c r="I1478" s="1"/>
  <c r="H1479"/>
  <c r="H1478" s="1"/>
  <c r="G1479"/>
  <c r="G1478" s="1"/>
  <c r="I1476"/>
  <c r="I1475" s="1"/>
  <c r="H1476"/>
  <c r="H1475" s="1"/>
  <c r="G1476"/>
  <c r="G1475" s="1"/>
  <c r="I1473"/>
  <c r="I1472" s="1"/>
  <c r="H1473"/>
  <c r="H1472" s="1"/>
  <c r="G1473"/>
  <c r="G1472" s="1"/>
  <c r="I1282" i="3"/>
  <c r="I1281" s="1"/>
  <c r="H1282"/>
  <c r="H1281" s="1"/>
  <c r="G1282"/>
  <c r="G1281" s="1"/>
  <c r="I1279"/>
  <c r="I1278" s="1"/>
  <c r="H1279"/>
  <c r="H1278" s="1"/>
  <c r="G1279"/>
  <c r="G1278" s="1"/>
  <c r="I1276"/>
  <c r="I1275" s="1"/>
  <c r="H1276"/>
  <c r="H1275" s="1"/>
  <c r="G1276"/>
  <c r="G1275" s="1"/>
  <c r="I1469" i="1"/>
  <c r="I1468" s="1"/>
  <c r="H1469"/>
  <c r="H1468" s="1"/>
  <c r="G1469"/>
  <c r="G1468" s="1"/>
  <c r="I1463"/>
  <c r="I1462" s="1"/>
  <c r="H1463"/>
  <c r="H1462" s="1"/>
  <c r="G1463"/>
  <c r="G1462" s="1"/>
  <c r="I1460"/>
  <c r="I1459" s="1"/>
  <c r="H1460"/>
  <c r="H1459" s="1"/>
  <c r="G1460"/>
  <c r="G1459" s="1"/>
  <c r="H2053"/>
  <c r="G2053"/>
  <c r="G2052" s="1"/>
  <c r="I44" i="3"/>
  <c r="H44"/>
  <c r="G44"/>
  <c r="I42"/>
  <c r="H42"/>
  <c r="G42"/>
  <c r="I1193" i="1"/>
  <c r="H1193"/>
  <c r="G1193"/>
  <c r="I1191"/>
  <c r="H1191"/>
  <c r="G1191"/>
  <c r="G1471" l="1"/>
  <c r="G1453" s="1"/>
  <c r="H1471"/>
  <c r="H1453" s="1"/>
  <c r="G1614"/>
  <c r="G1613" s="1"/>
  <c r="G1583"/>
  <c r="G1582" s="1"/>
  <c r="I1471"/>
  <c r="I1453" s="1"/>
  <c r="G1596"/>
  <c r="H1567"/>
  <c r="I41" i="3"/>
  <c r="I1567" i="1"/>
  <c r="I1563" s="1"/>
  <c r="H1190"/>
  <c r="G1497"/>
  <c r="G1567"/>
  <c r="G1591"/>
  <c r="G1190"/>
  <c r="G41" i="3"/>
  <c r="H41"/>
  <c r="I333"/>
  <c r="H1564" i="1"/>
  <c r="H1613"/>
  <c r="H333" i="3"/>
  <c r="I1190" i="1"/>
  <c r="G37"/>
  <c r="G36" s="1"/>
  <c r="I37"/>
  <c r="I36" s="1"/>
  <c r="H37"/>
  <c r="H36" s="1"/>
  <c r="I839" i="3"/>
  <c r="I838" s="1"/>
  <c r="H839"/>
  <c r="H838" s="1"/>
  <c r="G839"/>
  <c r="G838" s="1"/>
  <c r="I322" i="1"/>
  <c r="I321" s="1"/>
  <c r="H322"/>
  <c r="H321" s="1"/>
  <c r="G322"/>
  <c r="G321" s="1"/>
  <c r="I272"/>
  <c r="I810" i="3" s="1"/>
  <c r="I809" s="1"/>
  <c r="I808" s="1"/>
  <c r="H272" i="1"/>
  <c r="H810" i="3" s="1"/>
  <c r="H809" s="1"/>
  <c r="H808" s="1"/>
  <c r="I830"/>
  <c r="I829" s="1"/>
  <c r="H830"/>
  <c r="H829" s="1"/>
  <c r="G830"/>
  <c r="G829" s="1"/>
  <c r="I298" i="1"/>
  <c r="I297" s="1"/>
  <c r="H298"/>
  <c r="H297" s="1"/>
  <c r="G298"/>
  <c r="G297" s="1"/>
  <c r="I275"/>
  <c r="I813" i="3" s="1"/>
  <c r="I812" s="1"/>
  <c r="I811" s="1"/>
  <c r="H275" i="1"/>
  <c r="H813" i="3" s="1"/>
  <c r="H812" s="1"/>
  <c r="H811" s="1"/>
  <c r="G274" i="1"/>
  <c r="G273" s="1"/>
  <c r="I833" i="3"/>
  <c r="I832" s="1"/>
  <c r="H833"/>
  <c r="H832" s="1"/>
  <c r="G833"/>
  <c r="G832" s="1"/>
  <c r="I301" i="1"/>
  <c r="I300" s="1"/>
  <c r="H301"/>
  <c r="H300" s="1"/>
  <c r="G301"/>
  <c r="G300" s="1"/>
  <c r="I293"/>
  <c r="I828" i="3" s="1"/>
  <c r="I827" s="1"/>
  <c r="I826" s="1"/>
  <c r="H828"/>
  <c r="H827" s="1"/>
  <c r="H826" s="1"/>
  <c r="G293" i="1"/>
  <c r="G828" i="3" s="1"/>
  <c r="G827" s="1"/>
  <c r="G826" s="1"/>
  <c r="H825"/>
  <c r="H824" s="1"/>
  <c r="H823" s="1"/>
  <c r="I825"/>
  <c r="I824" s="1"/>
  <c r="I823" s="1"/>
  <c r="G290" i="1"/>
  <c r="G289" s="1"/>
  <c r="G288" s="1"/>
  <c r="I857" i="3"/>
  <c r="I856" s="1"/>
  <c r="H857"/>
  <c r="H856" s="1"/>
  <c r="G857"/>
  <c r="G856" s="1"/>
  <c r="I295" i="1"/>
  <c r="I294" s="1"/>
  <c r="H295"/>
  <c r="H294" s="1"/>
  <c r="G295"/>
  <c r="G294" s="1"/>
  <c r="I289"/>
  <c r="I288" s="1"/>
  <c r="H289"/>
  <c r="H288" s="1"/>
  <c r="I821" i="3"/>
  <c r="I820" s="1"/>
  <c r="H821"/>
  <c r="H820" s="1"/>
  <c r="G821"/>
  <c r="G820" s="1"/>
  <c r="I286" i="1"/>
  <c r="I285" s="1"/>
  <c r="H286"/>
  <c r="H285" s="1"/>
  <c r="G286"/>
  <c r="G285" s="1"/>
  <c r="I818" i="3"/>
  <c r="I817" s="1"/>
  <c r="H818"/>
  <c r="H817" s="1"/>
  <c r="G818"/>
  <c r="G817" s="1"/>
  <c r="H893"/>
  <c r="I893"/>
  <c r="G893"/>
  <c r="I283" i="1"/>
  <c r="I282" s="1"/>
  <c r="H283"/>
  <c r="H282" s="1"/>
  <c r="G283"/>
  <c r="G282" s="1"/>
  <c r="I280"/>
  <c r="I279" s="1"/>
  <c r="H280"/>
  <c r="H279" s="1"/>
  <c r="G280"/>
  <c r="G279" s="1"/>
  <c r="I815" i="3"/>
  <c r="I814" s="1"/>
  <c r="H815"/>
  <c r="H814" s="1"/>
  <c r="G815"/>
  <c r="G814" s="1"/>
  <c r="I277" i="1"/>
  <c r="I276" s="1"/>
  <c r="H277"/>
  <c r="H276" s="1"/>
  <c r="G277"/>
  <c r="G276" s="1"/>
  <c r="H970" i="3"/>
  <c r="I970"/>
  <c r="G970"/>
  <c r="H967"/>
  <c r="I967"/>
  <c r="G967"/>
  <c r="I43" i="1"/>
  <c r="I42" s="1"/>
  <c r="H43"/>
  <c r="H42" s="1"/>
  <c r="G43"/>
  <c r="G42" s="1"/>
  <c r="I803" i="3"/>
  <c r="I802" s="1"/>
  <c r="H803"/>
  <c r="H802" s="1"/>
  <c r="G803"/>
  <c r="G802" s="1"/>
  <c r="I46" i="1"/>
  <c r="I45" s="1"/>
  <c r="H46"/>
  <c r="H45" s="1"/>
  <c r="G46"/>
  <c r="G45" s="1"/>
  <c r="I800" i="3"/>
  <c r="I799" s="1"/>
  <c r="H800"/>
  <c r="H799" s="1"/>
  <c r="G800"/>
  <c r="G799" s="1"/>
  <c r="I40" i="1"/>
  <c r="I39" s="1"/>
  <c r="H40"/>
  <c r="H39" s="1"/>
  <c r="G40"/>
  <c r="G39" s="1"/>
  <c r="I1019" i="3"/>
  <c r="I1018" s="1"/>
  <c r="H1019"/>
  <c r="H1018" s="1"/>
  <c r="G1019"/>
  <c r="G1018" s="1"/>
  <c r="G1016"/>
  <c r="G1015" s="1"/>
  <c r="I1016"/>
  <c r="I1015" s="1"/>
  <c r="H1016"/>
  <c r="H1015" s="1"/>
  <c r="G1443"/>
  <c r="G1442" s="1"/>
  <c r="G1445"/>
  <c r="G1444" s="1"/>
  <c r="I271" i="1" l="1"/>
  <c r="I270" s="1"/>
  <c r="H1563"/>
  <c r="H274"/>
  <c r="H273" s="1"/>
  <c r="H271"/>
  <c r="H270" s="1"/>
  <c r="I274"/>
  <c r="I273" s="1"/>
  <c r="H292"/>
  <c r="H291" s="1"/>
  <c r="G825" i="3"/>
  <c r="G824" s="1"/>
  <c r="G823" s="1"/>
  <c r="I292" i="1"/>
  <c r="I291" s="1"/>
  <c r="G292"/>
  <c r="G291" s="1"/>
  <c r="G813" i="3"/>
  <c r="G812" s="1"/>
  <c r="G811" s="1"/>
  <c r="G810"/>
  <c r="G809" s="1"/>
  <c r="G808" s="1"/>
  <c r="G271" i="1"/>
  <c r="G270" s="1"/>
  <c r="G1441" i="3"/>
  <c r="I1786" i="1"/>
  <c r="H1786"/>
  <c r="H1005" i="3"/>
  <c r="I1005"/>
  <c r="G1005"/>
  <c r="I1754" i="1"/>
  <c r="I1753" s="1"/>
  <c r="H1754"/>
  <c r="H1753" s="1"/>
  <c r="G1754"/>
  <c r="G1753" s="1"/>
  <c r="G1750"/>
  <c r="G1749" s="1"/>
  <c r="G1748" s="1"/>
  <c r="G1747" s="1"/>
  <c r="I1749"/>
  <c r="I1748" s="1"/>
  <c r="I1747" s="1"/>
  <c r="H1749"/>
  <c r="H1748" s="1"/>
  <c r="H1747" s="1"/>
  <c r="G1745"/>
  <c r="G1744" s="1"/>
  <c r="I1744"/>
  <c r="H1744"/>
  <c r="G1742"/>
  <c r="I1740"/>
  <c r="I1739" s="1"/>
  <c r="H1740"/>
  <c r="H1739" s="1"/>
  <c r="G1740"/>
  <c r="G1739" s="1"/>
  <c r="H1035" i="3"/>
  <c r="I1035"/>
  <c r="J1035"/>
  <c r="K1035"/>
  <c r="L1035"/>
  <c r="M1035"/>
  <c r="N1035"/>
  <c r="O1035"/>
  <c r="G1035"/>
  <c r="I1652" i="1"/>
  <c r="H1652"/>
  <c r="G1652"/>
  <c r="G1651" s="1"/>
  <c r="I1649"/>
  <c r="H1649"/>
  <c r="G1649"/>
  <c r="G1648" s="1"/>
  <c r="I1645"/>
  <c r="I1644" s="1"/>
  <c r="H1645"/>
  <c r="H1644" s="1"/>
  <c r="G1645"/>
  <c r="G1644" s="1"/>
  <c r="I1642"/>
  <c r="I1641" s="1"/>
  <c r="I1639" s="1"/>
  <c r="H1642"/>
  <c r="H1641" s="1"/>
  <c r="H1639" s="1"/>
  <c r="G1642"/>
  <c r="G1641" s="1"/>
  <c r="G1211" i="3"/>
  <c r="J1208"/>
  <c r="K1208"/>
  <c r="L1208"/>
  <c r="M1208"/>
  <c r="N1208"/>
  <c r="O1208"/>
  <c r="I1456" i="1"/>
  <c r="I1455" s="1"/>
  <c r="H1456"/>
  <c r="H1455" s="1"/>
  <c r="G1456"/>
  <c r="G1455" s="1"/>
  <c r="G1356" i="3"/>
  <c r="G1355" s="1"/>
  <c r="G1354" s="1"/>
  <c r="G1353" s="1"/>
  <c r="I1355"/>
  <c r="I1354" s="1"/>
  <c r="I1353" s="1"/>
  <c r="H1355"/>
  <c r="H1354" s="1"/>
  <c r="H1353" s="1"/>
  <c r="I1444" i="1"/>
  <c r="I1443" s="1"/>
  <c r="I1442" s="1"/>
  <c r="H1444"/>
  <c r="H1443" s="1"/>
  <c r="H1442" s="1"/>
  <c r="G1444"/>
  <c r="G1443" s="1"/>
  <c r="G1442" s="1"/>
  <c r="I1189"/>
  <c r="H1189"/>
  <c r="G1647" l="1"/>
  <c r="H1737"/>
  <c r="H1736" s="1"/>
  <c r="H40" i="3"/>
  <c r="G40"/>
  <c r="I40"/>
  <c r="H1640" i="1"/>
  <c r="I1737"/>
  <c r="I1736" s="1"/>
  <c r="G1752"/>
  <c r="G1751" s="1"/>
  <c r="I1752"/>
  <c r="I1751" s="1"/>
  <c r="H1752"/>
  <c r="H1751" s="1"/>
  <c r="G1640"/>
  <c r="G1639" s="1"/>
  <c r="G1638" s="1"/>
  <c r="G1737"/>
  <c r="G1736" s="1"/>
  <c r="I1640"/>
  <c r="H1648"/>
  <c r="H1647" s="1"/>
  <c r="I1648"/>
  <c r="I1647" s="1"/>
  <c r="I404"/>
  <c r="H404"/>
  <c r="G404"/>
  <c r="G403" s="1"/>
  <c r="G402" s="1"/>
  <c r="H1735" l="1"/>
  <c r="G1735"/>
  <c r="G1637"/>
  <c r="I1735"/>
  <c r="H1638"/>
  <c r="H1637" s="1"/>
  <c r="I1638"/>
  <c r="I1637" s="1"/>
  <c r="H684" i="3"/>
  <c r="I684"/>
  <c r="G475"/>
  <c r="H475"/>
  <c r="I475"/>
  <c r="H219"/>
  <c r="I219"/>
  <c r="H204"/>
  <c r="G104" l="1"/>
  <c r="G103" s="1"/>
  <c r="G102" s="1"/>
  <c r="H104"/>
  <c r="H103" s="1"/>
  <c r="H102" s="1"/>
  <c r="I104"/>
  <c r="I103" s="1"/>
  <c r="I102" s="1"/>
  <c r="I107"/>
  <c r="I106" s="1"/>
  <c r="I105" s="1"/>
  <c r="G108"/>
  <c r="G107" s="1"/>
  <c r="G106" s="1"/>
  <c r="G105" s="1"/>
  <c r="H108"/>
  <c r="H107" s="1"/>
  <c r="H106" s="1"/>
  <c r="H105" s="1"/>
  <c r="H110"/>
  <c r="H109" s="1"/>
  <c r="I110"/>
  <c r="I109" s="1"/>
  <c r="G111"/>
  <c r="G110" s="1"/>
  <c r="G109" s="1"/>
  <c r="G113"/>
  <c r="G112" s="1"/>
  <c r="H113"/>
  <c r="H112" s="1"/>
  <c r="I113"/>
  <c r="I112" s="1"/>
  <c r="G116"/>
  <c r="G115" s="1"/>
  <c r="H116"/>
  <c r="H115" s="1"/>
  <c r="I116"/>
  <c r="I115" s="1"/>
  <c r="G1498" l="1"/>
  <c r="G1497" s="1"/>
  <c r="G1496" s="1"/>
  <c r="G1501"/>
  <c r="G1500" s="1"/>
  <c r="G1499" s="1"/>
  <c r="I1500"/>
  <c r="I1499" s="1"/>
  <c r="H1500"/>
  <c r="H1499" s="1"/>
  <c r="I1497"/>
  <c r="I1496" s="1"/>
  <c r="H1497"/>
  <c r="H1496" s="1"/>
  <c r="I1257" i="1"/>
  <c r="I1256" s="1"/>
  <c r="H1257"/>
  <c r="H1256" s="1"/>
  <c r="G1257"/>
  <c r="G1256" s="1"/>
  <c r="G684" i="3" l="1"/>
  <c r="I2056" i="1" l="1"/>
  <c r="I2055" s="1"/>
  <c r="I2052" s="1"/>
  <c r="H2056"/>
  <c r="H2055" s="1"/>
  <c r="H2052" s="1"/>
  <c r="I39" i="3" l="1"/>
  <c r="I34" s="1"/>
  <c r="H39"/>
  <c r="H34" s="1"/>
  <c r="G39"/>
  <c r="G142" i="1" l="1"/>
  <c r="G141" s="1"/>
  <c r="G131" s="1"/>
  <c r="I142"/>
  <c r="I141" s="1"/>
  <c r="I131" s="1"/>
  <c r="H142"/>
  <c r="H141" s="1"/>
  <c r="H131" s="1"/>
  <c r="I139"/>
  <c r="I138" s="1"/>
  <c r="H139"/>
  <c r="H138" s="1"/>
  <c r="G139"/>
  <c r="G138" s="1"/>
  <c r="G136"/>
  <c r="G135" s="1"/>
  <c r="G133"/>
  <c r="G132" s="1"/>
  <c r="G26" i="3"/>
  <c r="G997"/>
  <c r="G1504"/>
  <c r="G1503" s="1"/>
  <c r="G1502" s="1"/>
  <c r="I1503"/>
  <c r="I1502" s="1"/>
  <c r="H1503"/>
  <c r="H1502" s="1"/>
  <c r="I781" i="1"/>
  <c r="I780" s="1"/>
  <c r="I779" s="1"/>
  <c r="H781"/>
  <c r="H780" s="1"/>
  <c r="H779" s="1"/>
  <c r="G781"/>
  <c r="G780" s="1"/>
  <c r="G779" s="1"/>
  <c r="G68" i="3"/>
  <c r="G67" s="1"/>
  <c r="G994"/>
  <c r="I770" i="1"/>
  <c r="H770"/>
  <c r="G770"/>
  <c r="G763" s="1"/>
  <c r="G762" s="1"/>
  <c r="G768"/>
  <c r="G2056" l="1"/>
  <c r="H1668"/>
  <c r="I328" i="3"/>
  <c r="H328"/>
  <c r="G328"/>
  <c r="H1928" i="1"/>
  <c r="G1928"/>
  <c r="I1140" i="3"/>
  <c r="I1139" s="1"/>
  <c r="H1140"/>
  <c r="H1139" s="1"/>
  <c r="G1140"/>
  <c r="G1139" s="1"/>
  <c r="I1223" i="1"/>
  <c r="I1222" s="1"/>
  <c r="H1223"/>
  <c r="H1222" s="1"/>
  <c r="G1223"/>
  <c r="G1222" s="1"/>
  <c r="I1928" l="1"/>
  <c r="G25" i="3" l="1"/>
  <c r="G24" s="1"/>
  <c r="I25"/>
  <c r="I24" s="1"/>
  <c r="H25"/>
  <c r="H24" s="1"/>
  <c r="G354" i="1"/>
  <c r="G353" s="1"/>
  <c r="I354"/>
  <c r="I353" s="1"/>
  <c r="H354"/>
  <c r="H353" s="1"/>
  <c r="G1271" i="3" l="1"/>
  <c r="G1862" i="1"/>
  <c r="G263" i="3" s="1"/>
  <c r="G1116"/>
  <c r="G1043"/>
  <c r="I1494"/>
  <c r="H1494"/>
  <c r="G1494"/>
  <c r="I1254" i="1"/>
  <c r="I1253" s="1"/>
  <c r="H1254"/>
  <c r="H1253" s="1"/>
  <c r="G1254"/>
  <c r="G1253" s="1"/>
  <c r="G867" i="3"/>
  <c r="I1261"/>
  <c r="H1261"/>
  <c r="G1261"/>
  <c r="G1964" i="1"/>
  <c r="I1964"/>
  <c r="H1964"/>
  <c r="G1960"/>
  <c r="G1260" i="3" s="1"/>
  <c r="H1896" i="1" l="1"/>
  <c r="I1896"/>
  <c r="H991" i="3"/>
  <c r="I991"/>
  <c r="H989"/>
  <c r="I989"/>
  <c r="G991"/>
  <c r="G989"/>
  <c r="G96"/>
  <c r="I1381"/>
  <c r="H1381"/>
  <c r="G1381"/>
  <c r="I1999" i="1"/>
  <c r="H1999"/>
  <c r="G1999"/>
  <c r="G1463" i="3"/>
  <c r="I2005" i="1"/>
  <c r="I2002" s="1"/>
  <c r="I2001" s="1"/>
  <c r="H2005"/>
  <c r="H2002" s="1"/>
  <c r="H2001" s="1"/>
  <c r="G2005"/>
  <c r="G2002" s="1"/>
  <c r="G2001" s="1"/>
  <c r="G1380" i="3"/>
  <c r="H1273"/>
  <c r="H1272" s="1"/>
  <c r="I1273"/>
  <c r="I1272" s="1"/>
  <c r="G1273"/>
  <c r="G1272" s="1"/>
  <c r="H1956" i="1"/>
  <c r="H1955" s="1"/>
  <c r="I1956"/>
  <c r="I1955" s="1"/>
  <c r="G1956"/>
  <c r="G1955" s="1"/>
  <c r="H1271" i="3"/>
  <c r="H1270" s="1"/>
  <c r="H1269" s="1"/>
  <c r="I1270"/>
  <c r="I1269" s="1"/>
  <c r="G1270"/>
  <c r="G1269" s="1"/>
  <c r="H1953" i="1"/>
  <c r="H1952" s="1"/>
  <c r="I1953"/>
  <c r="I1952" s="1"/>
  <c r="G1953"/>
  <c r="G1952" s="1"/>
  <c r="H1267" i="3"/>
  <c r="H1266" s="1"/>
  <c r="I1267"/>
  <c r="I1266" s="1"/>
  <c r="G1267"/>
  <c r="G1266" s="1"/>
  <c r="H1950" i="1"/>
  <c r="H1949" s="1"/>
  <c r="I1950"/>
  <c r="I1949" s="1"/>
  <c r="G1950"/>
  <c r="G1949" s="1"/>
  <c r="H1264" i="3"/>
  <c r="H1263" s="1"/>
  <c r="I1264"/>
  <c r="I1263" s="1"/>
  <c r="G1264"/>
  <c r="G1263" s="1"/>
  <c r="H1947" i="1"/>
  <c r="H1946" s="1"/>
  <c r="I1947"/>
  <c r="I1946" s="1"/>
  <c r="G1947"/>
  <c r="G1946" s="1"/>
  <c r="I1510" i="3" l="1"/>
  <c r="I1509" s="1"/>
  <c r="H1510"/>
  <c r="H1509" s="1"/>
  <c r="G1510"/>
  <c r="G1509" s="1"/>
  <c r="I1519"/>
  <c r="H1519"/>
  <c r="G1519"/>
  <c r="I1173" i="1"/>
  <c r="I1172" s="1"/>
  <c r="I1171" s="1"/>
  <c r="I1170" s="1"/>
  <c r="H25" i="2" s="1"/>
  <c r="H1173" i="1"/>
  <c r="H1172" s="1"/>
  <c r="H1171" s="1"/>
  <c r="H1170" s="1"/>
  <c r="G25" i="2" s="1"/>
  <c r="G1173" i="1"/>
  <c r="G1172" s="1"/>
  <c r="G1171" s="1"/>
  <c r="G1170" s="1"/>
  <c r="F25" i="2" s="1"/>
  <c r="G1170" i="3"/>
  <c r="I1081" i="1"/>
  <c r="I1080" s="1"/>
  <c r="I1079" s="1"/>
  <c r="H1081"/>
  <c r="H1080" s="1"/>
  <c r="H1079" s="1"/>
  <c r="G1081"/>
  <c r="G1080" s="1"/>
  <c r="G1079" s="1"/>
  <c r="I649" i="3"/>
  <c r="I648" s="1"/>
  <c r="H649"/>
  <c r="H648" s="1"/>
  <c r="G649"/>
  <c r="G648" s="1"/>
  <c r="I936" i="1"/>
  <c r="I935" s="1"/>
  <c r="H936"/>
  <c r="H935" s="1"/>
  <c r="G936"/>
  <c r="G935" s="1"/>
  <c r="G870"/>
  <c r="G869" s="1"/>
  <c r="I870"/>
  <c r="H870"/>
  <c r="I98" i="3"/>
  <c r="I97" s="1"/>
  <c r="H98"/>
  <c r="H97" s="1"/>
  <c r="G98"/>
  <c r="G97" s="1"/>
  <c r="I439" i="1"/>
  <c r="I438" s="1"/>
  <c r="H439"/>
  <c r="H438" s="1"/>
  <c r="G439"/>
  <c r="G438" s="1"/>
  <c r="I1472" i="3"/>
  <c r="H1472"/>
  <c r="G1472"/>
  <c r="I339" i="1"/>
  <c r="I338" s="1"/>
  <c r="H339"/>
  <c r="H338" s="1"/>
  <c r="G339"/>
  <c r="G338" s="1"/>
  <c r="G347"/>
  <c r="G1042" i="3"/>
  <c r="G1041" s="1"/>
  <c r="G127" i="1"/>
  <c r="G126" s="1"/>
  <c r="G109"/>
  <c r="I109"/>
  <c r="H109"/>
  <c r="G105"/>
  <c r="I92" i="3"/>
  <c r="I91" s="1"/>
  <c r="H92"/>
  <c r="H91" s="1"/>
  <c r="G92"/>
  <c r="G91" s="1"/>
  <c r="I436" i="1"/>
  <c r="I435" s="1"/>
  <c r="H436"/>
  <c r="H435" s="1"/>
  <c r="G436"/>
  <c r="G435" s="1"/>
  <c r="I95" i="3"/>
  <c r="H95"/>
  <c r="G95"/>
  <c r="G94" s="1"/>
  <c r="I94"/>
  <c r="H94"/>
  <c r="I410" i="1"/>
  <c r="H410"/>
  <c r="G410"/>
  <c r="G409" s="1"/>
  <c r="G407" s="1"/>
  <c r="I409"/>
  <c r="I407" s="1"/>
  <c r="H409"/>
  <c r="H408" s="1"/>
  <c r="I408" l="1"/>
  <c r="I1078"/>
  <c r="G1078"/>
  <c r="H1078"/>
  <c r="I337"/>
  <c r="H337"/>
  <c r="H407"/>
  <c r="G408"/>
  <c r="G990" i="3"/>
  <c r="K990"/>
  <c r="J990"/>
  <c r="I990"/>
  <c r="H990"/>
  <c r="G82" i="1"/>
  <c r="I82"/>
  <c r="H82"/>
  <c r="H1105" i="3" l="1"/>
  <c r="I1115"/>
  <c r="I1114" s="1"/>
  <c r="H1115"/>
  <c r="H1114" s="1"/>
  <c r="G1115"/>
  <c r="G1114" s="1"/>
  <c r="G1278" i="1"/>
  <c r="G1277" s="1"/>
  <c r="I1278"/>
  <c r="I1277" s="1"/>
  <c r="H1278"/>
  <c r="H1277" s="1"/>
  <c r="I866" i="3" l="1"/>
  <c r="I865" s="1"/>
  <c r="H866"/>
  <c r="H865" s="1"/>
  <c r="G866"/>
  <c r="G865" s="1"/>
  <c r="K996" l="1"/>
  <c r="J996"/>
  <c r="I996"/>
  <c r="I995" s="1"/>
  <c r="H996"/>
  <c r="H995" s="1"/>
  <c r="G996"/>
  <c r="G995" s="1"/>
  <c r="I268" i="1"/>
  <c r="I267" s="1"/>
  <c r="H268"/>
  <c r="H267" s="1"/>
  <c r="G268"/>
  <c r="G267" s="1"/>
  <c r="I89" i="3"/>
  <c r="I88" s="1"/>
  <c r="H89"/>
  <c r="H88" s="1"/>
  <c r="G89"/>
  <c r="G88" s="1"/>
  <c r="I433" i="1"/>
  <c r="I432" s="1"/>
  <c r="H433"/>
  <c r="H432" s="1"/>
  <c r="G433"/>
  <c r="G432" s="1"/>
  <c r="G988" i="3"/>
  <c r="G987" s="1"/>
  <c r="G80" i="1"/>
  <c r="G79" s="1"/>
  <c r="K988" i="3"/>
  <c r="J988"/>
  <c r="I988"/>
  <c r="I987" s="1"/>
  <c r="H988"/>
  <c r="H987" s="1"/>
  <c r="I80" i="1"/>
  <c r="I79" s="1"/>
  <c r="H80"/>
  <c r="H79" s="1"/>
  <c r="G947"/>
  <c r="G934"/>
  <c r="I868" i="3" l="1"/>
  <c r="H868"/>
  <c r="G868"/>
  <c r="I1379" l="1"/>
  <c r="H1379"/>
  <c r="G1379"/>
  <c r="I1997" i="1"/>
  <c r="H1997"/>
  <c r="G1995"/>
  <c r="G1992"/>
  <c r="G1991" s="1"/>
  <c r="I141" i="3" l="1"/>
  <c r="H141"/>
  <c r="G141"/>
  <c r="G140" s="1"/>
  <c r="I140"/>
  <c r="H140"/>
  <c r="I1347" i="1"/>
  <c r="I1345" s="1"/>
  <c r="H35" i="2" s="1"/>
  <c r="H1347" i="1"/>
  <c r="H1345" s="1"/>
  <c r="G35" i="2" s="1"/>
  <c r="I1348" i="1"/>
  <c r="H1348"/>
  <c r="G1348"/>
  <c r="G1347" s="1"/>
  <c r="H1346" l="1"/>
  <c r="I1346"/>
  <c r="G1345"/>
  <c r="F35" i="2" s="1"/>
  <c r="G1346" i="1"/>
  <c r="H1285" l="1"/>
  <c r="G1311" l="1"/>
  <c r="G1319" i="3" l="1"/>
  <c r="I1087" i="1"/>
  <c r="I1086" s="1"/>
  <c r="I1085" s="1"/>
  <c r="I1084" s="1"/>
  <c r="I1083" s="1"/>
  <c r="H1087"/>
  <c r="H1086" s="1"/>
  <c r="H1085" s="1"/>
  <c r="H1084" s="1"/>
  <c r="H1083" s="1"/>
  <c r="G1087"/>
  <c r="G1086" s="1"/>
  <c r="G1085" s="1"/>
  <c r="G1084" s="1"/>
  <c r="G1083" s="1"/>
  <c r="I895" i="3"/>
  <c r="I894" s="1"/>
  <c r="H895"/>
  <c r="H894" s="1"/>
  <c r="G895"/>
  <c r="G894" s="1"/>
  <c r="I200" i="1"/>
  <c r="I199" s="1"/>
  <c r="H200"/>
  <c r="H199" s="1"/>
  <c r="G200"/>
  <c r="G199" s="1"/>
  <c r="I1052" i="3"/>
  <c r="I1051" s="1"/>
  <c r="H1052"/>
  <c r="H1051" s="1"/>
  <c r="G1052"/>
  <c r="G1051" s="1"/>
  <c r="G1338" i="1"/>
  <c r="G1337" s="1"/>
  <c r="I1338"/>
  <c r="I1337" s="1"/>
  <c r="H1338"/>
  <c r="H1337" s="1"/>
  <c r="G1285"/>
  <c r="I191" i="3"/>
  <c r="I190" s="1"/>
  <c r="H191"/>
  <c r="H190" s="1"/>
  <c r="G191"/>
  <c r="G190" s="1"/>
  <c r="I1360" i="1" l="1"/>
  <c r="I1359" s="1"/>
  <c r="H1360"/>
  <c r="H1359" s="1"/>
  <c r="G1360"/>
  <c r="G1359" s="1"/>
  <c r="I1102" i="3" l="1"/>
  <c r="H1102"/>
  <c r="H1122"/>
  <c r="I1122"/>
  <c r="H1318" i="1"/>
  <c r="H1317" s="1"/>
  <c r="I1318"/>
  <c r="I1317" s="1"/>
  <c r="G1318"/>
  <c r="G1317" s="1"/>
  <c r="H1270"/>
  <c r="I1270"/>
  <c r="G1270"/>
  <c r="G1269" s="1"/>
  <c r="H1272"/>
  <c r="I1272"/>
  <c r="G1272"/>
  <c r="H1281"/>
  <c r="H1280" s="1"/>
  <c r="I1281"/>
  <c r="I1280" s="1"/>
  <c r="G1281"/>
  <c r="G1280" s="1"/>
  <c r="H1269" l="1"/>
  <c r="I1269"/>
  <c r="I760" i="3"/>
  <c r="I759" s="1"/>
  <c r="H760"/>
  <c r="H759" s="1"/>
  <c r="G760"/>
  <c r="G759" s="1"/>
  <c r="I2106" i="1"/>
  <c r="I2105" s="1"/>
  <c r="H2106"/>
  <c r="H2105" s="1"/>
  <c r="G2106"/>
  <c r="G2105" s="1"/>
  <c r="I1889"/>
  <c r="I1886" s="1"/>
  <c r="I1885" s="1"/>
  <c r="H1889"/>
  <c r="H1886" s="1"/>
  <c r="H1885" s="1"/>
  <c r="G1889"/>
  <c r="G1886" s="1"/>
  <c r="G1885" s="1"/>
  <c r="I1460" i="3"/>
  <c r="H1460"/>
  <c r="G1460"/>
  <c r="I1714" i="1"/>
  <c r="I1711" s="1"/>
  <c r="I1710" s="1"/>
  <c r="H1714"/>
  <c r="H1711" s="1"/>
  <c r="H1710" s="1"/>
  <c r="G1714"/>
  <c r="G1711" s="1"/>
  <c r="G1710" s="1"/>
  <c r="J1104" i="3"/>
  <c r="K1104"/>
  <c r="L1104"/>
  <c r="M1104"/>
  <c r="N1104"/>
  <c r="O1104"/>
  <c r="H1107"/>
  <c r="I1107"/>
  <c r="J1107"/>
  <c r="K1107"/>
  <c r="L1107"/>
  <c r="M1107"/>
  <c r="N1107"/>
  <c r="O1107"/>
  <c r="H1110"/>
  <c r="I1110"/>
  <c r="J1110"/>
  <c r="K1110"/>
  <c r="L1110"/>
  <c r="M1110"/>
  <c r="N1110"/>
  <c r="O1110"/>
  <c r="H1113"/>
  <c r="I1113"/>
  <c r="H1125"/>
  <c r="I1125"/>
  <c r="J1125"/>
  <c r="K1125"/>
  <c r="L1125"/>
  <c r="M1125"/>
  <c r="N1125"/>
  <c r="O1125"/>
  <c r="H1469"/>
  <c r="I1469"/>
  <c r="G1561" i="1"/>
  <c r="I1561"/>
  <c r="H1561"/>
  <c r="H1558" s="1"/>
  <c r="H1557" s="1"/>
  <c r="G1107" i="3"/>
  <c r="H1104"/>
  <c r="I1105"/>
  <c r="I1104" s="1"/>
  <c r="G1105"/>
  <c r="I1327" i="1"/>
  <c r="I1324" s="1"/>
  <c r="I1323" s="1"/>
  <c r="H1327"/>
  <c r="H1324" s="1"/>
  <c r="H1323" s="1"/>
  <c r="G1327"/>
  <c r="G1284"/>
  <c r="G1283" s="1"/>
  <c r="H1284"/>
  <c r="H1283" s="1"/>
  <c r="I1284"/>
  <c r="I1283" s="1"/>
  <c r="I1312"/>
  <c r="H1312"/>
  <c r="G1312"/>
  <c r="I1310"/>
  <c r="H1310"/>
  <c r="G1310"/>
  <c r="G1307"/>
  <c r="G1306" s="1"/>
  <c r="I1307"/>
  <c r="I1306" s="1"/>
  <c r="H1307"/>
  <c r="H1306" s="1"/>
  <c r="I1261"/>
  <c r="I1260" s="1"/>
  <c r="I1259" s="1"/>
  <c r="H1261"/>
  <c r="H1260" s="1"/>
  <c r="H1259" s="1"/>
  <c r="G1261"/>
  <c r="G1260" s="1"/>
  <c r="G1259" s="1"/>
  <c r="I1025" i="3"/>
  <c r="I1024" s="1"/>
  <c r="H1025"/>
  <c r="H1024" s="1"/>
  <c r="G1025"/>
  <c r="G1024" s="1"/>
  <c r="J1017" s="1"/>
  <c r="G867" i="1"/>
  <c r="G866" s="1"/>
  <c r="I867"/>
  <c r="I866" s="1"/>
  <c r="H867"/>
  <c r="H866" s="1"/>
  <c r="I760"/>
  <c r="H760"/>
  <c r="G760"/>
  <c r="G753" s="1"/>
  <c r="G752" s="1"/>
  <c r="G758"/>
  <c r="I352" i="3"/>
  <c r="I351" s="1"/>
  <c r="H352"/>
  <c r="H351" s="1"/>
  <c r="G352"/>
  <c r="G351" s="1"/>
  <c r="H617" i="1"/>
  <c r="H616" s="1"/>
  <c r="I617"/>
  <c r="I616" s="1"/>
  <c r="G617"/>
  <c r="G616" s="1"/>
  <c r="I441" i="3"/>
  <c r="I440" s="1"/>
  <c r="H441"/>
  <c r="H440" s="1"/>
  <c r="G441"/>
  <c r="G440" s="1"/>
  <c r="I602" i="1"/>
  <c r="I601" s="1"/>
  <c r="H602"/>
  <c r="H601" s="1"/>
  <c r="G602"/>
  <c r="G601" s="1"/>
  <c r="I595" i="3"/>
  <c r="I594" s="1"/>
  <c r="H595"/>
  <c r="H594" s="1"/>
  <c r="G595"/>
  <c r="G594" s="1"/>
  <c r="I505" i="1"/>
  <c r="I504" s="1"/>
  <c r="H505"/>
  <c r="H504" s="1"/>
  <c r="G505"/>
  <c r="G504" s="1"/>
  <c r="K993" i="3"/>
  <c r="J993"/>
  <c r="I993"/>
  <c r="I992" s="1"/>
  <c r="H993"/>
  <c r="H992" s="1"/>
  <c r="G993"/>
  <c r="G992" s="1"/>
  <c r="I265" i="1"/>
  <c r="I264" s="1"/>
  <c r="H265"/>
  <c r="H264" s="1"/>
  <c r="G265"/>
  <c r="G264" s="1"/>
  <c r="G335"/>
  <c r="G328" s="1"/>
  <c r="G327" s="1"/>
  <c r="I335"/>
  <c r="H335"/>
  <c r="G333"/>
  <c r="I262"/>
  <c r="I261" s="1"/>
  <c r="I260" s="1"/>
  <c r="H262"/>
  <c r="H261" s="1"/>
  <c r="H260" s="1"/>
  <c r="G262"/>
  <c r="G261" s="1"/>
  <c r="G260" s="1"/>
  <c r="K982" i="3"/>
  <c r="J982"/>
  <c r="I982"/>
  <c r="I981" s="1"/>
  <c r="H982"/>
  <c r="H981" s="1"/>
  <c r="G982"/>
  <c r="G981" s="1"/>
  <c r="I77" i="1"/>
  <c r="I76" s="1"/>
  <c r="H77"/>
  <c r="H76" s="1"/>
  <c r="G77"/>
  <c r="G76" s="1"/>
  <c r="G1324" l="1"/>
  <c r="G1323" s="1"/>
  <c r="H1555"/>
  <c r="I1096" i="3"/>
  <c r="H1096"/>
  <c r="G1102"/>
  <c r="I1309" i="1"/>
  <c r="I1558"/>
  <c r="I1557" s="1"/>
  <c r="G1309"/>
  <c r="H1309"/>
  <c r="G1558"/>
  <c r="G1557" s="1"/>
  <c r="G1167" i="3"/>
  <c r="G1166" s="1"/>
  <c r="G1935" i="1"/>
  <c r="G1994" s="1"/>
  <c r="G1993" s="1"/>
  <c r="G381" i="3"/>
  <c r="G571" i="1"/>
  <c r="G570" s="1"/>
  <c r="I571"/>
  <c r="H571"/>
  <c r="H1551" l="1"/>
  <c r="I1555"/>
  <c r="G1555"/>
  <c r="G524" i="3"/>
  <c r="G523" s="1"/>
  <c r="G522" s="1"/>
  <c r="I523"/>
  <c r="I522" s="1"/>
  <c r="H523"/>
  <c r="H522" s="1"/>
  <c r="I654" i="1"/>
  <c r="I653" s="1"/>
  <c r="H654"/>
  <c r="H653" s="1"/>
  <c r="G654"/>
  <c r="G653" s="1"/>
  <c r="G647" i="3"/>
  <c r="G646" s="1"/>
  <c r="G642"/>
  <c r="G641" s="1"/>
  <c r="G637"/>
  <c r="G636" s="1"/>
  <c r="I646"/>
  <c r="H646"/>
  <c r="I644"/>
  <c r="H644"/>
  <c r="G644"/>
  <c r="I641"/>
  <c r="H641"/>
  <c r="I639"/>
  <c r="H639"/>
  <c r="G639"/>
  <c r="I636"/>
  <c r="H636"/>
  <c r="I634"/>
  <c r="H634"/>
  <c r="G634"/>
  <c r="I946" i="1"/>
  <c r="H946"/>
  <c r="G946"/>
  <c r="I944"/>
  <c r="H944"/>
  <c r="G944"/>
  <c r="I941"/>
  <c r="H941"/>
  <c r="G941"/>
  <c r="I939"/>
  <c r="H939"/>
  <c r="G939"/>
  <c r="I933"/>
  <c r="H933"/>
  <c r="G933"/>
  <c r="I931"/>
  <c r="H931"/>
  <c r="G931"/>
  <c r="G401" i="3"/>
  <c r="G400" s="1"/>
  <c r="I398"/>
  <c r="I397" s="1"/>
  <c r="H398"/>
  <c r="H397" s="1"/>
  <c r="G398"/>
  <c r="I579" i="1"/>
  <c r="I576" s="1"/>
  <c r="H579"/>
  <c r="H576" s="1"/>
  <c r="G579"/>
  <c r="I577"/>
  <c r="H577"/>
  <c r="G577"/>
  <c r="G407" i="3"/>
  <c r="G406" s="1"/>
  <c r="G405" s="1"/>
  <c r="I406"/>
  <c r="H406"/>
  <c r="I403"/>
  <c r="H403"/>
  <c r="G403"/>
  <c r="I584" i="1"/>
  <c r="I581" s="1"/>
  <c r="I552" s="1"/>
  <c r="H584"/>
  <c r="H581" s="1"/>
  <c r="H552" s="1"/>
  <c r="G584"/>
  <c r="I582"/>
  <c r="H582"/>
  <c r="G582"/>
  <c r="G472"/>
  <c r="G708" i="3"/>
  <c r="G707" s="1"/>
  <c r="G706" s="1"/>
  <c r="I707"/>
  <c r="I706" s="1"/>
  <c r="H707"/>
  <c r="H706" s="1"/>
  <c r="I2065" i="1"/>
  <c r="I2064" s="1"/>
  <c r="H2065"/>
  <c r="H2064" s="1"/>
  <c r="G2065"/>
  <c r="G2064" s="1"/>
  <c r="G2043"/>
  <c r="H402" i="3" l="1"/>
  <c r="H405"/>
  <c r="I402"/>
  <c r="I405"/>
  <c r="I633"/>
  <c r="H638"/>
  <c r="G1554" i="1"/>
  <c r="G1551" s="1"/>
  <c r="I643" i="3"/>
  <c r="I638"/>
  <c r="I943" i="1"/>
  <c r="G930"/>
  <c r="I938"/>
  <c r="I930"/>
  <c r="G938"/>
  <c r="H943"/>
  <c r="G581"/>
  <c r="G552" s="1"/>
  <c r="H938"/>
  <c r="H643" i="3"/>
  <c r="H633"/>
  <c r="G633"/>
  <c r="G643"/>
  <c r="G638"/>
  <c r="G943" i="1"/>
  <c r="G397" i="3"/>
  <c r="H930" i="1"/>
  <c r="G402" i="3"/>
  <c r="G576" i="1"/>
  <c r="I471"/>
  <c r="I470" s="1"/>
  <c r="I469" s="1"/>
  <c r="I468" s="1"/>
  <c r="H471"/>
  <c r="H470" s="1"/>
  <c r="H469" s="1"/>
  <c r="H468" s="1"/>
  <c r="G471"/>
  <c r="G470" s="1"/>
  <c r="G469" s="1"/>
  <c r="G468" s="1"/>
  <c r="G892" i="3"/>
  <c r="G891" s="1"/>
  <c r="I892"/>
  <c r="I891" s="1"/>
  <c r="H892"/>
  <c r="H891" s="1"/>
  <c r="I197" i="1"/>
  <c r="I196" s="1"/>
  <c r="H197"/>
  <c r="H196" s="1"/>
  <c r="G197"/>
  <c r="G196" s="1"/>
  <c r="G883" i="3"/>
  <c r="G882" s="1"/>
  <c r="G890"/>
  <c r="G889" s="1"/>
  <c r="G888" s="1"/>
  <c r="K889"/>
  <c r="J889"/>
  <c r="I889"/>
  <c r="I888" s="1"/>
  <c r="H889"/>
  <c r="H888" s="1"/>
  <c r="I74" i="1"/>
  <c r="I73" s="1"/>
  <c r="H74"/>
  <c r="H73" s="1"/>
  <c r="G74"/>
  <c r="G73" s="1"/>
  <c r="I883" i="3"/>
  <c r="I882" s="1"/>
  <c r="H883"/>
  <c r="H882" s="1"/>
  <c r="I191" i="1"/>
  <c r="I190" s="1"/>
  <c r="H191"/>
  <c r="H190" s="1"/>
  <c r="G887" i="3"/>
  <c r="G886" s="1"/>
  <c r="G885" s="1"/>
  <c r="I886"/>
  <c r="I885" s="1"/>
  <c r="H886"/>
  <c r="H885" s="1"/>
  <c r="I194" i="1"/>
  <c r="I193" s="1"/>
  <c r="H194"/>
  <c r="H193" s="1"/>
  <c r="G194"/>
  <c r="G193" s="1"/>
  <c r="G546" i="3"/>
  <c r="I531" i="1"/>
  <c r="I530" s="1"/>
  <c r="I503" s="1"/>
  <c r="H531"/>
  <c r="H530" s="1"/>
  <c r="H503" s="1"/>
  <c r="G531"/>
  <c r="G530" s="1"/>
  <c r="G503" s="1"/>
  <c r="G1173" i="3"/>
  <c r="G1172" s="1"/>
  <c r="G1171" s="1"/>
  <c r="I1172"/>
  <c r="I1171" s="1"/>
  <c r="H1172"/>
  <c r="H1171" s="1"/>
  <c r="I1941" i="1"/>
  <c r="I1940" s="1"/>
  <c r="H1941"/>
  <c r="H1940" s="1"/>
  <c r="G1941"/>
  <c r="G1940" s="1"/>
  <c r="G1347" i="3"/>
  <c r="G1346" s="1"/>
  <c r="G1345" s="1"/>
  <c r="I1346"/>
  <c r="I1345" s="1"/>
  <c r="H1346"/>
  <c r="H1345" s="1"/>
  <c r="I731" i="1"/>
  <c r="I730" s="1"/>
  <c r="H731"/>
  <c r="H730" s="1"/>
  <c r="G731"/>
  <c r="G730" s="1"/>
  <c r="G736"/>
  <c r="G497" i="3"/>
  <c r="G191" i="1" l="1"/>
  <c r="G190" s="1"/>
  <c r="G540"/>
  <c r="G539" s="1"/>
  <c r="H534"/>
  <c r="H533" s="1"/>
  <c r="I534"/>
  <c r="I533" s="1"/>
  <c r="G534"/>
  <c r="G533" s="1"/>
  <c r="G599" i="3"/>
  <c r="G537"/>
  <c r="G1240"/>
  <c r="G1239" s="1"/>
  <c r="H1237"/>
  <c r="H1236" s="1"/>
  <c r="G1237"/>
  <c r="I1236"/>
  <c r="G2042" i="1"/>
  <c r="H2040"/>
  <c r="H2039" s="1"/>
  <c r="G2040"/>
  <c r="I2039"/>
  <c r="G1236" i="3" l="1"/>
  <c r="G2039" i="1"/>
  <c r="H980" i="3"/>
  <c r="I980"/>
  <c r="J343"/>
  <c r="K343"/>
  <c r="L343"/>
  <c r="M343"/>
  <c r="N343"/>
  <c r="O343"/>
  <c r="G1245" l="1"/>
  <c r="G1244" s="1"/>
  <c r="H1242"/>
  <c r="H1241" s="1"/>
  <c r="G1242"/>
  <c r="I1241"/>
  <c r="G980"/>
  <c r="G436"/>
  <c r="G1241" l="1"/>
  <c r="H1260" l="1"/>
  <c r="H1259" s="1"/>
  <c r="H1258" s="1"/>
  <c r="I1259"/>
  <c r="I1258" s="1"/>
  <c r="G1259"/>
  <c r="G1258" s="1"/>
  <c r="I1450" i="1"/>
  <c r="I1447" s="1"/>
  <c r="I1446" s="1"/>
  <c r="H1450"/>
  <c r="H1447" s="1"/>
  <c r="H1446" s="1"/>
  <c r="G1450"/>
  <c r="G466" i="3"/>
  <c r="G465" s="1"/>
  <c r="G464" s="1"/>
  <c r="I465"/>
  <c r="I464" s="1"/>
  <c r="H465"/>
  <c r="H464" s="1"/>
  <c r="I806" i="1"/>
  <c r="I805" s="1"/>
  <c r="H806"/>
  <c r="H805" s="1"/>
  <c r="G806"/>
  <c r="G805" s="1"/>
  <c r="G380" i="3"/>
  <c r="G379" s="1"/>
  <c r="I380"/>
  <c r="H380"/>
  <c r="I566" i="1"/>
  <c r="H566"/>
  <c r="G566"/>
  <c r="G1447" l="1"/>
  <c r="G1446" s="1"/>
  <c r="I496" i="3"/>
  <c r="I495" s="1"/>
  <c r="H496"/>
  <c r="H495" s="1"/>
  <c r="G496"/>
  <c r="G495" s="1"/>
  <c r="I629" i="1"/>
  <c r="I628" s="1"/>
  <c r="H629"/>
  <c r="H628" s="1"/>
  <c r="G629"/>
  <c r="G628" s="1"/>
  <c r="G416" i="3"/>
  <c r="G415" s="1"/>
  <c r="G414" s="1"/>
  <c r="G409"/>
  <c r="G408" s="1"/>
  <c r="I415"/>
  <c r="I414" s="1"/>
  <c r="H415"/>
  <c r="H414" s="1"/>
  <c r="I587" i="1"/>
  <c r="I586" s="1"/>
  <c r="H587"/>
  <c r="H586" s="1"/>
  <c r="G587"/>
  <c r="G586" s="1"/>
  <c r="G242" i="3" l="1"/>
  <c r="G1847" i="1"/>
  <c r="G224" i="3"/>
  <c r="G1829" i="1"/>
  <c r="G247" i="3" l="1"/>
  <c r="G246" s="1"/>
  <c r="L246"/>
  <c r="I246"/>
  <c r="H246"/>
  <c r="G1852" i="1"/>
  <c r="G1851" s="1"/>
  <c r="I1851"/>
  <c r="H1851"/>
  <c r="G219" i="3"/>
  <c r="G1824" i="1"/>
  <c r="G1023" i="3"/>
  <c r="I864" i="1"/>
  <c r="I863" s="1"/>
  <c r="I862" s="1"/>
  <c r="H864"/>
  <c r="H863" s="1"/>
  <c r="H862" s="1"/>
  <c r="I478" i="3"/>
  <c r="H478"/>
  <c r="G478"/>
  <c r="I477"/>
  <c r="H477"/>
  <c r="G477"/>
  <c r="I599" i="1"/>
  <c r="H599"/>
  <c r="G599"/>
  <c r="I598"/>
  <c r="H598"/>
  <c r="G598"/>
  <c r="I474" i="3"/>
  <c r="H474"/>
  <c r="G474"/>
  <c r="I596" i="1"/>
  <c r="H596"/>
  <c r="G596"/>
  <c r="I595"/>
  <c r="H595"/>
  <c r="G595"/>
  <c r="I593"/>
  <c r="H593"/>
  <c r="G593"/>
  <c r="G102" s="1"/>
  <c r="G101" s="1"/>
  <c r="I188" i="3"/>
  <c r="I187" s="1"/>
  <c r="H188"/>
  <c r="H187" s="1"/>
  <c r="G188"/>
  <c r="G187" s="1"/>
  <c r="I1357" i="1"/>
  <c r="I1356" s="1"/>
  <c r="H1357"/>
  <c r="H1356" s="1"/>
  <c r="G1357"/>
  <c r="G1356" s="1"/>
  <c r="G864" l="1"/>
  <c r="G863" s="1"/>
  <c r="G862" s="1"/>
  <c r="I757" i="3"/>
  <c r="I756" s="1"/>
  <c r="H757"/>
  <c r="H756" s="1"/>
  <c r="G757"/>
  <c r="G756" s="1"/>
  <c r="I2103" i="1"/>
  <c r="I2102" s="1"/>
  <c r="G2103"/>
  <c r="G2102" s="1"/>
  <c r="H2103"/>
  <c r="H2102" s="1"/>
  <c r="I262" i="3"/>
  <c r="I261" s="1"/>
  <c r="H262"/>
  <c r="H261" s="1"/>
  <c r="G262"/>
  <c r="G261" s="1"/>
  <c r="G1861" i="1"/>
  <c r="G1860" s="1"/>
  <c r="I1861"/>
  <c r="I1860" s="1"/>
  <c r="H1861"/>
  <c r="H1860" s="1"/>
  <c r="I1022" i="3"/>
  <c r="I1021" s="1"/>
  <c r="H1022"/>
  <c r="H1021" s="1"/>
  <c r="G1022"/>
  <c r="G1021" s="1"/>
  <c r="G92" i="1"/>
  <c r="G91" s="1"/>
  <c r="G90" s="1"/>
  <c r="I92"/>
  <c r="I91" s="1"/>
  <c r="I90" s="1"/>
  <c r="H92"/>
  <c r="H91" s="1"/>
  <c r="H90" s="1"/>
  <c r="I1169" i="3"/>
  <c r="I1168" s="1"/>
  <c r="H1169"/>
  <c r="H1168" s="1"/>
  <c r="G1169"/>
  <c r="G1168" s="1"/>
  <c r="I1938" i="1" l="1"/>
  <c r="I1937" s="1"/>
  <c r="H1938"/>
  <c r="H1937" s="1"/>
  <c r="G1938"/>
  <c r="G1937" s="1"/>
  <c r="J1049" i="3"/>
  <c r="K1049"/>
  <c r="L1049"/>
  <c r="M1049"/>
  <c r="N1049"/>
  <c r="O1049"/>
  <c r="H1050"/>
  <c r="H1049" s="1"/>
  <c r="H1048" s="1"/>
  <c r="I1050"/>
  <c r="I1049" s="1"/>
  <c r="I1048" s="1"/>
  <c r="H1335" i="1"/>
  <c r="I1335"/>
  <c r="H1101" i="3"/>
  <c r="H1100" s="1"/>
  <c r="I1101"/>
  <c r="I1100" s="1"/>
  <c r="H1267" i="1"/>
  <c r="H1266" s="1"/>
  <c r="I1267"/>
  <c r="I1266" s="1"/>
  <c r="I1507" i="3"/>
  <c r="I1506" s="1"/>
  <c r="I1505" s="1"/>
  <c r="H1507"/>
  <c r="H1506" s="1"/>
  <c r="H1505" s="1"/>
  <c r="G1507"/>
  <c r="G1506" s="1"/>
  <c r="G1505" s="1"/>
  <c r="I1245" i="1"/>
  <c r="I1244" s="1"/>
  <c r="I1243" s="1"/>
  <c r="H1245"/>
  <c r="H1244" s="1"/>
  <c r="H1243" s="1"/>
  <c r="G1245"/>
  <c r="G1244" s="1"/>
  <c r="G1243" s="1"/>
  <c r="H1334" l="1"/>
  <c r="I1334"/>
  <c r="G491" i="3"/>
  <c r="H378"/>
  <c r="H344" s="1"/>
  <c r="I378"/>
  <c r="I344" s="1"/>
  <c r="G490" l="1"/>
  <c r="G489" s="1"/>
  <c r="I1017" i="1"/>
  <c r="I1016" s="1"/>
  <c r="H1017"/>
  <c r="H1016" s="1"/>
  <c r="G1017"/>
  <c r="G1016" s="1"/>
  <c r="I499" i="3"/>
  <c r="I498" s="1"/>
  <c r="H499"/>
  <c r="H498" s="1"/>
  <c r="G499"/>
  <c r="G498" s="1"/>
  <c r="I632" i="1"/>
  <c r="I631" s="1"/>
  <c r="H632"/>
  <c r="H631" s="1"/>
  <c r="G632"/>
  <c r="G631" s="1"/>
  <c r="G438" i="3"/>
  <c r="G437" s="1"/>
  <c r="I623" i="1"/>
  <c r="I622" s="1"/>
  <c r="H623"/>
  <c r="H622" s="1"/>
  <c r="G623"/>
  <c r="G622" s="1"/>
  <c r="H1448" i="3"/>
  <c r="I1448"/>
  <c r="H966"/>
  <c r="H965" s="1"/>
  <c r="I966"/>
  <c r="I965" s="1"/>
  <c r="H979"/>
  <c r="H978" s="1"/>
  <c r="I979"/>
  <c r="I978" s="1"/>
  <c r="K969"/>
  <c r="J969"/>
  <c r="I969"/>
  <c r="I968" s="1"/>
  <c r="H969"/>
  <c r="H968" s="1"/>
  <c r="G969"/>
  <c r="G968" s="1"/>
  <c r="I258" i="1"/>
  <c r="I257" s="1"/>
  <c r="H258"/>
  <c r="H257" s="1"/>
  <c r="G258"/>
  <c r="G257" s="1"/>
  <c r="H255"/>
  <c r="H254" s="1"/>
  <c r="I255"/>
  <c r="I254" s="1"/>
  <c r="H252"/>
  <c r="H251" s="1"/>
  <c r="I252"/>
  <c r="I251" s="1"/>
  <c r="K972" i="3"/>
  <c r="J972"/>
  <c r="I972"/>
  <c r="I971" s="1"/>
  <c r="H972"/>
  <c r="H971" s="1"/>
  <c r="G972"/>
  <c r="G971" s="1"/>
  <c r="H88" i="1"/>
  <c r="H87" s="1"/>
  <c r="I88"/>
  <c r="I87" s="1"/>
  <c r="G88"/>
  <c r="G87" s="1"/>
  <c r="G979" i="3"/>
  <c r="G978" s="1"/>
  <c r="G252" i="1"/>
  <c r="G251" s="1"/>
  <c r="K966" i="3"/>
  <c r="J966"/>
  <c r="G966"/>
  <c r="G965" s="1"/>
  <c r="G255" i="1"/>
  <c r="G254" s="1"/>
  <c r="K963" i="3"/>
  <c r="J963"/>
  <c r="G963"/>
  <c r="G962" s="1"/>
  <c r="G85" i="1"/>
  <c r="G84" s="1"/>
  <c r="G204" i="3" l="1"/>
  <c r="I1054" i="1" l="1"/>
  <c r="H1054"/>
  <c r="G1054"/>
  <c r="I1683"/>
  <c r="I1682" s="1"/>
  <c r="I1681" s="1"/>
  <c r="H1683"/>
  <c r="H1682" s="1"/>
  <c r="H1681" s="1"/>
  <c r="G1683"/>
  <c r="G1682" s="1"/>
  <c r="G1681" s="1"/>
  <c r="I536" i="3"/>
  <c r="I535" s="1"/>
  <c r="H536"/>
  <c r="H535" s="1"/>
  <c r="G536"/>
  <c r="G535" s="1"/>
  <c r="G844" i="1"/>
  <c r="G843" s="1"/>
  <c r="I844"/>
  <c r="I843" s="1"/>
  <c r="H844"/>
  <c r="H843" s="1"/>
  <c r="G1894"/>
  <c r="I435" i="3"/>
  <c r="H435"/>
  <c r="G435"/>
  <c r="I592" i="1"/>
  <c r="H592"/>
  <c r="G592"/>
  <c r="J1543" i="3" l="1"/>
  <c r="K1543"/>
  <c r="M1543"/>
  <c r="N1543"/>
  <c r="O1543"/>
  <c r="G818" i="1" l="1"/>
  <c r="K874" i="3" l="1"/>
  <c r="J874"/>
  <c r="I874"/>
  <c r="I873" s="1"/>
  <c r="H874"/>
  <c r="H873" s="1"/>
  <c r="G874"/>
  <c r="G873" s="1"/>
  <c r="I49" i="1"/>
  <c r="I48" s="1"/>
  <c r="H49"/>
  <c r="H48" s="1"/>
  <c r="G49"/>
  <c r="G48" s="1"/>
  <c r="G1125" i="3" l="1"/>
  <c r="I204" l="1"/>
  <c r="I203" s="1"/>
  <c r="I202" s="1"/>
  <c r="I1810" i="1"/>
  <c r="I1809" s="1"/>
  <c r="H275" i="3"/>
  <c r="H274" s="1"/>
  <c r="H203"/>
  <c r="H202" s="1"/>
  <c r="G203"/>
  <c r="G202" s="1"/>
  <c r="H1810" i="1"/>
  <c r="H1809" s="1"/>
  <c r="G1810"/>
  <c r="G1809" s="1"/>
  <c r="I238" i="3"/>
  <c r="H238"/>
  <c r="I1873" i="1"/>
  <c r="H1873" l="1"/>
  <c r="I275" i="3"/>
  <c r="I274" s="1"/>
  <c r="G693"/>
  <c r="H122" i="1"/>
  <c r="I507" i="3"/>
  <c r="H507"/>
  <c r="G515"/>
  <c r="I1065"/>
  <c r="I1064" s="1"/>
  <c r="H1065"/>
  <c r="H1064" s="1"/>
  <c r="H466" i="1"/>
  <c r="I466"/>
  <c r="I1040" i="3"/>
  <c r="I1036" s="1"/>
  <c r="H1040"/>
  <c r="H1036" s="1"/>
  <c r="G1040"/>
  <c r="G1036" s="1"/>
  <c r="I546" l="1"/>
  <c r="H546"/>
  <c r="G459" l="1"/>
  <c r="G458" s="1"/>
  <c r="G457" s="1"/>
  <c r="G445"/>
  <c r="H121" i="1" l="1"/>
  <c r="G124"/>
  <c r="I683" i="3"/>
  <c r="H683"/>
  <c r="G683"/>
  <c r="I23" i="1"/>
  <c r="H23"/>
  <c r="G23"/>
  <c r="I347"/>
  <c r="G872" i="3"/>
  <c r="H347" i="1"/>
  <c r="I929" i="3" l="1"/>
  <c r="I928" s="1"/>
  <c r="I927" s="1"/>
  <c r="H929"/>
  <c r="H928" s="1"/>
  <c r="H927" s="1"/>
  <c r="G929"/>
  <c r="G928" s="1"/>
  <c r="G927" s="1"/>
  <c r="I923"/>
  <c r="I922" s="1"/>
  <c r="I921" s="1"/>
  <c r="H923"/>
  <c r="H922" s="1"/>
  <c r="H921" s="1"/>
  <c r="I1210" i="1"/>
  <c r="I1209" s="1"/>
  <c r="H1210"/>
  <c r="H1209" s="1"/>
  <c r="G1210"/>
  <c r="G1209" s="1"/>
  <c r="G1214"/>
  <c r="G1213" s="1"/>
  <c r="H1214"/>
  <c r="H1213" s="1"/>
  <c r="I1214"/>
  <c r="I1213" s="1"/>
  <c r="G923" i="3"/>
  <c r="I33"/>
  <c r="H33"/>
  <c r="G55"/>
  <c r="I87" l="1"/>
  <c r="H87"/>
  <c r="H1053" i="1" l="1"/>
  <c r="I1053"/>
  <c r="G1053"/>
  <c r="G38" i="3"/>
  <c r="G1186" i="1"/>
  <c r="H560"/>
  <c r="H71"/>
  <c r="G1157"/>
  <c r="G822"/>
  <c r="G817" s="1"/>
  <c r="G216"/>
  <c r="G1377" i="3" l="1"/>
  <c r="G626"/>
  <c r="H431"/>
  <c r="I431"/>
  <c r="G1883" i="1" l="1"/>
  <c r="G1882" s="1"/>
  <c r="H1883"/>
  <c r="H1882" s="1"/>
  <c r="I1883"/>
  <c r="I1882" s="1"/>
  <c r="G1839"/>
  <c r="G1838" s="1"/>
  <c r="H1248"/>
  <c r="I1248"/>
  <c r="H1200"/>
  <c r="I1200"/>
  <c r="G1200"/>
  <c r="H1140"/>
  <c r="I1140"/>
  <c r="G1140"/>
  <c r="G260" i="3" l="1"/>
  <c r="G259" s="1"/>
  <c r="G258" s="1"/>
  <c r="G1858" i="1"/>
  <c r="G1857" s="1"/>
  <c r="G230" i="3"/>
  <c r="G229" s="1"/>
  <c r="G228" s="1"/>
  <c r="G1834" i="1"/>
  <c r="G1833" s="1"/>
  <c r="G87" i="3" l="1"/>
  <c r="G1424" i="1"/>
  <c r="G374"/>
  <c r="G1680"/>
  <c r="G959" i="3"/>
  <c r="G958" s="1"/>
  <c r="G961"/>
  <c r="G183" i="1"/>
  <c r="I554" l="1"/>
  <c r="I347" i="3" s="1"/>
  <c r="H554" i="1"/>
  <c r="H347" i="3" s="1"/>
  <c r="H488"/>
  <c r="I488"/>
  <c r="G948"/>
  <c r="G1484"/>
  <c r="G1471"/>
  <c r="G1383"/>
  <c r="I1383"/>
  <c r="H1383"/>
  <c r="G953"/>
  <c r="G956"/>
  <c r="G488" l="1"/>
  <c r="G487" s="1"/>
  <c r="G486" s="1"/>
  <c r="I487"/>
  <c r="I486" s="1"/>
  <c r="H487"/>
  <c r="H486" s="1"/>
  <c r="G1374"/>
  <c r="G1373" s="1"/>
  <c r="G1987" i="1"/>
  <c r="G1986" s="1"/>
  <c r="G1926"/>
  <c r="G1925" s="1"/>
  <c r="G149" i="3"/>
  <c r="G148" s="1"/>
  <c r="G1423" i="1"/>
  <c r="G1376" i="3"/>
  <c r="G1375" s="1"/>
  <c r="G1287" i="1"/>
  <c r="G1286" s="1"/>
  <c r="G609" i="3"/>
  <c r="G608" s="1"/>
  <c r="G607" s="1"/>
  <c r="I609"/>
  <c r="H609"/>
  <c r="I607"/>
  <c r="H607"/>
  <c r="G918" i="1"/>
  <c r="G482" i="3"/>
  <c r="G481" s="1"/>
  <c r="G480" s="1"/>
  <c r="I481"/>
  <c r="I480" s="1"/>
  <c r="H481"/>
  <c r="H480" s="1"/>
  <c r="I815" i="1"/>
  <c r="I814" s="1"/>
  <c r="H815"/>
  <c r="H814" s="1"/>
  <c r="G815"/>
  <c r="G814" s="1"/>
  <c r="G507" i="3"/>
  <c r="G506" s="1"/>
  <c r="G505" s="1"/>
  <c r="I506"/>
  <c r="I505" s="1"/>
  <c r="H506"/>
  <c r="H505" s="1"/>
  <c r="H636" i="1"/>
  <c r="H635" s="1"/>
  <c r="H634" s="1"/>
  <c r="I636"/>
  <c r="I635" s="1"/>
  <c r="I634" s="1"/>
  <c r="G636"/>
  <c r="G635" s="1"/>
  <c r="G634" s="1"/>
  <c r="G347" i="3"/>
  <c r="G346" s="1"/>
  <c r="L346"/>
  <c r="M346" s="1"/>
  <c r="I346"/>
  <c r="I345" s="1"/>
  <c r="H346"/>
  <c r="H345" s="1"/>
  <c r="I553" i="1"/>
  <c r="H553"/>
  <c r="G554"/>
  <c r="G553" s="1"/>
  <c r="G1065" i="3"/>
  <c r="G1064" s="1"/>
  <c r="G466" i="1"/>
  <c r="G345" i="3" l="1"/>
  <c r="G340"/>
  <c r="G333" s="1"/>
  <c r="G1372"/>
  <c r="I669"/>
  <c r="I668" s="1"/>
  <c r="H669"/>
  <c r="H668" s="1"/>
  <c r="G669"/>
  <c r="G668" s="1"/>
  <c r="I2025" i="1"/>
  <c r="I2024" s="1"/>
  <c r="H2025"/>
  <c r="H2024" s="1"/>
  <c r="G2025"/>
  <c r="G2024" s="1"/>
  <c r="G2028"/>
  <c r="G2027" s="1"/>
  <c r="H2028"/>
  <c r="H2027" s="1"/>
  <c r="I2028"/>
  <c r="I2027" s="1"/>
  <c r="I2023" l="1"/>
  <c r="G2023"/>
  <c r="H2023"/>
  <c r="G1248" i="3"/>
  <c r="G1247" s="1"/>
  <c r="G1246" s="1"/>
  <c r="G1487"/>
  <c r="G275"/>
  <c r="G2033" i="1" l="1"/>
  <c r="G2032" s="1"/>
  <c r="G145" i="3"/>
  <c r="G147"/>
  <c r="G146" s="1"/>
  <c r="I1421" i="1"/>
  <c r="H1421"/>
  <c r="G1421"/>
  <c r="I457"/>
  <c r="I456" s="1"/>
  <c r="I455" s="1"/>
  <c r="I454" s="1"/>
  <c r="I453" s="1"/>
  <c r="I443" s="1"/>
  <c r="I442" s="1"/>
  <c r="I441" s="1"/>
  <c r="H457"/>
  <c r="H456" s="1"/>
  <c r="H455" s="1"/>
  <c r="H454" s="1"/>
  <c r="H453" s="1"/>
  <c r="H443" s="1"/>
  <c r="H442" s="1"/>
  <c r="H441" s="1"/>
  <c r="G750"/>
  <c r="G749" s="1"/>
  <c r="G1482" i="3"/>
  <c r="G1481" s="1"/>
  <c r="G1480" s="1"/>
  <c r="I1481"/>
  <c r="I1480" s="1"/>
  <c r="H1481"/>
  <c r="H1480" s="1"/>
  <c r="H838" i="1" l="1"/>
  <c r="H837" s="1"/>
  <c r="I838"/>
  <c r="I837" s="1"/>
  <c r="G838"/>
  <c r="G837" s="1"/>
  <c r="G1486" i="3" l="1"/>
  <c r="G1483" s="1"/>
  <c r="G458" i="1"/>
  <c r="G457" s="1"/>
  <c r="G456" s="1"/>
  <c r="G455" s="1"/>
  <c r="G238" i="3"/>
  <c r="G1099"/>
  <c r="G1098" s="1"/>
  <c r="G1097" s="1"/>
  <c r="G1299" i="1"/>
  <c r="G1302"/>
  <c r="G473" i="3"/>
  <c r="G471"/>
  <c r="G470"/>
  <c r="G591"/>
  <c r="G590" s="1"/>
  <c r="G589" s="1"/>
  <c r="I590"/>
  <c r="I589" s="1"/>
  <c r="H590"/>
  <c r="H589" s="1"/>
  <c r="I720" i="1"/>
  <c r="I719" s="1"/>
  <c r="H720"/>
  <c r="H719" s="1"/>
  <c r="G720"/>
  <c r="G719" s="1"/>
  <c r="G552" i="3"/>
  <c r="G551" s="1"/>
  <c r="G550" s="1"/>
  <c r="I681" i="1"/>
  <c r="I680" s="1"/>
  <c r="H681"/>
  <c r="H680" s="1"/>
  <c r="G681"/>
  <c r="G680" s="1"/>
  <c r="I551" i="3"/>
  <c r="I550" s="1"/>
  <c r="H551"/>
  <c r="H550" s="1"/>
  <c r="I675" i="1"/>
  <c r="I674" s="1"/>
  <c r="H675"/>
  <c r="H674" s="1"/>
  <c r="G675"/>
  <c r="G674" s="1"/>
  <c r="G369" i="3"/>
  <c r="G368" s="1"/>
  <c r="G367" s="1"/>
  <c r="I809" i="1"/>
  <c r="I808" s="1"/>
  <c r="H809"/>
  <c r="H808" s="1"/>
  <c r="G809"/>
  <c r="G808" s="1"/>
  <c r="G469" i="3"/>
  <c r="H368" i="1"/>
  <c r="I368"/>
  <c r="H818"/>
  <c r="I818"/>
  <c r="H822"/>
  <c r="I822"/>
  <c r="G548" i="3" l="1"/>
  <c r="G547" s="1"/>
  <c r="I817" i="1"/>
  <c r="H817"/>
  <c r="G472" i="3"/>
  <c r="G468"/>
  <c r="G467" l="1"/>
  <c r="G689"/>
  <c r="G1223"/>
  <c r="G705"/>
  <c r="I1249"/>
  <c r="G1252"/>
  <c r="I2044" i="1"/>
  <c r="I2031" s="1"/>
  <c r="G2047"/>
  <c r="G1199" i="3"/>
  <c r="G1198" s="1"/>
  <c r="G1197" s="1"/>
  <c r="G1971" i="1"/>
  <c r="G1220" i="3" s="1"/>
  <c r="I1198"/>
  <c r="I1197" s="1"/>
  <c r="H1198"/>
  <c r="H1197" s="1"/>
  <c r="I1979" i="1"/>
  <c r="I1978" s="1"/>
  <c r="H1979"/>
  <c r="H1978" s="1"/>
  <c r="G251" i="3"/>
  <c r="G1248" i="1" l="1"/>
  <c r="G1979"/>
  <c r="G1978" s="1"/>
  <c r="H1467" i="3"/>
  <c r="I1467"/>
  <c r="G1467"/>
  <c r="I1226"/>
  <c r="G1226"/>
  <c r="G1257"/>
  <c r="G1256" s="1"/>
  <c r="G1255" s="1"/>
  <c r="G1254" s="1"/>
  <c r="H1011"/>
  <c r="I1011"/>
  <c r="G1011"/>
  <c r="G771"/>
  <c r="G602"/>
  <c r="G450"/>
  <c r="G601" l="1"/>
  <c r="G600" s="1"/>
  <c r="G1489"/>
  <c r="G274"/>
  <c r="I272"/>
  <c r="I271" s="1"/>
  <c r="I264" s="1"/>
  <c r="H272"/>
  <c r="H271" s="1"/>
  <c r="H264" s="1"/>
  <c r="G272"/>
  <c r="G269"/>
  <c r="G268" s="1"/>
  <c r="G266"/>
  <c r="G265" s="1"/>
  <c r="I931"/>
  <c r="I930" s="1"/>
  <c r="H931"/>
  <c r="H930" s="1"/>
  <c r="G931"/>
  <c r="G930" s="1"/>
  <c r="H61" i="1"/>
  <c r="H60" s="1"/>
  <c r="I60"/>
  <c r="G61"/>
  <c r="G60" s="1"/>
  <c r="I926" i="3"/>
  <c r="I925" s="1"/>
  <c r="I924" s="1"/>
  <c r="H925"/>
  <c r="H924" s="1"/>
  <c r="G925"/>
  <c r="G924" s="1"/>
  <c r="H55" i="1"/>
  <c r="H54" s="1"/>
  <c r="I55"/>
  <c r="I54" s="1"/>
  <c r="G55"/>
  <c r="G54" s="1"/>
  <c r="G271" i="3" l="1"/>
  <c r="G264" s="1"/>
  <c r="I2030" i="1"/>
  <c r="H43" i="2" s="1"/>
  <c r="G2050" i="1"/>
  <c r="G2049" s="1"/>
  <c r="I1301"/>
  <c r="H1301"/>
  <c r="G1301"/>
  <c r="G1298" s="1"/>
  <c r="G1291"/>
  <c r="G1290" s="1"/>
  <c r="G1289" s="1"/>
  <c r="G1010" i="3"/>
  <c r="G1009" s="1"/>
  <c r="I1010"/>
  <c r="I1009" s="1"/>
  <c r="H1010"/>
  <c r="H1009" s="1"/>
  <c r="I498" i="1"/>
  <c r="I497" s="1"/>
  <c r="H498"/>
  <c r="H497" s="1"/>
  <c r="G498"/>
  <c r="G497" s="1"/>
  <c r="H1014" i="3"/>
  <c r="I1014"/>
  <c r="G1014"/>
  <c r="G1013" s="1"/>
  <c r="G1012" s="1"/>
  <c r="G366" i="1"/>
  <c r="G485" i="3"/>
  <c r="I484"/>
  <c r="I483" s="1"/>
  <c r="H484"/>
  <c r="H483" s="1"/>
  <c r="I614" i="1"/>
  <c r="I613" s="1"/>
  <c r="H614"/>
  <c r="H613" s="1"/>
  <c r="G614"/>
  <c r="G613" s="1"/>
  <c r="G2088"/>
  <c r="G1344" i="3"/>
  <c r="G1343" s="1"/>
  <c r="G1342" s="1"/>
  <c r="I1343"/>
  <c r="I1342" s="1"/>
  <c r="H1343"/>
  <c r="H1342" s="1"/>
  <c r="I856" i="1"/>
  <c r="I855" s="1"/>
  <c r="I854" s="1"/>
  <c r="H856"/>
  <c r="H855" s="1"/>
  <c r="H854" s="1"/>
  <c r="G856"/>
  <c r="G855" s="1"/>
  <c r="G854" s="1"/>
  <c r="H2045"/>
  <c r="H2044" s="1"/>
  <c r="H2031" s="1"/>
  <c r="H1963"/>
  <c r="H1226" i="3" s="1"/>
  <c r="I1251"/>
  <c r="G1251"/>
  <c r="G1250" s="1"/>
  <c r="G1249" s="1"/>
  <c r="H1960" i="1"/>
  <c r="G2045"/>
  <c r="G2044" s="1"/>
  <c r="H938" i="3"/>
  <c r="I944"/>
  <c r="H944"/>
  <c r="H881"/>
  <c r="H880" s="1"/>
  <c r="H879" s="1"/>
  <c r="I880"/>
  <c r="I879" s="1"/>
  <c r="G880"/>
  <c r="G879" s="1"/>
  <c r="I156" i="1"/>
  <c r="I155" s="1"/>
  <c r="H156"/>
  <c r="H155" s="1"/>
  <c r="G156"/>
  <c r="I118"/>
  <c r="I117" s="1"/>
  <c r="H118"/>
  <c r="H117" s="1"/>
  <c r="G118"/>
  <c r="G117" s="1"/>
  <c r="H378"/>
  <c r="H377" s="1"/>
  <c r="I378"/>
  <c r="I377" s="1"/>
  <c r="G378"/>
  <c r="G377" s="1"/>
  <c r="G256" i="3"/>
  <c r="G255" s="1"/>
  <c r="I115" i="1"/>
  <c r="I114" s="1"/>
  <c r="H115"/>
  <c r="H114" s="1"/>
  <c r="G115"/>
  <c r="G114" s="1"/>
  <c r="G606" i="3"/>
  <c r="G1868" i="1"/>
  <c r="G1867" s="1"/>
  <c r="I351"/>
  <c r="H351"/>
  <c r="G351"/>
  <c r="G922" i="3"/>
  <c r="G921" s="1"/>
  <c r="H113" i="1" l="1"/>
  <c r="H2030"/>
  <c r="G43" i="2" s="1"/>
  <c r="H1251" i="3"/>
  <c r="H1250" s="1"/>
  <c r="H1249" s="1"/>
  <c r="G484"/>
  <c r="G483" s="1"/>
  <c r="G113" i="1"/>
  <c r="G112" s="1"/>
  <c r="I113"/>
  <c r="H376"/>
  <c r="H375" s="1"/>
  <c r="G61" i="2" s="1"/>
  <c r="I376" i="1"/>
  <c r="I375" s="1"/>
  <c r="H61" i="2" s="1"/>
  <c r="G376" i="1"/>
  <c r="G375" s="1"/>
  <c r="F61" i="2" s="1"/>
  <c r="I112" i="1"/>
  <c r="H112"/>
  <c r="G755" i="3" l="1"/>
  <c r="G738"/>
  <c r="I1188" i="1" l="1"/>
  <c r="H1188"/>
  <c r="G37" i="3"/>
  <c r="G34" s="1"/>
  <c r="I699"/>
  <c r="I698" s="1"/>
  <c r="I697" s="1"/>
  <c r="H699"/>
  <c r="H698" s="1"/>
  <c r="H697" s="1"/>
  <c r="G699"/>
  <c r="G698" s="1"/>
  <c r="G697" s="1"/>
  <c r="I1880" i="1"/>
  <c r="I1879" s="1"/>
  <c r="H1880"/>
  <c r="H1879" s="1"/>
  <c r="G1880"/>
  <c r="G1879" s="1"/>
  <c r="G770" i="3"/>
  <c r="G769"/>
  <c r="G58" i="1"/>
  <c r="G57"/>
  <c r="G253" i="3"/>
  <c r="G252" s="1"/>
  <c r="G1865" i="1"/>
  <c r="G1864" s="1"/>
  <c r="I545" i="3"/>
  <c r="I544" s="1"/>
  <c r="I504" s="1"/>
  <c r="H545"/>
  <c r="H544" s="1"/>
  <c r="H504" s="1"/>
  <c r="G545"/>
  <c r="G544" s="1"/>
  <c r="I678" i="1"/>
  <c r="I677" s="1"/>
  <c r="H678"/>
  <c r="H677" s="1"/>
  <c r="G678"/>
  <c r="G677" s="1"/>
  <c r="I447" i="3"/>
  <c r="I446" s="1"/>
  <c r="H447"/>
  <c r="H446" s="1"/>
  <c r="G447"/>
  <c r="G446" s="1"/>
  <c r="I1014" i="1"/>
  <c r="I1013" s="1"/>
  <c r="H1014"/>
  <c r="H1013" s="1"/>
  <c r="G1014"/>
  <c r="G1013" s="1"/>
  <c r="G2037"/>
  <c r="I631" i="3"/>
  <c r="I630" s="1"/>
  <c r="I603" s="1"/>
  <c r="H631"/>
  <c r="H630" s="1"/>
  <c r="H603" s="1"/>
  <c r="G631"/>
  <c r="G630" s="1"/>
  <c r="G603" s="1"/>
  <c r="I928" i="1"/>
  <c r="I927" s="1"/>
  <c r="H928"/>
  <c r="H927" s="1"/>
  <c r="G928"/>
  <c r="G927" s="1"/>
  <c r="G1251"/>
  <c r="G1250" s="1"/>
  <c r="I305" i="3"/>
  <c r="I304" s="1"/>
  <c r="H305"/>
  <c r="H304" s="1"/>
  <c r="G305"/>
  <c r="G304" s="1"/>
  <c r="G292" s="1"/>
  <c r="G291" s="1"/>
  <c r="I71" i="1"/>
  <c r="I70" s="1"/>
  <c r="I69" s="1"/>
  <c r="H70"/>
  <c r="H69" s="1"/>
  <c r="G71"/>
  <c r="G70" s="1"/>
  <c r="I749" i="3"/>
  <c r="I748" s="1"/>
  <c r="H749"/>
  <c r="H748" s="1"/>
  <c r="G749"/>
  <c r="G748" s="1"/>
  <c r="I2097" i="1"/>
  <c r="I2096" s="1"/>
  <c r="H2097"/>
  <c r="H2096" s="1"/>
  <c r="G2097"/>
  <c r="G2096" s="1"/>
  <c r="G737" i="3"/>
  <c r="G2082" i="1"/>
  <c r="G736" i="3"/>
  <c r="I754"/>
  <c r="H754"/>
  <c r="G754"/>
  <c r="I2100" i="1"/>
  <c r="I2099" s="1"/>
  <c r="H2100"/>
  <c r="H2099" s="1"/>
  <c r="G2100"/>
  <c r="G2099" s="1"/>
  <c r="G747" i="3"/>
  <c r="G741"/>
  <c r="I326"/>
  <c r="I325" s="1"/>
  <c r="H326"/>
  <c r="H325" s="1"/>
  <c r="G326"/>
  <c r="G325" s="1"/>
  <c r="I1923" i="1"/>
  <c r="I1922" s="1"/>
  <c r="H1923"/>
  <c r="H1922" s="1"/>
  <c r="G1923"/>
  <c r="G1922" s="1"/>
  <c r="I86" i="3"/>
  <c r="I85" s="1"/>
  <c r="H86"/>
  <c r="H85" s="1"/>
  <c r="G86"/>
  <c r="G85" s="1"/>
  <c r="G430" i="1"/>
  <c r="G429" s="1"/>
  <c r="I430"/>
  <c r="I429" s="1"/>
  <c r="H430"/>
  <c r="H429" s="1"/>
  <c r="G950" i="3"/>
  <c r="G949" s="1"/>
  <c r="G174" i="1"/>
  <c r="I960" i="3"/>
  <c r="I957" s="1"/>
  <c r="H960"/>
  <c r="H957" s="1"/>
  <c r="G960"/>
  <c r="G957" s="1"/>
  <c r="I188" i="1"/>
  <c r="I182" s="1"/>
  <c r="H188"/>
  <c r="H182" s="1"/>
  <c r="G188"/>
  <c r="G182" s="1"/>
  <c r="I955" i="3"/>
  <c r="H955"/>
  <c r="G955"/>
  <c r="G954" s="1"/>
  <c r="I180" i="1"/>
  <c r="H180"/>
  <c r="G180"/>
  <c r="G179" s="1"/>
  <c r="I952" i="3"/>
  <c r="H952"/>
  <c r="G952"/>
  <c r="G951" s="1"/>
  <c r="I177" i="1"/>
  <c r="H177"/>
  <c r="G177"/>
  <c r="G176" s="1"/>
  <c r="I947" i="3"/>
  <c r="H947"/>
  <c r="G947"/>
  <c r="I945"/>
  <c r="H945"/>
  <c r="G172" i="1"/>
  <c r="H170"/>
  <c r="I170"/>
  <c r="H172"/>
  <c r="I172"/>
  <c r="H206"/>
  <c r="H205" s="1"/>
  <c r="I206"/>
  <c r="I205" s="1"/>
  <c r="G69" l="1"/>
  <c r="G104"/>
  <c r="G103" s="1"/>
  <c r="G99" s="1"/>
  <c r="G171"/>
  <c r="G170" s="1"/>
  <c r="G206"/>
  <c r="G205" s="1"/>
  <c r="G1188"/>
  <c r="G1185" s="1"/>
  <c r="G2036"/>
  <c r="G2035" s="1"/>
  <c r="G946" i="3"/>
  <c r="G945" s="1"/>
  <c r="G1873" i="1"/>
  <c r="G1872"/>
  <c r="G331" l="1"/>
  <c r="G1371" i="3"/>
  <c r="I83"/>
  <c r="H83"/>
  <c r="G83"/>
  <c r="G82" s="1"/>
  <c r="I427" i="1"/>
  <c r="H427"/>
  <c r="G427"/>
  <c r="G426" s="1"/>
  <c r="I80" i="3"/>
  <c r="H80"/>
  <c r="G80"/>
  <c r="G79" s="1"/>
  <c r="I424" i="1"/>
  <c r="H424"/>
  <c r="G424"/>
  <c r="G423" s="1"/>
  <c r="I77" i="3"/>
  <c r="H77"/>
  <c r="G77"/>
  <c r="G76" s="1"/>
  <c r="I421" i="1"/>
  <c r="H421"/>
  <c r="G421"/>
  <c r="G420" s="1"/>
  <c r="I450" i="3" l="1"/>
  <c r="H450"/>
  <c r="G431"/>
  <c r="G430" s="1"/>
  <c r="G429" s="1"/>
  <c r="I628"/>
  <c r="I627" s="1"/>
  <c r="H628"/>
  <c r="H627" s="1"/>
  <c r="G628"/>
  <c r="G627" s="1"/>
  <c r="G1470"/>
  <c r="G1477"/>
  <c r="H1477"/>
  <c r="H1476" s="1"/>
  <c r="I1477"/>
  <c r="I1476" s="1"/>
  <c r="I752"/>
  <c r="I751" s="1"/>
  <c r="H752"/>
  <c r="H751" s="1"/>
  <c r="G752"/>
  <c r="G751" s="1"/>
  <c r="G744"/>
  <c r="G743" s="1"/>
  <c r="G742" s="1"/>
  <c r="I740"/>
  <c r="I739" s="1"/>
  <c r="H740"/>
  <c r="H739" s="1"/>
  <c r="G740"/>
  <c r="G739" s="1"/>
  <c r="G733"/>
  <c r="I495" i="1"/>
  <c r="H495"/>
  <c r="G1462" i="3"/>
  <c r="I2085" i="1"/>
  <c r="I2084" s="1"/>
  <c r="H2085"/>
  <c r="H2084" s="1"/>
  <c r="G2085"/>
  <c r="G2084" s="1"/>
  <c r="G2087"/>
  <c r="I735" i="3"/>
  <c r="I734" s="1"/>
  <c r="H735"/>
  <c r="H734" s="1"/>
  <c r="G735"/>
  <c r="G734" s="1"/>
  <c r="I2080" i="1"/>
  <c r="I2079" s="1"/>
  <c r="H2080"/>
  <c r="H2079" s="1"/>
  <c r="G2080"/>
  <c r="G2079" s="1"/>
  <c r="I743" i="3"/>
  <c r="I742" s="1"/>
  <c r="H743"/>
  <c r="H742" s="1"/>
  <c r="G746"/>
  <c r="G745" s="1"/>
  <c r="H746"/>
  <c r="H745" s="1"/>
  <c r="I746"/>
  <c r="I745" s="1"/>
  <c r="I2091" i="1"/>
  <c r="I2090" s="1"/>
  <c r="H2091"/>
  <c r="H2090" s="1"/>
  <c r="G2091"/>
  <c r="G2090" s="1"/>
  <c r="I2094"/>
  <c r="I2093" s="1"/>
  <c r="H2094"/>
  <c r="H2093" s="1"/>
  <c r="G2094"/>
  <c r="G2093" s="1"/>
  <c r="G701" i="3" l="1"/>
  <c r="G1476"/>
  <c r="I2087" i="1"/>
  <c r="H2087"/>
  <c r="G1468" i="3"/>
  <c r="I611" i="1"/>
  <c r="I610" s="1"/>
  <c r="H611"/>
  <c r="H610" s="1"/>
  <c r="G611"/>
  <c r="G610" s="1"/>
  <c r="I748"/>
  <c r="I747" s="1"/>
  <c r="H748"/>
  <c r="H747" s="1"/>
  <c r="G747"/>
  <c r="G746" s="1"/>
  <c r="G745" s="1"/>
  <c r="I449" i="3"/>
  <c r="H449"/>
  <c r="G449"/>
  <c r="G495" i="1"/>
  <c r="I600" i="3"/>
  <c r="H600"/>
  <c r="I539" i="1"/>
  <c r="H539"/>
  <c r="G400"/>
  <c r="G369"/>
  <c r="G368" s="1"/>
  <c r="G878" i="3"/>
  <c r="G876" s="1"/>
  <c r="G219" i="1"/>
  <c r="G218"/>
  <c r="G52"/>
  <c r="G51"/>
  <c r="G877" i="3" l="1"/>
  <c r="G234"/>
  <c r="G241"/>
  <c r="G245"/>
  <c r="G227"/>
  <c r="G215"/>
  <c r="G214" s="1"/>
  <c r="G213" s="1"/>
  <c r="G1819" i="1"/>
  <c r="G1818" s="1"/>
  <c r="G919" i="3"/>
  <c r="G918" s="1"/>
  <c r="G153" i="1"/>
  <c r="G152" s="1"/>
  <c r="G150"/>
  <c r="G149" s="1"/>
  <c r="H1871"/>
  <c r="H1870" s="1"/>
  <c r="H1863" s="1"/>
  <c r="G1871"/>
  <c r="G1870" s="1"/>
  <c r="G1863" s="1"/>
  <c r="G917" i="3" l="1"/>
  <c r="G916" s="1"/>
  <c r="G915" s="1"/>
  <c r="I1871" i="1"/>
  <c r="I1870" s="1"/>
  <c r="I1863" s="1"/>
  <c r="G1235" i="3" l="1"/>
  <c r="G1234" s="1"/>
  <c r="G1233" s="1"/>
  <c r="G1976" i="1"/>
  <c r="G1975" s="1"/>
  <c r="G1050" i="3"/>
  <c r="G1049" s="1"/>
  <c r="G1048" s="1"/>
  <c r="G1101"/>
  <c r="G1100" s="1"/>
  <c r="G233"/>
  <c r="I144"/>
  <c r="I143" s="1"/>
  <c r="H144"/>
  <c r="H143" s="1"/>
  <c r="G144"/>
  <c r="G143" s="1"/>
  <c r="I1419" i="1"/>
  <c r="I1418" s="1"/>
  <c r="H1419"/>
  <c r="H1418" s="1"/>
  <c r="G1419"/>
  <c r="G1418" s="1"/>
  <c r="I852"/>
  <c r="H852"/>
  <c r="G852"/>
  <c r="G851" s="1"/>
  <c r="I1213" i="3"/>
  <c r="I1212" s="1"/>
  <c r="H1213"/>
  <c r="H1212" s="1"/>
  <c r="G1213"/>
  <c r="G1212" s="1"/>
  <c r="I1913" i="1"/>
  <c r="I1912" s="1"/>
  <c r="H1913"/>
  <c r="H1912" s="1"/>
  <c r="G1913"/>
  <c r="G1912" s="1"/>
  <c r="I1231" i="3"/>
  <c r="I1230" s="1"/>
  <c r="H1231"/>
  <c r="H1230" s="1"/>
  <c r="G1231"/>
  <c r="G1230" s="1"/>
  <c r="I1967" i="1"/>
  <c r="I1966" s="1"/>
  <c r="H1967"/>
  <c r="H1966" s="1"/>
  <c r="G1967"/>
  <c r="G1966" s="1"/>
  <c r="G2188" s="1"/>
  <c r="G2187" s="1"/>
  <c r="G2186" s="1"/>
  <c r="G704" i="3"/>
  <c r="G702" s="1"/>
  <c r="G2062" i="1"/>
  <c r="G2061" s="1"/>
  <c r="G2031" s="1"/>
  <c r="I925"/>
  <c r="I924" s="1"/>
  <c r="H925"/>
  <c r="H924" s="1"/>
  <c r="G925"/>
  <c r="G924" s="1"/>
  <c r="G1855"/>
  <c r="G1854" s="1"/>
  <c r="G250" i="3"/>
  <c r="G249" s="1"/>
  <c r="G217"/>
  <c r="G216" s="1"/>
  <c r="G1822" i="1"/>
  <c r="G1821" s="1"/>
  <c r="G2030" l="1"/>
  <c r="F43" i="2" s="1"/>
  <c r="G1335" i="1"/>
  <c r="G1334" s="1"/>
  <c r="G1267"/>
  <c r="G1266" s="1"/>
  <c r="G850"/>
  <c r="G226" i="3" l="1"/>
  <c r="G222"/>
  <c r="G1831" i="1"/>
  <c r="G1827"/>
  <c r="G244" i="3"/>
  <c r="G240"/>
  <c r="G1849" i="1"/>
  <c r="G1845"/>
  <c r="G1844" l="1"/>
  <c r="G1826"/>
  <c r="G239" i="3"/>
  <c r="G221"/>
  <c r="I323"/>
  <c r="I318" s="1"/>
  <c r="I316"/>
  <c r="I313" s="1"/>
  <c r="H323"/>
  <c r="H318" s="1"/>
  <c r="G323"/>
  <c r="G318" s="1"/>
  <c r="I1920" i="1"/>
  <c r="I1919" s="1"/>
  <c r="H1920"/>
  <c r="H1919" s="1"/>
  <c r="G1920"/>
  <c r="G1919" s="1"/>
  <c r="H316" i="3"/>
  <c r="H313" s="1"/>
  <c r="G316"/>
  <c r="G313" s="1"/>
  <c r="I1917" i="1"/>
  <c r="I1916" s="1"/>
  <c r="H1917"/>
  <c r="H1916" s="1"/>
  <c r="G1917"/>
  <c r="G1916" s="1"/>
  <c r="G1915" l="1"/>
  <c r="H1915"/>
  <c r="I1915"/>
  <c r="H1673"/>
  <c r="H120" i="3" s="1"/>
  <c r="H119" s="1"/>
  <c r="H118" s="1"/>
  <c r="H100" s="1"/>
  <c r="I1673" i="1"/>
  <c r="I1672" s="1"/>
  <c r="H123" i="3"/>
  <c r="H122" s="1"/>
  <c r="H121" s="1"/>
  <c r="I123"/>
  <c r="I122" s="1"/>
  <c r="I121" s="1"/>
  <c r="G123"/>
  <c r="H1676" i="1"/>
  <c r="H1675" s="1"/>
  <c r="I1676"/>
  <c r="I1675" s="1"/>
  <c r="K943" i="3"/>
  <c r="J943"/>
  <c r="I943"/>
  <c r="I942" s="1"/>
  <c r="H943"/>
  <c r="H942" s="1"/>
  <c r="G943"/>
  <c r="G942" s="1"/>
  <c r="H941"/>
  <c r="I246" i="1"/>
  <c r="I245" s="1"/>
  <c r="H246"/>
  <c r="H245" s="1"/>
  <c r="G246"/>
  <c r="G245" s="1"/>
  <c r="I937" i="3"/>
  <c r="I936" s="1"/>
  <c r="H937"/>
  <c r="H936" s="1"/>
  <c r="G937"/>
  <c r="G936" s="1"/>
  <c r="H227" i="1"/>
  <c r="H226" s="1"/>
  <c r="I227"/>
  <c r="I226" s="1"/>
  <c r="G227"/>
  <c r="G226" s="1"/>
  <c r="I598" i="3"/>
  <c r="I597" s="1"/>
  <c r="H598"/>
  <c r="H597" s="1"/>
  <c r="G598"/>
  <c r="G597" s="1"/>
  <c r="I672" i="1"/>
  <c r="I671" s="1"/>
  <c r="H672"/>
  <c r="H671" s="1"/>
  <c r="G672"/>
  <c r="G671" s="1"/>
  <c r="H1672" l="1"/>
  <c r="I120" i="3"/>
  <c r="I119" s="1"/>
  <c r="I118" s="1"/>
  <c r="I100" s="1"/>
  <c r="I851" i="1"/>
  <c r="I850" s="1"/>
  <c r="H851"/>
  <c r="H850" s="1"/>
  <c r="G988"/>
  <c r="I1984" l="1"/>
  <c r="I1983" s="1"/>
  <c r="I1982" s="1"/>
  <c r="H1984"/>
  <c r="H1983" s="1"/>
  <c r="H1982" s="1"/>
  <c r="G1984"/>
  <c r="G1983" s="1"/>
  <c r="G1982" s="1"/>
  <c r="G1803"/>
  <c r="G1802" s="1"/>
  <c r="G1801" s="1"/>
  <c r="G1800" s="1"/>
  <c r="G1452" s="1"/>
  <c r="I1802"/>
  <c r="I1801" s="1"/>
  <c r="I1800" s="1"/>
  <c r="I1452" s="1"/>
  <c r="H1802"/>
  <c r="H1801" s="1"/>
  <c r="H1800" s="1"/>
  <c r="H1452" s="1"/>
  <c r="I1489" i="3"/>
  <c r="I1488" s="1"/>
  <c r="H1489"/>
  <c r="H1488" s="1"/>
  <c r="G122"/>
  <c r="G121" s="1"/>
  <c r="G1676" i="1"/>
  <c r="G1675" s="1"/>
  <c r="G1440"/>
  <c r="G1439" s="1"/>
  <c r="G1438" s="1"/>
  <c r="G1673"/>
  <c r="G1236"/>
  <c r="I664" i="3"/>
  <c r="I659" s="1"/>
  <c r="H664"/>
  <c r="H659" s="1"/>
  <c r="G664"/>
  <c r="G981" i="1"/>
  <c r="G1492" i="3"/>
  <c r="G1491" s="1"/>
  <c r="I548" i="1"/>
  <c r="I547" s="1"/>
  <c r="H548"/>
  <c r="H547" s="1"/>
  <c r="G548"/>
  <c r="G547" s="1"/>
  <c r="G546" s="1"/>
  <c r="I243"/>
  <c r="I242" s="1"/>
  <c r="I241" s="1"/>
  <c r="H243"/>
  <c r="H242" s="1"/>
  <c r="H241" s="1"/>
  <c r="G243"/>
  <c r="G242" s="1"/>
  <c r="G241" s="1"/>
  <c r="G935" i="3"/>
  <c r="G934" s="1"/>
  <c r="G933" s="1"/>
  <c r="G224" i="1"/>
  <c r="G223" s="1"/>
  <c r="G64"/>
  <c r="G63" s="1"/>
  <c r="I237" i="3"/>
  <c r="H237"/>
  <c r="G237"/>
  <c r="I1842" i="1"/>
  <c r="H1842"/>
  <c r="G1842"/>
  <c r="K940" i="3"/>
  <c r="J940"/>
  <c r="I940"/>
  <c r="I939" s="1"/>
  <c r="H940"/>
  <c r="H939" s="1"/>
  <c r="G940"/>
  <c r="G939" s="1"/>
  <c r="H67" i="1"/>
  <c r="H66" s="1"/>
  <c r="I67"/>
  <c r="I66" s="1"/>
  <c r="G67"/>
  <c r="G66" s="1"/>
  <c r="G120" i="3" l="1"/>
  <c r="G119" s="1"/>
  <c r="G118" s="1"/>
  <c r="G100" s="1"/>
  <c r="G1672" i="1"/>
  <c r="I658" i="3"/>
  <c r="I343" s="1"/>
  <c r="H658"/>
  <c r="H343" s="1"/>
  <c r="I1799" i="1"/>
  <c r="H1799"/>
  <c r="G1799"/>
  <c r="G1488" i="3"/>
  <c r="G1479" s="1"/>
  <c r="G454" i="1"/>
  <c r="G453" s="1"/>
  <c r="I692" i="3"/>
  <c r="I691" s="1"/>
  <c r="I690" s="1"/>
  <c r="H692"/>
  <c r="H691" s="1"/>
  <c r="H690" s="1"/>
  <c r="G692"/>
  <c r="G691" s="1"/>
  <c r="G690" s="1"/>
  <c r="I1877" i="1"/>
  <c r="I1876" s="1"/>
  <c r="I1875" s="1"/>
  <c r="H1877"/>
  <c r="H1876" s="1"/>
  <c r="H1875" s="1"/>
  <c r="G1877"/>
  <c r="G1876" s="1"/>
  <c r="G1875" s="1"/>
  <c r="G673" i="3"/>
  <c r="G672" s="1"/>
  <c r="G671" s="1"/>
  <c r="G667" s="1"/>
  <c r="G732"/>
  <c r="G731" s="1"/>
  <c r="I956" i="1"/>
  <c r="I955" s="1"/>
  <c r="I954" s="1"/>
  <c r="H956"/>
  <c r="H955" s="1"/>
  <c r="H954" s="1"/>
  <c r="G956"/>
  <c r="G955" s="1"/>
  <c r="G954" s="1"/>
  <c r="I1225" i="3"/>
  <c r="I1224" s="1"/>
  <c r="H1225"/>
  <c r="H1224" s="1"/>
  <c r="G1225"/>
  <c r="G1224" s="1"/>
  <c r="I1962" i="1"/>
  <c r="I1961" s="1"/>
  <c r="H1962"/>
  <c r="H1961" s="1"/>
  <c r="G1962"/>
  <c r="G1961" s="1"/>
  <c r="G1217" i="3"/>
  <c r="G1216" s="1"/>
  <c r="G1215" s="1"/>
  <c r="G373" i="1"/>
  <c r="G372" s="1"/>
  <c r="G371" s="1"/>
  <c r="I373"/>
  <c r="I372" s="1"/>
  <c r="I371" s="1"/>
  <c r="H373"/>
  <c r="H372" s="1"/>
  <c r="H371" s="1"/>
  <c r="I311" i="3"/>
  <c r="I310" s="1"/>
  <c r="H311"/>
  <c r="H310" s="1"/>
  <c r="G311"/>
  <c r="G310" s="1"/>
  <c r="I743" i="1"/>
  <c r="I742" s="1"/>
  <c r="H743"/>
  <c r="H742" s="1"/>
  <c r="G743"/>
  <c r="G742" s="1"/>
  <c r="I308" i="3"/>
  <c r="I307" s="1"/>
  <c r="H308"/>
  <c r="H307" s="1"/>
  <c r="G308"/>
  <c r="G307" s="1"/>
  <c r="I740" i="1"/>
  <c r="I739" s="1"/>
  <c r="I738" s="1"/>
  <c r="H740"/>
  <c r="H739" s="1"/>
  <c r="G740"/>
  <c r="G739" s="1"/>
  <c r="G126" i="3"/>
  <c r="G125" s="1"/>
  <c r="G124" s="1"/>
  <c r="G1230" i="1"/>
  <c r="I1981"/>
  <c r="H1981"/>
  <c r="G1981"/>
  <c r="I1222" i="3"/>
  <c r="I1221" s="1"/>
  <c r="H1222"/>
  <c r="H1221" s="1"/>
  <c r="G1222"/>
  <c r="G1221" s="1"/>
  <c r="H1973" i="1"/>
  <c r="H1972" s="1"/>
  <c r="I1973"/>
  <c r="I1972" s="1"/>
  <c r="G1973"/>
  <c r="G1972" s="1"/>
  <c r="I688" i="3"/>
  <c r="I687" s="1"/>
  <c r="H688"/>
  <c r="H687" s="1"/>
  <c r="G688"/>
  <c r="G687" s="1"/>
  <c r="H28" i="1"/>
  <c r="H27" s="1"/>
  <c r="I28"/>
  <c r="I27" s="1"/>
  <c r="G28"/>
  <c r="G27" s="1"/>
  <c r="H1120" i="3"/>
  <c r="I1120"/>
  <c r="G1120"/>
  <c r="I1124"/>
  <c r="I1123" s="1"/>
  <c r="H1124"/>
  <c r="H1123" s="1"/>
  <c r="G1124"/>
  <c r="G1123" s="1"/>
  <c r="I1121"/>
  <c r="H1121"/>
  <c r="G1121"/>
  <c r="H1112"/>
  <c r="H1111" s="1"/>
  <c r="I1112"/>
  <c r="I1111" s="1"/>
  <c r="H1109"/>
  <c r="H1108" s="1"/>
  <c r="I1109"/>
  <c r="I1108" s="1"/>
  <c r="G1110"/>
  <c r="G1109" s="1"/>
  <c r="G1108" s="1"/>
  <c r="G1113"/>
  <c r="G1112" s="1"/>
  <c r="G1111" s="1"/>
  <c r="H1304" i="1"/>
  <c r="I1304"/>
  <c r="H1008" i="3"/>
  <c r="I1008"/>
  <c r="G1008"/>
  <c r="H364" i="1"/>
  <c r="H1088" i="3"/>
  <c r="I1088"/>
  <c r="G1088"/>
  <c r="I1104" i="1"/>
  <c r="I1103" s="1"/>
  <c r="H1104"/>
  <c r="H1103" s="1"/>
  <c r="G1104"/>
  <c r="G1103" s="1"/>
  <c r="I49" i="3"/>
  <c r="H49"/>
  <c r="G49"/>
  <c r="G1198" i="1"/>
  <c r="H186" i="3"/>
  <c r="I186"/>
  <c r="I872"/>
  <c r="H872"/>
  <c r="H1392"/>
  <c r="H1391" s="1"/>
  <c r="H1390" s="1"/>
  <c r="H1386" s="1"/>
  <c r="I1392"/>
  <c r="I1391" s="1"/>
  <c r="I1390" s="1"/>
  <c r="I1386" s="1"/>
  <c r="I1220"/>
  <c r="I1219" s="1"/>
  <c r="I1218" s="1"/>
  <c r="H1220"/>
  <c r="H1219" s="1"/>
  <c r="H1218" s="1"/>
  <c r="I1217"/>
  <c r="I1216" s="1"/>
  <c r="I1215" s="1"/>
  <c r="H1217"/>
  <c r="H1216" s="1"/>
  <c r="H1215" s="1"/>
  <c r="M1184"/>
  <c r="J1323"/>
  <c r="J1340"/>
  <c r="H1322"/>
  <c r="I1322"/>
  <c r="H1318"/>
  <c r="H1317" s="1"/>
  <c r="I1318"/>
  <c r="I1317" s="1"/>
  <c r="J1349"/>
  <c r="H1417"/>
  <c r="I1417"/>
  <c r="H1415"/>
  <c r="I1415"/>
  <c r="H1412"/>
  <c r="I1412"/>
  <c r="H1410"/>
  <c r="I1410"/>
  <c r="H1407"/>
  <c r="I1407"/>
  <c r="H1405"/>
  <c r="H1404" s="1"/>
  <c r="I1405"/>
  <c r="I1404" s="1"/>
  <c r="H1402"/>
  <c r="H1401" s="1"/>
  <c r="I1402"/>
  <c r="I1401" s="1"/>
  <c r="H1398"/>
  <c r="H1397" s="1"/>
  <c r="I1398"/>
  <c r="I1397" s="1"/>
  <c r="H1396"/>
  <c r="I1396"/>
  <c r="J1398"/>
  <c r="J1430"/>
  <c r="J1452"/>
  <c r="H1078"/>
  <c r="I1078"/>
  <c r="J1076"/>
  <c r="J1057"/>
  <c r="J1004"/>
  <c r="J798"/>
  <c r="J714"/>
  <c r="J444"/>
  <c r="J193"/>
  <c r="J133"/>
  <c r="J62"/>
  <c r="J47"/>
  <c r="H1207"/>
  <c r="H1206" s="1"/>
  <c r="I1207"/>
  <c r="I1206" s="1"/>
  <c r="H1201"/>
  <c r="H1200" s="1"/>
  <c r="I1201"/>
  <c r="I1200" s="1"/>
  <c r="H1195"/>
  <c r="H1194" s="1"/>
  <c r="I1195"/>
  <c r="I1194" s="1"/>
  <c r="H1189"/>
  <c r="H1188" s="1"/>
  <c r="I1189"/>
  <c r="I1188" s="1"/>
  <c r="H1185"/>
  <c r="I1185"/>
  <c r="H1184"/>
  <c r="H1183" s="1"/>
  <c r="I1184"/>
  <c r="I1183" s="1"/>
  <c r="H1181"/>
  <c r="I1181"/>
  <c r="H1164"/>
  <c r="H1163" s="1"/>
  <c r="I1164"/>
  <c r="I1163" s="1"/>
  <c r="H1161"/>
  <c r="H1158" s="1"/>
  <c r="I1161"/>
  <c r="I1158" s="1"/>
  <c r="H1152"/>
  <c r="H1151" s="1"/>
  <c r="I1152"/>
  <c r="I1151" s="1"/>
  <c r="H1148"/>
  <c r="H1147" s="1"/>
  <c r="I1148"/>
  <c r="I1147" s="1"/>
  <c r="H236"/>
  <c r="I236"/>
  <c r="H212"/>
  <c r="I212"/>
  <c r="H207"/>
  <c r="I207"/>
  <c r="H768"/>
  <c r="I768"/>
  <c r="H1350"/>
  <c r="H1349" s="1"/>
  <c r="H1348" s="1"/>
  <c r="H1341" s="1"/>
  <c r="I1350"/>
  <c r="I1349" s="1"/>
  <c r="I1348" s="1"/>
  <c r="I1341" s="1"/>
  <c r="G1349"/>
  <c r="G1348" s="1"/>
  <c r="G1341" s="1"/>
  <c r="I987" i="1"/>
  <c r="I986" s="1"/>
  <c r="I985" s="1"/>
  <c r="I984" s="1"/>
  <c r="H987"/>
  <c r="H986" s="1"/>
  <c r="H985" s="1"/>
  <c r="H984" s="1"/>
  <c r="G987"/>
  <c r="G986" s="1"/>
  <c r="G985" s="1"/>
  <c r="G984" s="1"/>
  <c r="H914" i="3"/>
  <c r="I914"/>
  <c r="H912"/>
  <c r="H911" s="1"/>
  <c r="I912"/>
  <c r="I911" s="1"/>
  <c r="H910"/>
  <c r="I910"/>
  <c r="H908"/>
  <c r="I908"/>
  <c r="I861"/>
  <c r="H798"/>
  <c r="I798"/>
  <c r="H861"/>
  <c r="I864"/>
  <c r="H864"/>
  <c r="I1057"/>
  <c r="H1057"/>
  <c r="I733"/>
  <c r="I732" s="1"/>
  <c r="I731" s="1"/>
  <c r="H733"/>
  <c r="H732" s="1"/>
  <c r="H731" s="1"/>
  <c r="I729"/>
  <c r="I728" s="1"/>
  <c r="H729"/>
  <c r="H728" s="1"/>
  <c r="I1095"/>
  <c r="I1031"/>
  <c r="H1031"/>
  <c r="H1095"/>
  <c r="H48"/>
  <c r="I48"/>
  <c r="H1047"/>
  <c r="I1047"/>
  <c r="H23"/>
  <c r="I23"/>
  <c r="I673"/>
  <c r="I672" s="1"/>
  <c r="I671" s="1"/>
  <c r="I667" s="1"/>
  <c r="H673"/>
  <c r="H672" s="1"/>
  <c r="H671" s="1"/>
  <c r="H667" s="1"/>
  <c r="H686"/>
  <c r="I686"/>
  <c r="G1412"/>
  <c r="G1410"/>
  <c r="G356"/>
  <c r="H1150"/>
  <c r="H1149" s="1"/>
  <c r="I1150"/>
  <c r="I1149" s="1"/>
  <c r="G1219"/>
  <c r="G1218" s="1"/>
  <c r="I1970" i="1"/>
  <c r="I1969" s="1"/>
  <c r="H1970"/>
  <c r="H1969" s="1"/>
  <c r="G1970"/>
  <c r="G1969" s="1"/>
  <c r="I1959"/>
  <c r="I1958" s="1"/>
  <c r="H1959"/>
  <c r="H1958" s="1"/>
  <c r="G1959"/>
  <c r="G1958" s="1"/>
  <c r="G729" i="3"/>
  <c r="G728" s="1"/>
  <c r="H2077" i="1"/>
  <c r="H2076" s="1"/>
  <c r="I2077"/>
  <c r="I2076" s="1"/>
  <c r="G2077"/>
  <c r="G2076" s="1"/>
  <c r="I1063" i="3"/>
  <c r="I1060" s="1"/>
  <c r="H1063"/>
  <c r="H1060" s="1"/>
  <c r="H1207" i="1"/>
  <c r="H1206" s="1"/>
  <c r="H1205" s="1"/>
  <c r="I1207"/>
  <c r="I1206" s="1"/>
  <c r="I1205" s="1"/>
  <c r="G1207"/>
  <c r="G1206" s="1"/>
  <c r="G1205" s="1"/>
  <c r="H1400"/>
  <c r="H1399" s="1"/>
  <c r="H1398" s="1"/>
  <c r="H1365" s="1"/>
  <c r="I1400"/>
  <c r="I1399" s="1"/>
  <c r="I1398" s="1"/>
  <c r="I1365" s="1"/>
  <c r="G1400"/>
  <c r="G1399" s="1"/>
  <c r="G1398" s="1"/>
  <c r="G1365" s="1"/>
  <c r="I152" i="3"/>
  <c r="I151" s="1"/>
  <c r="I150" s="1"/>
  <c r="H152"/>
  <c r="H151" s="1"/>
  <c r="H150" s="1"/>
  <c r="G151"/>
  <c r="G150" s="1"/>
  <c r="H1426" i="1"/>
  <c r="H1425" s="1"/>
  <c r="I1426"/>
  <c r="I1425" s="1"/>
  <c r="G1426"/>
  <c r="G1425" s="1"/>
  <c r="I126" i="3"/>
  <c r="I125" s="1"/>
  <c r="I124" s="1"/>
  <c r="H126"/>
  <c r="H125" s="1"/>
  <c r="H124" s="1"/>
  <c r="H1679" i="1"/>
  <c r="H1678" s="1"/>
  <c r="H1671" s="1"/>
  <c r="I1679"/>
  <c r="I1678" s="1"/>
  <c r="I1671" s="1"/>
  <c r="G1679"/>
  <c r="G1678" s="1"/>
  <c r="H1275"/>
  <c r="H1274" s="1"/>
  <c r="I1275"/>
  <c r="I1274" s="1"/>
  <c r="G1275"/>
  <c r="G1274" s="1"/>
  <c r="G1265" s="1"/>
  <c r="I55" i="3"/>
  <c r="I54" s="1"/>
  <c r="I53" s="1"/>
  <c r="H55"/>
  <c r="H54" s="1"/>
  <c r="H53" s="1"/>
  <c r="G54"/>
  <c r="G53" s="1"/>
  <c r="I1203" i="1"/>
  <c r="I1202" s="1"/>
  <c r="H1203"/>
  <c r="H1202" s="1"/>
  <c r="G1203"/>
  <c r="G1202" s="1"/>
  <c r="I139" i="3"/>
  <c r="H139"/>
  <c r="I38"/>
  <c r="I37" s="1"/>
  <c r="H38"/>
  <c r="H37" s="1"/>
  <c r="I52"/>
  <c r="I51" s="1"/>
  <c r="H52"/>
  <c r="H51" s="1"/>
  <c r="I1059"/>
  <c r="H1059"/>
  <c r="H736" i="1"/>
  <c r="H735" s="1"/>
  <c r="H734" s="1"/>
  <c r="I736"/>
  <c r="I735" s="1"/>
  <c r="I734" s="1"/>
  <c r="I593" i="3"/>
  <c r="H593"/>
  <c r="G428"/>
  <c r="I490" i="1"/>
  <c r="I489" s="1"/>
  <c r="H490"/>
  <c r="H489" s="1"/>
  <c r="G490"/>
  <c r="G489" s="1"/>
  <c r="I359" i="3"/>
  <c r="H359"/>
  <c r="G303" l="1"/>
  <c r="G443" i="1"/>
  <c r="G442" s="1"/>
  <c r="G441" s="1"/>
  <c r="I303" i="3"/>
  <c r="H303"/>
  <c r="H701"/>
  <c r="I701"/>
  <c r="G738" i="1"/>
  <c r="G330"/>
  <c r="G329" s="1"/>
  <c r="H1146" i="3"/>
  <c r="I1146"/>
  <c r="G1671" i="1"/>
  <c r="H363"/>
  <c r="H361" s="1"/>
  <c r="H360" s="1"/>
  <c r="G60" i="2" s="1"/>
  <c r="G514" i="3"/>
  <c r="I364" i="1"/>
  <c r="I363" s="1"/>
  <c r="G735"/>
  <c r="G734" s="1"/>
  <c r="H1180" i="3"/>
  <c r="H1145" s="1"/>
  <c r="I1180"/>
  <c r="I1145" s="1"/>
  <c r="H738" i="1"/>
  <c r="G364"/>
  <c r="J1145" i="3"/>
  <c r="I1445"/>
  <c r="I1444" s="1"/>
  <c r="H1445"/>
  <c r="H1444" s="1"/>
  <c r="I1443"/>
  <c r="I1442" s="1"/>
  <c r="H1443"/>
  <c r="H1442" s="1"/>
  <c r="I1438"/>
  <c r="I1437" s="1"/>
  <c r="H1438"/>
  <c r="H1437" s="1"/>
  <c r="I1436"/>
  <c r="I1435" s="1"/>
  <c r="H1436"/>
  <c r="H1435" s="1"/>
  <c r="I1428"/>
  <c r="I1427" s="1"/>
  <c r="I1426" s="1"/>
  <c r="I1425" s="1"/>
  <c r="H1428"/>
  <c r="H1427" s="1"/>
  <c r="H1426" s="1"/>
  <c r="H1425" s="1"/>
  <c r="I2216" i="1"/>
  <c r="I1092" i="3"/>
  <c r="I1091" s="1"/>
  <c r="I1090" s="1"/>
  <c r="H1092"/>
  <c r="H1091" s="1"/>
  <c r="H1090" s="1"/>
  <c r="I1074"/>
  <c r="I1073" s="1"/>
  <c r="H1074"/>
  <c r="H1073" s="1"/>
  <c r="I1072"/>
  <c r="I1071" s="1"/>
  <c r="H1072"/>
  <c r="H1071" s="1"/>
  <c r="I1070"/>
  <c r="I1069" s="1"/>
  <c r="H1070"/>
  <c r="H1069" s="1"/>
  <c r="H1077"/>
  <c r="H1076" s="1"/>
  <c r="H1075" s="1"/>
  <c r="I1487"/>
  <c r="H1487"/>
  <c r="I1138"/>
  <c r="I1137" s="1"/>
  <c r="I1136" s="1"/>
  <c r="H1138"/>
  <c r="H1137" s="1"/>
  <c r="H1136" s="1"/>
  <c r="I1454"/>
  <c r="I1453" s="1"/>
  <c r="H1454"/>
  <c r="H1453" s="1"/>
  <c r="I1457"/>
  <c r="H1457"/>
  <c r="I75"/>
  <c r="I74" s="1"/>
  <c r="I73" s="1"/>
  <c r="H75"/>
  <c r="H74" s="1"/>
  <c r="H73" s="1"/>
  <c r="I72"/>
  <c r="I71" s="1"/>
  <c r="I70" s="1"/>
  <c r="H72"/>
  <c r="H71" s="1"/>
  <c r="H70" s="1"/>
  <c r="I66"/>
  <c r="I65" s="1"/>
  <c r="I64" s="1"/>
  <c r="H66"/>
  <c r="H65" s="1"/>
  <c r="H64" s="1"/>
  <c r="I63"/>
  <c r="I62" s="1"/>
  <c r="H63"/>
  <c r="H62" s="1"/>
  <c r="I61"/>
  <c r="I60" s="1"/>
  <c r="H61"/>
  <c r="H60" s="1"/>
  <c r="I59"/>
  <c r="I58" s="1"/>
  <c r="H59"/>
  <c r="H58" s="1"/>
  <c r="I1419"/>
  <c r="I1418" s="1"/>
  <c r="H1420"/>
  <c r="H1419" s="1"/>
  <c r="H1418" s="1"/>
  <c r="I1085"/>
  <c r="I1084" s="1"/>
  <c r="I1083" s="1"/>
  <c r="H1085"/>
  <c r="H1084" s="1"/>
  <c r="H1083" s="1"/>
  <c r="G1085"/>
  <c r="G1084" s="1"/>
  <c r="G1083" s="1"/>
  <c r="I1082"/>
  <c r="I1081" s="1"/>
  <c r="I1080" s="1"/>
  <c r="H1082"/>
  <c r="H1081" s="1"/>
  <c r="H1080" s="1"/>
  <c r="G1082"/>
  <c r="G35"/>
  <c r="I1321"/>
  <c r="I1320" s="1"/>
  <c r="I1518"/>
  <c r="I1515" s="1"/>
  <c r="H1518"/>
  <c r="H1517" s="1"/>
  <c r="H1516" s="1"/>
  <c r="G444"/>
  <c r="G443" s="1"/>
  <c r="H1330"/>
  <c r="H1329" s="1"/>
  <c r="I133"/>
  <c r="I132" s="1"/>
  <c r="I131" s="1"/>
  <c r="H133"/>
  <c r="H132" s="1"/>
  <c r="H131" s="1"/>
  <c r="I1087"/>
  <c r="I1086" s="1"/>
  <c r="I795"/>
  <c r="I794" s="1"/>
  <c r="I793" s="1"/>
  <c r="H795"/>
  <c r="H794" s="1"/>
  <c r="H793" s="1"/>
  <c r="I136"/>
  <c r="H136"/>
  <c r="H767"/>
  <c r="H766" s="1"/>
  <c r="G768"/>
  <c r="I35"/>
  <c r="H35"/>
  <c r="H1186" i="1"/>
  <c r="H1185" s="1"/>
  <c r="I1186"/>
  <c r="I1185" s="1"/>
  <c r="I1466" i="3"/>
  <c r="I1456"/>
  <c r="I1447"/>
  <c r="I1446" s="1"/>
  <c r="I1416"/>
  <c r="I1414"/>
  <c r="I1411"/>
  <c r="I1409"/>
  <c r="I1406"/>
  <c r="I1403" s="1"/>
  <c r="I1395"/>
  <c r="I1394" s="1"/>
  <c r="I1339"/>
  <c r="I1338" s="1"/>
  <c r="I1333"/>
  <c r="I1332" s="1"/>
  <c r="I1330"/>
  <c r="I1329" s="1"/>
  <c r="I1324"/>
  <c r="I1323" s="1"/>
  <c r="I1106"/>
  <c r="I1094"/>
  <c r="I1093" s="1"/>
  <c r="I1077"/>
  <c r="I1076" s="1"/>
  <c r="I1075" s="1"/>
  <c r="I1062"/>
  <c r="I1058"/>
  <c r="I1056"/>
  <c r="I1046"/>
  <c r="I1045" s="1"/>
  <c r="I1044" s="1"/>
  <c r="I1034"/>
  <c r="I1033" s="1"/>
  <c r="I1032" s="1"/>
  <c r="I1030"/>
  <c r="I1029" s="1"/>
  <c r="I1028" s="1"/>
  <c r="I1027" s="1"/>
  <c r="I1007"/>
  <c r="I1006" s="1"/>
  <c r="I1004"/>
  <c r="I1003" s="1"/>
  <c r="I913"/>
  <c r="I909"/>
  <c r="I907"/>
  <c r="I871"/>
  <c r="I870" s="1"/>
  <c r="I863"/>
  <c r="I862" s="1"/>
  <c r="I860"/>
  <c r="I859" s="1"/>
  <c r="I797"/>
  <c r="I796" s="1"/>
  <c r="I767"/>
  <c r="I766" s="1"/>
  <c r="I720"/>
  <c r="I719" s="1"/>
  <c r="I717"/>
  <c r="I715" s="1"/>
  <c r="I685"/>
  <c r="I624"/>
  <c r="I623" s="1"/>
  <c r="I622"/>
  <c r="I621" s="1"/>
  <c r="I619"/>
  <c r="I618"/>
  <c r="I617" s="1"/>
  <c r="I592"/>
  <c r="I433"/>
  <c r="I432" s="1"/>
  <c r="I377"/>
  <c r="I376" s="1"/>
  <c r="I364"/>
  <c r="I363" s="1"/>
  <c r="I358"/>
  <c r="I357" s="1"/>
  <c r="I235"/>
  <c r="I232" s="1"/>
  <c r="I231" s="1"/>
  <c r="I211"/>
  <c r="I208" s="1"/>
  <c r="I210"/>
  <c r="I209" s="1"/>
  <c r="I206"/>
  <c r="I205" s="1"/>
  <c r="I196"/>
  <c r="I195" s="1"/>
  <c r="I185"/>
  <c r="I184" s="1"/>
  <c r="I183" s="1"/>
  <c r="I153" s="1"/>
  <c r="I138"/>
  <c r="I137" s="1"/>
  <c r="I47"/>
  <c r="I32"/>
  <c r="I31" s="1"/>
  <c r="I29"/>
  <c r="I28" s="1"/>
  <c r="I27" s="1"/>
  <c r="I22"/>
  <c r="I21" s="1"/>
  <c r="H1466"/>
  <c r="H1456"/>
  <c r="H1447"/>
  <c r="H1446" s="1"/>
  <c r="H1416"/>
  <c r="H1414"/>
  <c r="H1411"/>
  <c r="H1409"/>
  <c r="H1406"/>
  <c r="H1403" s="1"/>
  <c r="H1395"/>
  <c r="H1394" s="1"/>
  <c r="H1339"/>
  <c r="H1338" s="1"/>
  <c r="H1333"/>
  <c r="H1332" s="1"/>
  <c r="H1324"/>
  <c r="H1323" s="1"/>
  <c r="H1321"/>
  <c r="H1320" s="1"/>
  <c r="H1106"/>
  <c r="H1094"/>
  <c r="H1093" s="1"/>
  <c r="H1087"/>
  <c r="H1086" s="1"/>
  <c r="H1062"/>
  <c r="H1058"/>
  <c r="H1056"/>
  <c r="H1046"/>
  <c r="H1045" s="1"/>
  <c r="H1044" s="1"/>
  <c r="H1034"/>
  <c r="H1033" s="1"/>
  <c r="H1032" s="1"/>
  <c r="H1030"/>
  <c r="H1029" s="1"/>
  <c r="H1028" s="1"/>
  <c r="H1027" s="1"/>
  <c r="H1007"/>
  <c r="H1006" s="1"/>
  <c r="H1004"/>
  <c r="H1003" s="1"/>
  <c r="H913"/>
  <c r="H909"/>
  <c r="H907"/>
  <c r="H871"/>
  <c r="H870" s="1"/>
  <c r="H863"/>
  <c r="H862" s="1"/>
  <c r="H860"/>
  <c r="H859" s="1"/>
  <c r="H797"/>
  <c r="H796" s="1"/>
  <c r="H720"/>
  <c r="H719" s="1"/>
  <c r="H717"/>
  <c r="H715" s="1"/>
  <c r="H713"/>
  <c r="H685"/>
  <c r="H624"/>
  <c r="H623" s="1"/>
  <c r="H622"/>
  <c r="H621" s="1"/>
  <c r="H619"/>
  <c r="H618"/>
  <c r="H617" s="1"/>
  <c r="H592"/>
  <c r="H433"/>
  <c r="H432" s="1"/>
  <c r="H377"/>
  <c r="H376" s="1"/>
  <c r="H364"/>
  <c r="H363" s="1"/>
  <c r="H358"/>
  <c r="H357" s="1"/>
  <c r="H235"/>
  <c r="H232" s="1"/>
  <c r="H231" s="1"/>
  <c r="H211"/>
  <c r="H208" s="1"/>
  <c r="H210"/>
  <c r="H209" s="1"/>
  <c r="H206"/>
  <c r="H205" s="1"/>
  <c r="H196"/>
  <c r="H195" s="1"/>
  <c r="H185"/>
  <c r="H184" s="1"/>
  <c r="H183" s="1"/>
  <c r="H153" s="1"/>
  <c r="H138"/>
  <c r="H137" s="1"/>
  <c r="H47"/>
  <c r="H32"/>
  <c r="H31" s="1"/>
  <c r="H29"/>
  <c r="H28" s="1"/>
  <c r="H27" s="1"/>
  <c r="H22"/>
  <c r="H21" s="1"/>
  <c r="G1354" i="1"/>
  <c r="H1354"/>
  <c r="I1354"/>
  <c r="I2074"/>
  <c r="I2073"/>
  <c r="I2071"/>
  <c r="I2070" s="1"/>
  <c r="I2068"/>
  <c r="I2067" s="1"/>
  <c r="I2021"/>
  <c r="I2020" s="1"/>
  <c r="I2018"/>
  <c r="I2017" s="1"/>
  <c r="I2015"/>
  <c r="I2013"/>
  <c r="I2010"/>
  <c r="I2009" s="1"/>
  <c r="I1944"/>
  <c r="I1943"/>
  <c r="I1933"/>
  <c r="I1932" s="1"/>
  <c r="I1910"/>
  <c r="I1909" s="1"/>
  <c r="I1907"/>
  <c r="I1906" s="1"/>
  <c r="I1904"/>
  <c r="I1903" s="1"/>
  <c r="I1898"/>
  <c r="I1894"/>
  <c r="I1840"/>
  <c r="I1837" s="1"/>
  <c r="I1836" s="1"/>
  <c r="I1816"/>
  <c r="I1815" s="1"/>
  <c r="I1813"/>
  <c r="I1812" s="1"/>
  <c r="I2219"/>
  <c r="I2218" s="1"/>
  <c r="I2214"/>
  <c r="I1795"/>
  <c r="I1793"/>
  <c r="I1789"/>
  <c r="I1788" s="1"/>
  <c r="I1787" s="1"/>
  <c r="I1785"/>
  <c r="I1784" s="1"/>
  <c r="I1767"/>
  <c r="I1766" s="1"/>
  <c r="I1765" s="1"/>
  <c r="I1764" s="1"/>
  <c r="I1763" s="1"/>
  <c r="I1762" s="1"/>
  <c r="I1733"/>
  <c r="I1732" s="1"/>
  <c r="I1727"/>
  <c r="I1726" s="1"/>
  <c r="I1724"/>
  <c r="I1723" s="1"/>
  <c r="I1708"/>
  <c r="I1707"/>
  <c r="I1706" s="1"/>
  <c r="I1701"/>
  <c r="I1700" s="1"/>
  <c r="I1698"/>
  <c r="I1697" s="1"/>
  <c r="I1694"/>
  <c r="I1693" s="1"/>
  <c r="I1692" s="1"/>
  <c r="I1668"/>
  <c r="I1667" s="1"/>
  <c r="I1666" s="1"/>
  <c r="I1665" s="1"/>
  <c r="I1436"/>
  <c r="I1435" s="1"/>
  <c r="I1434" s="1"/>
  <c r="I1433" s="1"/>
  <c r="I1430"/>
  <c r="I1429" s="1"/>
  <c r="I1416"/>
  <c r="I1413"/>
  <c r="I1412" s="1"/>
  <c r="I1342"/>
  <c r="I1341" s="1"/>
  <c r="I1340" s="1"/>
  <c r="I1332"/>
  <c r="I1303"/>
  <c r="I1297" s="1"/>
  <c r="I1296" s="1"/>
  <c r="I1247"/>
  <c r="I1234"/>
  <c r="I1232"/>
  <c r="I1220"/>
  <c r="I1219" s="1"/>
  <c r="I1212" s="1"/>
  <c r="I1196"/>
  <c r="I1195" s="1"/>
  <c r="I1183"/>
  <c r="I1182" s="1"/>
  <c r="I1178"/>
  <c r="I1177" s="1"/>
  <c r="I1176" s="1"/>
  <c r="I1175" s="1"/>
  <c r="H26" i="2" s="1"/>
  <c r="I1168" i="1"/>
  <c r="I1167" s="1"/>
  <c r="I1160"/>
  <c r="I1159" s="1"/>
  <c r="I1157"/>
  <c r="I1155"/>
  <c r="I1152"/>
  <c r="I1148"/>
  <c r="I1145"/>
  <c r="I1143"/>
  <c r="I1136"/>
  <c r="I1134"/>
  <c r="I1129"/>
  <c r="I1128" s="1"/>
  <c r="I1127"/>
  <c r="I1124"/>
  <c r="I1123" s="1"/>
  <c r="I1119" s="1"/>
  <c r="I1118" s="1"/>
  <c r="I1117" s="1"/>
  <c r="I1110"/>
  <c r="I1109" s="1"/>
  <c r="I1108" s="1"/>
  <c r="I1101"/>
  <c r="I1100" s="1"/>
  <c r="I1099" s="1"/>
  <c r="I1098" s="1"/>
  <c r="I1094"/>
  <c r="I1093" s="1"/>
  <c r="I1092" s="1"/>
  <c r="I1091" s="1"/>
  <c r="I1090" s="1"/>
  <c r="I1076"/>
  <c r="I1075" s="1"/>
  <c r="I1074" s="1"/>
  <c r="I1069"/>
  <c r="I1068" s="1"/>
  <c r="I1067" s="1"/>
  <c r="I1066" s="1"/>
  <c r="I1064"/>
  <c r="I1062"/>
  <c r="I1060"/>
  <c r="I1010"/>
  <c r="I1009" s="1"/>
  <c r="I1007"/>
  <c r="I1006" s="1"/>
  <c r="I1001"/>
  <c r="I981"/>
  <c r="I979"/>
  <c r="I977"/>
  <c r="I915"/>
  <c r="I914" s="1"/>
  <c r="I921"/>
  <c r="I919"/>
  <c r="I917"/>
  <c r="I912"/>
  <c r="I910"/>
  <c r="I848"/>
  <c r="I847" s="1"/>
  <c r="I846" s="1"/>
  <c r="I841"/>
  <c r="I840" s="1"/>
  <c r="I827" s="1"/>
  <c r="I813"/>
  <c r="I812" s="1"/>
  <c r="I811" s="1"/>
  <c r="I800"/>
  <c r="I799" s="1"/>
  <c r="I796"/>
  <c r="I794"/>
  <c r="I793" s="1"/>
  <c r="I728"/>
  <c r="I727" s="1"/>
  <c r="I726" s="1"/>
  <c r="I724"/>
  <c r="I723" s="1"/>
  <c r="I722" s="1"/>
  <c r="I551" s="1"/>
  <c r="I669"/>
  <c r="I668" s="1"/>
  <c r="I663"/>
  <c r="I662" s="1"/>
  <c r="I717"/>
  <c r="I716" s="1"/>
  <c r="I608"/>
  <c r="I607" s="1"/>
  <c r="I568"/>
  <c r="I565" s="1"/>
  <c r="I563"/>
  <c r="I562" s="1"/>
  <c r="I560"/>
  <c r="I559" s="1"/>
  <c r="I557"/>
  <c r="I556" s="1"/>
  <c r="I544"/>
  <c r="I543" s="1"/>
  <c r="I542" s="1"/>
  <c r="I528"/>
  <c r="I527" s="1"/>
  <c r="I525"/>
  <c r="I523"/>
  <c r="I522" s="1"/>
  <c r="I520"/>
  <c r="I519" s="1"/>
  <c r="I517"/>
  <c r="I516" s="1"/>
  <c r="I484"/>
  <c r="I483" s="1"/>
  <c r="I481"/>
  <c r="I480" s="1"/>
  <c r="I478"/>
  <c r="I477" s="1"/>
  <c r="I464"/>
  <c r="I418"/>
  <c r="I417" s="1"/>
  <c r="I415"/>
  <c r="I414" s="1"/>
  <c r="I398"/>
  <c r="I397" s="1"/>
  <c r="I396" s="1"/>
  <c r="I393"/>
  <c r="I391"/>
  <c r="I389"/>
  <c r="I357"/>
  <c r="I356" s="1"/>
  <c r="I1720"/>
  <c r="I1719" s="1"/>
  <c r="I349"/>
  <c r="I346" s="1"/>
  <c r="I345" s="1"/>
  <c r="I344" s="1"/>
  <c r="I239"/>
  <c r="I238" s="1"/>
  <c r="I235"/>
  <c r="I234" s="1"/>
  <c r="I232"/>
  <c r="I230"/>
  <c r="I229" s="1"/>
  <c r="I221"/>
  <c r="I216"/>
  <c r="I215" s="1"/>
  <c r="I168"/>
  <c r="I167" s="1"/>
  <c r="I122"/>
  <c r="I97"/>
  <c r="I96" s="1"/>
  <c r="I34"/>
  <c r="I33" s="1"/>
  <c r="I32" s="1"/>
  <c r="I25"/>
  <c r="H2074"/>
  <c r="H2073"/>
  <c r="H2071"/>
  <c r="H2070" s="1"/>
  <c r="H2068"/>
  <c r="H2067" s="1"/>
  <c r="H2021"/>
  <c r="H2020" s="1"/>
  <c r="H2018"/>
  <c r="H2017" s="1"/>
  <c r="H2015"/>
  <c r="H2013"/>
  <c r="H2010"/>
  <c r="H2009" s="1"/>
  <c r="H1944"/>
  <c r="H1933"/>
  <c r="H1932" s="1"/>
  <c r="H1910"/>
  <c r="H1909" s="1"/>
  <c r="H1907"/>
  <c r="H1906" s="1"/>
  <c r="H1904"/>
  <c r="H1903" s="1"/>
  <c r="H1898"/>
  <c r="H1894"/>
  <c r="H1840"/>
  <c r="H1837" s="1"/>
  <c r="H1836" s="1"/>
  <c r="H1816"/>
  <c r="H1815" s="1"/>
  <c r="H1813"/>
  <c r="H1812" s="1"/>
  <c r="H2219"/>
  <c r="H2218" s="1"/>
  <c r="H2216"/>
  <c r="H2214"/>
  <c r="H1795"/>
  <c r="H1793"/>
  <c r="H1789"/>
  <c r="H1788" s="1"/>
  <c r="H1787" s="1"/>
  <c r="H1785"/>
  <c r="H1784" s="1"/>
  <c r="H1767"/>
  <c r="H1766" s="1"/>
  <c r="H1765" s="1"/>
  <c r="H1764" s="1"/>
  <c r="H1763" s="1"/>
  <c r="H1762" s="1"/>
  <c r="H1733"/>
  <c r="H1732" s="1"/>
  <c r="H1727"/>
  <c r="H1726" s="1"/>
  <c r="H1724"/>
  <c r="H1723" s="1"/>
  <c r="H1708"/>
  <c r="H1707"/>
  <c r="H1706" s="1"/>
  <c r="H1701"/>
  <c r="H1700" s="1"/>
  <c r="H1698"/>
  <c r="H1697" s="1"/>
  <c r="H1694"/>
  <c r="H1693" s="1"/>
  <c r="H1692" s="1"/>
  <c r="H1667"/>
  <c r="H1666" s="1"/>
  <c r="H1665" s="1"/>
  <c r="H1436"/>
  <c r="H1435" s="1"/>
  <c r="H1434" s="1"/>
  <c r="H1433" s="1"/>
  <c r="H1430"/>
  <c r="H1429" s="1"/>
  <c r="H1416"/>
  <c r="H1413"/>
  <c r="H1412" s="1"/>
  <c r="H1342"/>
  <c r="H1341" s="1"/>
  <c r="H1340" s="1"/>
  <c r="H1332"/>
  <c r="H1303"/>
  <c r="H1297" s="1"/>
  <c r="H1296" s="1"/>
  <c r="H1247"/>
  <c r="H1234"/>
  <c r="H1232"/>
  <c r="H1220"/>
  <c r="H1219" s="1"/>
  <c r="H1212" s="1"/>
  <c r="H1196"/>
  <c r="H1195" s="1"/>
  <c r="H1183"/>
  <c r="H1182" s="1"/>
  <c r="H1178"/>
  <c r="H1177" s="1"/>
  <c r="H1176" s="1"/>
  <c r="H1175" s="1"/>
  <c r="G26" i="2" s="1"/>
  <c r="H1168" i="1"/>
  <c r="H1167" s="1"/>
  <c r="H1160"/>
  <c r="H1159" s="1"/>
  <c r="H1157"/>
  <c r="H1155"/>
  <c r="H1152"/>
  <c r="H1148"/>
  <c r="H1145"/>
  <c r="H1143"/>
  <c r="H1136"/>
  <c r="H1134"/>
  <c r="H1129"/>
  <c r="H1128" s="1"/>
  <c r="H1127"/>
  <c r="H1124"/>
  <c r="H1123" s="1"/>
  <c r="H1119" s="1"/>
  <c r="H1118" s="1"/>
  <c r="H1117" s="1"/>
  <c r="H1110"/>
  <c r="H1109" s="1"/>
  <c r="H1108" s="1"/>
  <c r="H1101"/>
  <c r="H1100" s="1"/>
  <c r="H1099" s="1"/>
  <c r="H1098" s="1"/>
  <c r="H1094"/>
  <c r="H1093" s="1"/>
  <c r="H1092" s="1"/>
  <c r="H1091" s="1"/>
  <c r="H1090" s="1"/>
  <c r="H1076"/>
  <c r="H1075" s="1"/>
  <c r="H1074" s="1"/>
  <c r="H1069"/>
  <c r="H1068" s="1"/>
  <c r="H1067" s="1"/>
  <c r="H1066" s="1"/>
  <c r="H1064"/>
  <c r="H1062"/>
  <c r="H1060"/>
  <c r="H1010"/>
  <c r="H1009" s="1"/>
  <c r="H1007"/>
  <c r="H1006" s="1"/>
  <c r="H1001"/>
  <c r="H981"/>
  <c r="H979"/>
  <c r="H977"/>
  <c r="H915"/>
  <c r="H914" s="1"/>
  <c r="H921"/>
  <c r="H919"/>
  <c r="H917"/>
  <c r="H912"/>
  <c r="H910"/>
  <c r="H848"/>
  <c r="H847" s="1"/>
  <c r="H846" s="1"/>
  <c r="H841"/>
  <c r="H840" s="1"/>
  <c r="H827" s="1"/>
  <c r="H813"/>
  <c r="H812" s="1"/>
  <c r="H811" s="1"/>
  <c r="H800"/>
  <c r="H799" s="1"/>
  <c r="H796"/>
  <c r="H794"/>
  <c r="H793" s="1"/>
  <c r="H728"/>
  <c r="H727" s="1"/>
  <c r="H726" s="1"/>
  <c r="H724"/>
  <c r="H723" s="1"/>
  <c r="H722" s="1"/>
  <c r="H551" s="1"/>
  <c r="H669"/>
  <c r="H668" s="1"/>
  <c r="H663"/>
  <c r="H662" s="1"/>
  <c r="H717"/>
  <c r="H716" s="1"/>
  <c r="H608"/>
  <c r="H607" s="1"/>
  <c r="H568"/>
  <c r="H565" s="1"/>
  <c r="H563"/>
  <c r="H562" s="1"/>
  <c r="H559"/>
  <c r="H557"/>
  <c r="H556" s="1"/>
  <c r="H544"/>
  <c r="H543" s="1"/>
  <c r="H542" s="1"/>
  <c r="H528"/>
  <c r="H527" s="1"/>
  <c r="H525"/>
  <c r="H523"/>
  <c r="H522" s="1"/>
  <c r="H520"/>
  <c r="H519" s="1"/>
  <c r="H517"/>
  <c r="H516" s="1"/>
  <c r="H484"/>
  <c r="H483" s="1"/>
  <c r="H481"/>
  <c r="H480" s="1"/>
  <c r="H478"/>
  <c r="H477" s="1"/>
  <c r="H464"/>
  <c r="H418"/>
  <c r="H417" s="1"/>
  <c r="H415"/>
  <c r="H414" s="1"/>
  <c r="H398"/>
  <c r="H393"/>
  <c r="H391"/>
  <c r="H389"/>
  <c r="H357"/>
  <c r="H356" s="1"/>
  <c r="H1720"/>
  <c r="H1719" s="1"/>
  <c r="H349"/>
  <c r="H346" s="1"/>
  <c r="H345" s="1"/>
  <c r="H344" s="1"/>
  <c r="H239"/>
  <c r="H238" s="1"/>
  <c r="H235"/>
  <c r="H234" s="1"/>
  <c r="H232"/>
  <c r="H230"/>
  <c r="H229" s="1"/>
  <c r="H221"/>
  <c r="H216"/>
  <c r="H215" s="1"/>
  <c r="H168"/>
  <c r="H167" s="1"/>
  <c r="H120"/>
  <c r="H111" s="1"/>
  <c r="H97"/>
  <c r="H96" s="1"/>
  <c r="H34"/>
  <c r="H33" s="1"/>
  <c r="H32" s="1"/>
  <c r="H25"/>
  <c r="G592" i="3"/>
  <c r="G2010" i="1"/>
  <c r="G2009" s="1"/>
  <c r="G1456" i="3"/>
  <c r="G2214" i="1"/>
  <c r="G588" i="3"/>
  <c r="G504" s="1"/>
  <c r="G525" i="1"/>
  <c r="G686" i="3"/>
  <c r="G25" i="1"/>
  <c r="G2021"/>
  <c r="G2020" s="1"/>
  <c r="G23" i="3"/>
  <c r="I148" i="1" l="1"/>
  <c r="I130" s="1"/>
  <c r="H148"/>
  <c r="H130" s="1"/>
  <c r="H1783"/>
  <c r="H2192"/>
  <c r="H2189" s="1"/>
  <c r="H2185" s="1"/>
  <c r="I1783"/>
  <c r="I2192"/>
  <c r="I2189" s="1"/>
  <c r="I2185" s="1"/>
  <c r="I2213"/>
  <c r="I2211" s="1"/>
  <c r="I2209" s="1"/>
  <c r="H1696"/>
  <c r="I1696"/>
  <c r="I1316" i="3"/>
  <c r="H1316"/>
  <c r="H1133" i="1"/>
  <c r="I1133"/>
  <c r="G1081" i="3"/>
  <c r="G1080" s="1"/>
  <c r="I134"/>
  <c r="I135"/>
  <c r="H134"/>
  <c r="H135"/>
  <c r="I792" i="1"/>
  <c r="I791" s="1"/>
  <c r="I790" s="1"/>
  <c r="H792"/>
  <c r="H791" s="1"/>
  <c r="H790" s="1"/>
  <c r="H976"/>
  <c r="I976"/>
  <c r="I1181"/>
  <c r="I550"/>
  <c r="H550"/>
  <c r="H1181"/>
  <c r="H616" i="3"/>
  <c r="I616"/>
  <c r="I476" i="1"/>
  <c r="I475" s="1"/>
  <c r="I474" s="1"/>
  <c r="H476"/>
  <c r="H475" s="1"/>
  <c r="H474" s="1"/>
  <c r="H1166"/>
  <c r="H1165" s="1"/>
  <c r="G23" i="2" s="1"/>
  <c r="I1166" i="1"/>
  <c r="I1165" s="1"/>
  <c r="H23" i="2" s="1"/>
  <c r="H1002" i="3"/>
  <c r="I1002"/>
  <c r="H397" i="1"/>
  <c r="H396" s="1"/>
  <c r="H395" s="1"/>
  <c r="H20" i="2"/>
  <c r="G20"/>
  <c r="I1931" i="1"/>
  <c r="I1930" s="1"/>
  <c r="H41" i="2" s="1"/>
  <c r="H32"/>
  <c r="I1353" i="1"/>
  <c r="I1352" s="1"/>
  <c r="H1353"/>
  <c r="H1352" s="1"/>
  <c r="H2060"/>
  <c r="I2060"/>
  <c r="I1005"/>
  <c r="I1004" s="1"/>
  <c r="I1003" s="1"/>
  <c r="H1331"/>
  <c r="I1331"/>
  <c r="I1330" s="1"/>
  <c r="I1329" s="1"/>
  <c r="H33" i="2" s="1"/>
  <c r="I413" i="1"/>
  <c r="M1185" i="3"/>
  <c r="H413" i="1"/>
  <c r="I1808"/>
  <c r="I1807" s="1"/>
  <c r="I1806" s="1"/>
  <c r="H1005"/>
  <c r="H1004" s="1"/>
  <c r="H1003" s="1"/>
  <c r="H1808"/>
  <c r="H1807" s="1"/>
  <c r="H1806" s="1"/>
  <c r="I201" i="3"/>
  <c r="H201"/>
  <c r="I121" i="1"/>
  <c r="I120" s="1"/>
  <c r="I111" s="1"/>
  <c r="I22"/>
  <c r="I21" s="1"/>
  <c r="I20" s="1"/>
  <c r="H22"/>
  <c r="H21" s="1"/>
  <c r="H20" s="1"/>
  <c r="G22"/>
  <c r="G21" s="1"/>
  <c r="G20" s="1"/>
  <c r="H682" i="3"/>
  <c r="H681" s="1"/>
  <c r="I682"/>
  <c r="I681" s="1"/>
  <c r="H57"/>
  <c r="H56" s="1"/>
  <c r="I57"/>
  <c r="I56" s="1"/>
  <c r="I1441"/>
  <c r="H1441"/>
  <c r="H1079"/>
  <c r="I1079"/>
  <c r="I1068"/>
  <c r="I1067" s="1"/>
  <c r="H1068"/>
  <c r="H1067" s="1"/>
  <c r="H1902" i="1"/>
  <c r="H1901" s="1"/>
  <c r="G40" i="2" s="1"/>
  <c r="I1902" i="1"/>
  <c r="I1901" s="1"/>
  <c r="H40" i="2" s="1"/>
  <c r="I1893" i="1"/>
  <c r="I1892" s="1"/>
  <c r="I1891" s="1"/>
  <c r="H1893"/>
  <c r="H1892" s="1"/>
  <c r="I1792"/>
  <c r="I1791" s="1"/>
  <c r="I1782" s="1"/>
  <c r="I1781" s="1"/>
  <c r="H21" i="2" s="1"/>
  <c r="H2213" i="1"/>
  <c r="H2211" s="1"/>
  <c r="H2209" s="1"/>
  <c r="H1792"/>
  <c r="H1791" s="1"/>
  <c r="H1782" s="1"/>
  <c r="H1781" s="1"/>
  <c r="G21" i="2" s="1"/>
  <c r="H1722" i="1"/>
  <c r="I1722"/>
  <c r="H1415"/>
  <c r="H1411" s="1"/>
  <c r="I1415"/>
  <c r="I1411" s="1"/>
  <c r="H1452" i="3"/>
  <c r="H1451" s="1"/>
  <c r="H1230" i="1"/>
  <c r="I1452" i="3"/>
  <c r="I1451" s="1"/>
  <c r="I1230" i="1"/>
  <c r="H1059"/>
  <c r="H1058" s="1"/>
  <c r="H1057" s="1"/>
  <c r="H1051" s="1"/>
  <c r="I1059"/>
  <c r="I1058" s="1"/>
  <c r="I1057" s="1"/>
  <c r="I1051" s="1"/>
  <c r="G363"/>
  <c r="G361" s="1"/>
  <c r="G360" s="1"/>
  <c r="F60" i="2" s="1"/>
  <c r="H463" i="1"/>
  <c r="H462" s="1"/>
  <c r="H461" s="1"/>
  <c r="H460" s="1"/>
  <c r="I1061" i="3"/>
  <c r="I463" i="1"/>
  <c r="I462" s="1"/>
  <c r="I461" s="1"/>
  <c r="I460" s="1"/>
  <c r="H1061" i="3"/>
  <c r="I130"/>
  <c r="H130"/>
  <c r="I1434"/>
  <c r="I1433" s="1"/>
  <c r="H1434"/>
  <c r="H1433" s="1"/>
  <c r="I1486"/>
  <c r="I1483" s="1"/>
  <c r="I1479" s="1"/>
  <c r="H1486"/>
  <c r="H1483" s="1"/>
  <c r="H1479" s="1"/>
  <c r="I1236" i="1"/>
  <c r="I361"/>
  <c r="I360" s="1"/>
  <c r="H60" i="2" s="1"/>
  <c r="H906" i="3"/>
  <c r="H765" s="1"/>
  <c r="I906"/>
  <c r="I765" s="1"/>
  <c r="I20"/>
  <c r="H20"/>
  <c r="H1718" i="1"/>
  <c r="I1718"/>
  <c r="H430" i="3"/>
  <c r="I430"/>
  <c r="I46"/>
  <c r="I30" s="1"/>
  <c r="H1265" i="1"/>
  <c r="H1264" s="1"/>
  <c r="H1236"/>
  <c r="I1265"/>
  <c r="I1264" s="1"/>
  <c r="H46" i="3"/>
  <c r="H30" s="1"/>
  <c r="G32" i="2"/>
  <c r="H1089" i="1"/>
  <c r="G63" i="2"/>
  <c r="G62" s="1"/>
  <c r="I1089" i="1"/>
  <c r="H63" i="2"/>
  <c r="H62" s="1"/>
  <c r="I1517" i="3"/>
  <c r="I1516" s="1"/>
  <c r="H1103"/>
  <c r="I1103"/>
  <c r="H1107" i="1"/>
  <c r="H1106" s="1"/>
  <c r="G66" i="2" s="1"/>
  <c r="I1107" i="1"/>
  <c r="I1106" s="1"/>
  <c r="H66" i="2" s="1"/>
  <c r="I1408" i="3"/>
  <c r="H1000" i="1"/>
  <c r="H999" s="1"/>
  <c r="H998" s="1"/>
  <c r="G56" i="2" s="1"/>
  <c r="I1000" i="1"/>
  <c r="I999" s="1"/>
  <c r="I998" s="1"/>
  <c r="H56" i="2" s="1"/>
  <c r="I1132" i="3"/>
  <c r="I1432"/>
  <c r="I1431" s="1"/>
  <c r="I1430" s="1"/>
  <c r="I1429" s="1"/>
  <c r="H237" i="1"/>
  <c r="H1132" i="3"/>
  <c r="H1432"/>
  <c r="H1431" s="1"/>
  <c r="H1430" s="1"/>
  <c r="H1429" s="1"/>
  <c r="I1455"/>
  <c r="I1428" i="1"/>
  <c r="I1432"/>
  <c r="H1530" i="3"/>
  <c r="H1533" s="1"/>
  <c r="I1530"/>
  <c r="I1533" s="1"/>
  <c r="I909" i="1"/>
  <c r="I908" s="1"/>
  <c r="H1142"/>
  <c r="I388"/>
  <c r="I387" s="1"/>
  <c r="I386" s="1"/>
  <c r="H1055" i="3"/>
  <c r="H1054" s="1"/>
  <c r="I1055"/>
  <c r="I1054" s="1"/>
  <c r="H1455"/>
  <c r="H712"/>
  <c r="H388" i="1"/>
  <c r="H387" s="1"/>
  <c r="H386" s="1"/>
  <c r="H1428"/>
  <c r="H2012"/>
  <c r="H2008" s="1"/>
  <c r="H2007" s="1"/>
  <c r="G42" i="2" s="1"/>
  <c r="H1413" i="3"/>
  <c r="I712"/>
  <c r="I1413"/>
  <c r="H1408"/>
  <c r="H1515"/>
  <c r="H1670" i="1"/>
  <c r="G57" i="2" s="1"/>
  <c r="I1670" i="1"/>
  <c r="H57" i="2" s="1"/>
  <c r="H1154" i="1"/>
  <c r="I1154"/>
  <c r="H1147"/>
  <c r="I237"/>
  <c r="H1073"/>
  <c r="H1072" s="1"/>
  <c r="H909"/>
  <c r="H908" s="1"/>
  <c r="H1432"/>
  <c r="I1142"/>
  <c r="H1943"/>
  <c r="H1931" s="1"/>
  <c r="I395"/>
  <c r="I1147"/>
  <c r="I2012"/>
  <c r="I2008" s="1"/>
  <c r="I2007" s="1"/>
  <c r="H42" i="2" s="1"/>
  <c r="I94" i="1"/>
  <c r="I31" s="1"/>
  <c r="I95"/>
  <c r="I1073"/>
  <c r="I1072" s="1"/>
  <c r="H94"/>
  <c r="H31" s="1"/>
  <c r="H95"/>
  <c r="G1189" i="3"/>
  <c r="G1188" s="1"/>
  <c r="G1411"/>
  <c r="G1409"/>
  <c r="G1152" i="1"/>
  <c r="G1148"/>
  <c r="G813"/>
  <c r="G29" i="3"/>
  <c r="G28" s="1"/>
  <c r="G27" s="1"/>
  <c r="G464" i="1"/>
  <c r="G587" i="3"/>
  <c r="G586" s="1"/>
  <c r="G717" i="1"/>
  <c r="G716" s="1"/>
  <c r="G618" i="3"/>
  <c r="G22"/>
  <c r="G21" s="1"/>
  <c r="G1720" i="1"/>
  <c r="G1719" s="1"/>
  <c r="G239"/>
  <c r="G237" s="1"/>
  <c r="G767" i="3"/>
  <c r="G766" s="1"/>
  <c r="G230" i="1"/>
  <c r="G229" s="1"/>
  <c r="G1234"/>
  <c r="I1716" l="1"/>
  <c r="H58" i="2" s="1"/>
  <c r="H1716" i="1"/>
  <c r="G58" i="2" s="1"/>
  <c r="I975" i="1"/>
  <c r="I960" s="1"/>
  <c r="H975"/>
  <c r="H960" s="1"/>
  <c r="H193" i="3"/>
  <c r="I193"/>
  <c r="I1439"/>
  <c r="H1439"/>
  <c r="I2221" i="1"/>
  <c r="H2221"/>
  <c r="H1410"/>
  <c r="I1410"/>
  <c r="H385"/>
  <c r="G20" i="3"/>
  <c r="H1891" i="1"/>
  <c r="H1805" s="1"/>
  <c r="H1330"/>
  <c r="H1329" s="1"/>
  <c r="G33" i="2" s="1"/>
  <c r="H1351" i="1"/>
  <c r="H1350"/>
  <c r="G36" i="2" s="1"/>
  <c r="I1351" i="1"/>
  <c r="I1350"/>
  <c r="H36" i="2" s="1"/>
  <c r="I30" i="1"/>
  <c r="J1109" i="3"/>
  <c r="I713"/>
  <c r="I1050" i="1"/>
  <c r="I1049" s="1"/>
  <c r="H1050"/>
  <c r="H1049" s="1"/>
  <c r="I1056"/>
  <c r="H24" i="2" s="1"/>
  <c r="H1056" i="1"/>
  <c r="G24" i="2" s="1"/>
  <c r="I429" i="3"/>
  <c r="H429"/>
  <c r="I2059" i="1"/>
  <c r="H1930"/>
  <c r="G41" i="2" s="1"/>
  <c r="I1450" i="3"/>
  <c r="I1449" s="1"/>
  <c r="H1450"/>
  <c r="H1449" s="1"/>
  <c r="I1132" i="1"/>
  <c r="I1131" s="1"/>
  <c r="I1126" s="1"/>
  <c r="H1132"/>
  <c r="H1131" s="1"/>
  <c r="H1126" s="1"/>
  <c r="I1096"/>
  <c r="H1096"/>
  <c r="H48" i="2"/>
  <c r="G48"/>
  <c r="H1229" i="1"/>
  <c r="H1228" s="1"/>
  <c r="H1180" s="1"/>
  <c r="I1229"/>
  <c r="I1228" s="1"/>
  <c r="I1180" s="1"/>
  <c r="G463"/>
  <c r="G462" s="1"/>
  <c r="G461" s="1"/>
  <c r="G460" s="1"/>
  <c r="H1393" i="3"/>
  <c r="H1385" s="1"/>
  <c r="I1393"/>
  <c r="I1385" s="1"/>
  <c r="G49" i="2"/>
  <c r="H1463" i="3"/>
  <c r="H1462" s="1"/>
  <c r="H1459" s="1"/>
  <c r="H1458" s="1"/>
  <c r="I1463"/>
  <c r="I1462" s="1"/>
  <c r="I1459" s="1"/>
  <c r="I1458" s="1"/>
  <c r="G31" i="2"/>
  <c r="I385" i="1"/>
  <c r="I907"/>
  <c r="I906" s="1"/>
  <c r="H50" i="2" s="1"/>
  <c r="H1470" i="3"/>
  <c r="I1470"/>
  <c r="G54" i="2"/>
  <c r="G47"/>
  <c r="H54"/>
  <c r="H412" i="1"/>
  <c r="H406" s="1"/>
  <c r="I1263"/>
  <c r="H1131" i="3"/>
  <c r="H1130" s="1"/>
  <c r="H1129" s="1"/>
  <c r="I1131"/>
  <c r="I1130" s="1"/>
  <c r="H1424"/>
  <c r="I997" i="1"/>
  <c r="I1071"/>
  <c r="H29" i="2"/>
  <c r="H28" s="1"/>
  <c r="H997" i="1"/>
  <c r="H1071"/>
  <c r="G29" i="2"/>
  <c r="G28" s="1"/>
  <c r="H19" i="1"/>
  <c r="I19"/>
  <c r="H2059"/>
  <c r="H31" i="2"/>
  <c r="H30" s="1"/>
  <c r="H907" i="1"/>
  <c r="H906" s="1"/>
  <c r="G50" i="2" s="1"/>
  <c r="H47"/>
  <c r="I1424" i="3"/>
  <c r="I412" i="1"/>
  <c r="H1066" i="3"/>
  <c r="H194"/>
  <c r="I1066"/>
  <c r="I1780" i="1"/>
  <c r="I1797" s="1"/>
  <c r="I1097"/>
  <c r="H65" i="2" s="1"/>
  <c r="H64" s="1"/>
  <c r="H1780" i="1"/>
  <c r="H1797" s="1"/>
  <c r="H1097"/>
  <c r="G65" i="2" s="1"/>
  <c r="G64" s="1"/>
  <c r="G357" i="1"/>
  <c r="G356" s="1"/>
  <c r="G1718" s="1"/>
  <c r="G625" i="3"/>
  <c r="G1408"/>
  <c r="G915" i="1"/>
  <c r="G914" s="1"/>
  <c r="G1147"/>
  <c r="G238"/>
  <c r="G1074" i="3"/>
  <c r="G1073" s="1"/>
  <c r="G1064" i="1"/>
  <c r="G1413"/>
  <c r="G1412" s="1"/>
  <c r="G812"/>
  <c r="G811" s="1"/>
  <c r="H18" i="3" l="1"/>
  <c r="H1664" i="1"/>
  <c r="H958"/>
  <c r="G51" i="2" s="1"/>
  <c r="I958" i="1"/>
  <c r="I1129" i="3"/>
  <c r="I18" s="1"/>
  <c r="I1664" i="1"/>
  <c r="H451"/>
  <c r="H2058"/>
  <c r="G45" i="2"/>
  <c r="G44" s="1"/>
  <c r="I2058" i="1"/>
  <c r="H45" i="2"/>
  <c r="H44" s="1"/>
  <c r="H1357" i="3"/>
  <c r="I1357"/>
  <c r="I1116" i="1"/>
  <c r="H1116"/>
  <c r="H1344"/>
  <c r="I1344"/>
  <c r="G30" i="2"/>
  <c r="J1077" i="3"/>
  <c r="H1048" i="1"/>
  <c r="H1114" s="1"/>
  <c r="I1048"/>
  <c r="I1114" s="1"/>
  <c r="H37" i="2"/>
  <c r="G37"/>
  <c r="H53"/>
  <c r="H52" s="1"/>
  <c r="G53"/>
  <c r="G52" s="1"/>
  <c r="G38"/>
  <c r="H1263" i="1"/>
  <c r="H38" i="2"/>
  <c r="H39"/>
  <c r="I1900" i="1"/>
  <c r="G39" i="2"/>
  <c r="H1900" i="1"/>
  <c r="H359"/>
  <c r="G59" i="2"/>
  <c r="I359" i="1"/>
  <c r="H59" i="2"/>
  <c r="G55"/>
  <c r="I194" i="3"/>
  <c r="H55" i="2"/>
  <c r="H49"/>
  <c r="I406" i="1"/>
  <c r="I451" s="1"/>
  <c r="H30"/>
  <c r="G532" i="3"/>
  <c r="G531" s="1"/>
  <c r="H51" i="2" l="1"/>
  <c r="H46" s="1"/>
  <c r="I473" i="1"/>
  <c r="I1046" s="1"/>
  <c r="H473"/>
  <c r="H1046" s="1"/>
  <c r="I1769"/>
  <c r="I1523" i="3"/>
  <c r="H1769" i="1"/>
  <c r="H1523" i="3"/>
  <c r="G34" i="2"/>
  <c r="H34"/>
  <c r="H22"/>
  <c r="G22"/>
  <c r="G27"/>
  <c r="H27"/>
  <c r="I129" i="1"/>
  <c r="H129"/>
  <c r="H380" s="1"/>
  <c r="H2108"/>
  <c r="G46" i="2"/>
  <c r="H2222" i="1" l="1"/>
  <c r="G19" i="2"/>
  <c r="G67" s="1"/>
  <c r="H19"/>
  <c r="H67" s="1"/>
  <c r="I380" i="1"/>
  <c r="I1805"/>
  <c r="I2108" s="1"/>
  <c r="I1528" i="3"/>
  <c r="H1528"/>
  <c r="G196"/>
  <c r="G195" s="1"/>
  <c r="G97" i="1"/>
  <c r="G96" s="1"/>
  <c r="G136" i="3"/>
  <c r="G914"/>
  <c r="G913" s="1"/>
  <c r="G221" i="1"/>
  <c r="G1184" i="3"/>
  <c r="G2015" i="1"/>
  <c r="G1943"/>
  <c r="G1944"/>
  <c r="H2227" l="1"/>
  <c r="G91" i="2"/>
  <c r="H1551" i="3"/>
  <c r="G71" i="2"/>
  <c r="I2222" i="1"/>
  <c r="G134" i="3"/>
  <c r="G135"/>
  <c r="H69" i="2"/>
  <c r="G69"/>
  <c r="H1532" i="3"/>
  <c r="G95" i="1"/>
  <c r="G94"/>
  <c r="I2227" l="1"/>
  <c r="I1551" i="3"/>
  <c r="H71" i="2"/>
  <c r="H91"/>
  <c r="I1532" i="3"/>
  <c r="G1059"/>
  <c r="G728" i="1"/>
  <c r="G727" s="1"/>
  <c r="G726" s="1"/>
  <c r="G1407" i="3" l="1"/>
  <c r="G1406" s="1"/>
  <c r="G1405"/>
  <c r="G1404" s="1"/>
  <c r="G1417"/>
  <c r="G1416" s="1"/>
  <c r="G1415"/>
  <c r="G1414" s="1"/>
  <c r="G1155" i="1"/>
  <c r="G1154" s="1"/>
  <c r="G433" i="3"/>
  <c r="G432" s="1"/>
  <c r="G608" i="1"/>
  <c r="G52" i="3"/>
  <c r="G51" s="1"/>
  <c r="G48"/>
  <c r="G47" s="1"/>
  <c r="G1196" i="1"/>
  <c r="G1195" s="1"/>
  <c r="G1145"/>
  <c r="G1143"/>
  <c r="G235"/>
  <c r="G234" s="1"/>
  <c r="G233" s="1"/>
  <c r="G1457" i="3"/>
  <c r="G1455" s="1"/>
  <c r="G46" l="1"/>
  <c r="G607" i="1"/>
  <c r="G1413" i="3"/>
  <c r="G1403"/>
  <c r="G1142" i="1"/>
  <c r="G1069"/>
  <c r="G1068" s="1"/>
  <c r="G1067" s="1"/>
  <c r="G1066" s="1"/>
  <c r="G517"/>
  <c r="G516" s="1"/>
  <c r="G528"/>
  <c r="G527" s="1"/>
  <c r="G841"/>
  <c r="G840" s="1"/>
  <c r="G827" s="1"/>
  <c r="G33" i="3"/>
  <c r="G32" s="1"/>
  <c r="G31" s="1"/>
  <c r="G30" l="1"/>
  <c r="G1183" i="1"/>
  <c r="G1182" s="1"/>
  <c r="G1181" s="1"/>
  <c r="G1210" i="3" l="1"/>
  <c r="G1209" s="1"/>
  <c r="G1436" i="1"/>
  <c r="G1435" s="1"/>
  <c r="G1434" s="1"/>
  <c r="G1433" s="1"/>
  <c r="G717" i="3"/>
  <c r="G715" s="1"/>
  <c r="G720"/>
  <c r="G719" s="1"/>
  <c r="G2071" i="1"/>
  <c r="G2070" s="1"/>
  <c r="G2068"/>
  <c r="G2067" s="1"/>
  <c r="G215" l="1"/>
  <c r="G34"/>
  <c r="G33" s="1"/>
  <c r="G32" s="1"/>
  <c r="G1007" i="3"/>
  <c r="G1006" s="1"/>
  <c r="G372"/>
  <c r="G661"/>
  <c r="G1070"/>
  <c r="G1069" s="1"/>
  <c r="G210"/>
  <c r="G209" s="1"/>
  <c r="G236"/>
  <c r="G235" s="1"/>
  <c r="G232" s="1"/>
  <c r="G231" s="1"/>
  <c r="G207"/>
  <c r="G1392"/>
  <c r="G1391" s="1"/>
  <c r="G1390" s="1"/>
  <c r="G1386" s="1"/>
  <c r="G1396"/>
  <c r="G1395" s="1"/>
  <c r="G1398"/>
  <c r="G1397" s="1"/>
  <c r="G1402"/>
  <c r="G1401" s="1"/>
  <c r="G1420"/>
  <c r="G1419" s="1"/>
  <c r="G1418" s="1"/>
  <c r="G1428"/>
  <c r="G1427" s="1"/>
  <c r="G1426" s="1"/>
  <c r="G1425" s="1"/>
  <c r="G1432"/>
  <c r="G1431" s="1"/>
  <c r="G1430" s="1"/>
  <c r="G1429" s="1"/>
  <c r="G1436"/>
  <c r="G1435" s="1"/>
  <c r="G1438"/>
  <c r="G1437" s="1"/>
  <c r="G1448"/>
  <c r="G1447" s="1"/>
  <c r="G1446" s="1"/>
  <c r="G1439" s="1"/>
  <c r="G1452"/>
  <c r="G1451" s="1"/>
  <c r="G1454"/>
  <c r="G1453" s="1"/>
  <c r="G1466"/>
  <c r="G1459" s="1"/>
  <c r="G1518"/>
  <c r="G1515" s="1"/>
  <c r="G212"/>
  <c r="G186"/>
  <c r="G59"/>
  <c r="G58" s="1"/>
  <c r="G61"/>
  <c r="G60" s="1"/>
  <c r="G63"/>
  <c r="G62" s="1"/>
  <c r="G66"/>
  <c r="G65" s="1"/>
  <c r="G64" s="1"/>
  <c r="G72"/>
  <c r="G71" s="1"/>
  <c r="G70" s="1"/>
  <c r="G75"/>
  <c r="G74" s="1"/>
  <c r="G73" s="1"/>
  <c r="G133"/>
  <c r="G132" s="1"/>
  <c r="G131" s="1"/>
  <c r="G139"/>
  <c r="G359"/>
  <c r="G378"/>
  <c r="G384"/>
  <c r="G383" s="1"/>
  <c r="G382" s="1"/>
  <c r="G427"/>
  <c r="G426" s="1"/>
  <c r="G542"/>
  <c r="G541" s="1"/>
  <c r="G848" i="1"/>
  <c r="G847" s="1"/>
  <c r="G846" s="1"/>
  <c r="G663" i="3"/>
  <c r="G662" s="1"/>
  <c r="G605"/>
  <c r="G604" s="1"/>
  <c r="G617"/>
  <c r="G624"/>
  <c r="G623" s="1"/>
  <c r="G619"/>
  <c r="G685"/>
  <c r="G795"/>
  <c r="G794" s="1"/>
  <c r="G793" s="1"/>
  <c r="G798"/>
  <c r="G797" s="1"/>
  <c r="G796" s="1"/>
  <c r="G861"/>
  <c r="G860" s="1"/>
  <c r="G859" s="1"/>
  <c r="G864"/>
  <c r="G863" s="1"/>
  <c r="G862" s="1"/>
  <c r="G871"/>
  <c r="G870" s="1"/>
  <c r="G908"/>
  <c r="G907" s="1"/>
  <c r="G912"/>
  <c r="G911" s="1"/>
  <c r="G349" i="1"/>
  <c r="G346" s="1"/>
  <c r="G345" s="1"/>
  <c r="G344" s="1"/>
  <c r="G337" s="1"/>
  <c r="G1004" i="3"/>
  <c r="G1003" s="1"/>
  <c r="G1031"/>
  <c r="G1030" s="1"/>
  <c r="G1034"/>
  <c r="G1033" s="1"/>
  <c r="G1032" s="1"/>
  <c r="G1047"/>
  <c r="G1057"/>
  <c r="G1056" s="1"/>
  <c r="G1058"/>
  <c r="G1072"/>
  <c r="G1071" s="1"/>
  <c r="G1767" i="1"/>
  <c r="G1766" s="1"/>
  <c r="G1765" s="1"/>
  <c r="G1092" i="3"/>
  <c r="G1095"/>
  <c r="G1094" s="1"/>
  <c r="G1093" s="1"/>
  <c r="G1106"/>
  <c r="G1164"/>
  <c r="G1163" s="1"/>
  <c r="G1181"/>
  <c r="G1183"/>
  <c r="G1195"/>
  <c r="G1194" s="1"/>
  <c r="G1201"/>
  <c r="G1200" s="1"/>
  <c r="G1207"/>
  <c r="G1206" s="1"/>
  <c r="G1148"/>
  <c r="G1147" s="1"/>
  <c r="G1150"/>
  <c r="G1149" s="1"/>
  <c r="G1152"/>
  <c r="G1151" s="1"/>
  <c r="G1186"/>
  <c r="G1161"/>
  <c r="G1158" s="1"/>
  <c r="G1318"/>
  <c r="G1317" s="1"/>
  <c r="G1322"/>
  <c r="G1321" s="1"/>
  <c r="G1320" s="1"/>
  <c r="G1325"/>
  <c r="G1324" s="1"/>
  <c r="G1323" s="1"/>
  <c r="G1331"/>
  <c r="G1340"/>
  <c r="G1339" s="1"/>
  <c r="G1338" s="1"/>
  <c r="G1334"/>
  <c r="G1333" s="1"/>
  <c r="G1332" s="1"/>
  <c r="G1132"/>
  <c r="G1138"/>
  <c r="G1137" s="1"/>
  <c r="G1136" s="1"/>
  <c r="G796" i="1"/>
  <c r="G794"/>
  <c r="G793" s="1"/>
  <c r="G165"/>
  <c r="G164" s="1"/>
  <c r="G168"/>
  <c r="G167" s="1"/>
  <c r="G563"/>
  <c r="G562" s="1"/>
  <c r="G568"/>
  <c r="G565" s="1"/>
  <c r="G724"/>
  <c r="G723" s="1"/>
  <c r="G722" s="1"/>
  <c r="G551" s="1"/>
  <c r="G550" s="1"/>
  <c r="G663"/>
  <c r="G662" s="1"/>
  <c r="G669"/>
  <c r="G757" s="1"/>
  <c r="G756" s="1"/>
  <c r="G478"/>
  <c r="G477" s="1"/>
  <c r="G481"/>
  <c r="G480" s="1"/>
  <c r="G520"/>
  <c r="G519" s="1"/>
  <c r="G523"/>
  <c r="G522" s="1"/>
  <c r="G1232"/>
  <c r="G1898"/>
  <c r="G1416"/>
  <c r="G1430"/>
  <c r="G1429" s="1"/>
  <c r="G415"/>
  <c r="G414" s="1"/>
  <c r="G418"/>
  <c r="G417" s="1"/>
  <c r="G1332"/>
  <c r="G1331" s="1"/>
  <c r="G1330" s="1"/>
  <c r="G1342"/>
  <c r="G1341" s="1"/>
  <c r="G1340" s="1"/>
  <c r="G1134"/>
  <c r="G1136"/>
  <c r="G1060"/>
  <c r="G1062"/>
  <c r="G1076"/>
  <c r="G1075" s="1"/>
  <c r="G1094"/>
  <c r="G1093" s="1"/>
  <c r="G1092" s="1"/>
  <c r="G1091" s="1"/>
  <c r="G1090" s="1"/>
  <c r="G1089" s="1"/>
  <c r="G1101"/>
  <c r="G1100" s="1"/>
  <c r="G1099" s="1"/>
  <c r="G1098" s="1"/>
  <c r="G1110"/>
  <c r="G1109" s="1"/>
  <c r="G1168"/>
  <c r="G1167" s="1"/>
  <c r="G1813"/>
  <c r="G1812" s="1"/>
  <c r="G1816"/>
  <c r="G1815" s="1"/>
  <c r="G1933"/>
  <c r="G1904"/>
  <c r="G1903" s="1"/>
  <c r="G1907"/>
  <c r="G1906" s="1"/>
  <c r="G1910"/>
  <c r="G1909" s="1"/>
  <c r="G2013"/>
  <c r="G2018"/>
  <c r="G2017" s="1"/>
  <c r="G2073"/>
  <c r="G2060" s="1"/>
  <c r="G1701"/>
  <c r="G1700" s="1"/>
  <c r="G1694"/>
  <c r="G1693" s="1"/>
  <c r="G1692" s="1"/>
  <c r="G1707"/>
  <c r="G1706" s="1"/>
  <c r="G1733"/>
  <c r="G1732" s="1"/>
  <c r="G1124"/>
  <c r="G1123" s="1"/>
  <c r="G1160"/>
  <c r="G1159" s="1"/>
  <c r="G1127"/>
  <c r="G1178"/>
  <c r="G1177" s="1"/>
  <c r="G1176" s="1"/>
  <c r="G1175" s="1"/>
  <c r="F26" i="2" s="1"/>
  <c r="G1247" i="1"/>
  <c r="G1220"/>
  <c r="G1219" s="1"/>
  <c r="G1212" s="1"/>
  <c r="G1353"/>
  <c r="G1352" s="1"/>
  <c r="G389"/>
  <c r="G391"/>
  <c r="G398"/>
  <c r="G397" s="1"/>
  <c r="G396" s="1"/>
  <c r="G395" s="1"/>
  <c r="G544"/>
  <c r="G910"/>
  <c r="G912"/>
  <c r="G917"/>
  <c r="G921"/>
  <c r="G920" s="1"/>
  <c r="G622" i="3" s="1"/>
  <c r="G621" s="1"/>
  <c r="G977" i="1"/>
  <c r="G979"/>
  <c r="G1001"/>
  <c r="G1000" s="1"/>
  <c r="G999" s="1"/>
  <c r="G998" s="1"/>
  <c r="G1010"/>
  <c r="G1009" s="1"/>
  <c r="G1007"/>
  <c r="G1006" s="1"/>
  <c r="G1785"/>
  <c r="G1784" s="1"/>
  <c r="G1789"/>
  <c r="G1788" s="1"/>
  <c r="G1787" s="1"/>
  <c r="G1793"/>
  <c r="G1795"/>
  <c r="G2216"/>
  <c r="G2213" s="1"/>
  <c r="G2211" s="1"/>
  <c r="G1896"/>
  <c r="G1724"/>
  <c r="G1723" s="1"/>
  <c r="G364" i="3"/>
  <c r="G363" s="1"/>
  <c r="G1708" i="1"/>
  <c r="G2074"/>
  <c r="G393"/>
  <c r="G1129"/>
  <c r="G1128" s="1"/>
  <c r="G910" i="3"/>
  <c r="G909" s="1"/>
  <c r="G1698" i="1"/>
  <c r="G1697" s="1"/>
  <c r="G1696" s="1"/>
  <c r="G1670" s="1"/>
  <c r="G1668"/>
  <c r="G1667" s="1"/>
  <c r="G1666" s="1"/>
  <c r="G1665" s="1"/>
  <c r="G557"/>
  <c r="G556" s="1"/>
  <c r="G800"/>
  <c r="G799" s="1"/>
  <c r="G148" l="1"/>
  <c r="G1783"/>
  <c r="G2192"/>
  <c r="G2189" s="1"/>
  <c r="G2185" s="1"/>
  <c r="G2177" s="1"/>
  <c r="G2151" s="1"/>
  <c r="G1119"/>
  <c r="G1118" s="1"/>
  <c r="G1117" s="1"/>
  <c r="F20" i="2" s="1"/>
  <c r="G1394" i="3"/>
  <c r="G1393" s="1"/>
  <c r="G1133" i="1"/>
  <c r="G1132" s="1"/>
  <c r="G765"/>
  <c r="G764" s="1"/>
  <c r="G755"/>
  <c r="G754" s="1"/>
  <c r="G1002" i="3"/>
  <c r="G543" i="1"/>
  <c r="G542" s="1"/>
  <c r="G792"/>
  <c r="G791" s="1"/>
  <c r="G790" s="1"/>
  <c r="G1185" i="3"/>
  <c r="G1166" i="1"/>
  <c r="G1165" s="1"/>
  <c r="F23" i="2" s="1"/>
  <c r="G1764" i="1"/>
  <c r="G1763" s="1"/>
  <c r="G1762" s="1"/>
  <c r="I62" i="2" s="1"/>
  <c r="G31" i="1"/>
  <c r="G413"/>
  <c r="G138" i="3"/>
  <c r="G137" s="1"/>
  <c r="G130" s="1"/>
  <c r="G1458"/>
  <c r="F56" i="2"/>
  <c r="G1029" i="3"/>
  <c r="G1028" s="1"/>
  <c r="G1027" s="1"/>
  <c r="J1026"/>
  <c r="G1932" i="1"/>
  <c r="G1931" s="1"/>
  <c r="G668"/>
  <c r="G1351"/>
  <c r="G1005"/>
  <c r="G1004" s="1"/>
  <c r="G1003" s="1"/>
  <c r="G1808"/>
  <c r="G1059"/>
  <c r="G1058" s="1"/>
  <c r="G1057" s="1"/>
  <c r="G682" i="3"/>
  <c r="G681" s="1"/>
  <c r="G1077"/>
  <c r="G1076" s="1"/>
  <c r="G1075" s="1"/>
  <c r="G1146"/>
  <c r="G1079"/>
  <c r="G1068"/>
  <c r="G1067" s="1"/>
  <c r="G1893" i="1"/>
  <c r="G1892" s="1"/>
  <c r="G1891" s="1"/>
  <c r="G1902"/>
  <c r="G1792"/>
  <c r="G1791" s="1"/>
  <c r="G1782" s="1"/>
  <c r="G1781" s="1"/>
  <c r="G1415"/>
  <c r="G1411" s="1"/>
  <c r="G1108"/>
  <c r="G1107" s="1"/>
  <c r="G1106" s="1"/>
  <c r="G1434" i="3"/>
  <c r="G1433" s="1"/>
  <c r="G1424" s="1"/>
  <c r="G1450"/>
  <c r="G377"/>
  <c r="G376" s="1"/>
  <c r="G906"/>
  <c r="G765" s="1"/>
  <c r="G2059" i="1"/>
  <c r="G349" i="3"/>
  <c r="G348" s="1"/>
  <c r="G712"/>
  <c r="G211"/>
  <c r="G208" s="1"/>
  <c r="L201"/>
  <c r="G976" i="1"/>
  <c r="G1131" i="3"/>
  <c r="G1130" s="1"/>
  <c r="G1129" s="1"/>
  <c r="G1104"/>
  <c r="G1103" s="1"/>
  <c r="G1096" s="1"/>
  <c r="G1073" i="1"/>
  <c r="G1072" s="1"/>
  <c r="G1071" s="1"/>
  <c r="G1074"/>
  <c r="G1091" i="3"/>
  <c r="G1090" s="1"/>
  <c r="G185"/>
  <c r="G184" s="1"/>
  <c r="G206"/>
  <c r="G205" s="1"/>
  <c r="G1087"/>
  <c r="G1086" s="1"/>
  <c r="G1428" i="1"/>
  <c r="G616" i="3"/>
  <c r="G1055"/>
  <c r="G1054" s="1"/>
  <c r="G660"/>
  <c r="G659" s="1"/>
  <c r="G658" s="1"/>
  <c r="G1517"/>
  <c r="G1516" s="1"/>
  <c r="G358"/>
  <c r="G1530"/>
  <c r="G1533" s="1"/>
  <c r="F63" i="2"/>
  <c r="F62" s="1"/>
  <c r="G1062" i="3"/>
  <c r="G371"/>
  <c r="G370" s="1"/>
  <c r="G713"/>
  <c r="G1330"/>
  <c r="G1329" s="1"/>
  <c r="G1316" s="1"/>
  <c r="G1432" i="1"/>
  <c r="G1329"/>
  <c r="G909"/>
  <c r="G908" s="1"/>
  <c r="G362" i="3"/>
  <c r="G344" s="1"/>
  <c r="G1180"/>
  <c r="G355"/>
  <c r="G354" s="1"/>
  <c r="G2012" i="1"/>
  <c r="G2008" s="1"/>
  <c r="G2007" s="1"/>
  <c r="F42" i="2" s="1"/>
  <c r="G657" i="3"/>
  <c r="G656" s="1"/>
  <c r="G655" s="1"/>
  <c r="G654" s="1"/>
  <c r="G1046"/>
  <c r="G1045" s="1"/>
  <c r="G1044" s="1"/>
  <c r="G2219" i="1"/>
  <c r="G2218" s="1"/>
  <c r="G2209" s="1"/>
  <c r="G388"/>
  <c r="G387" s="1"/>
  <c r="G386" s="1"/>
  <c r="G560"/>
  <c r="G559" s="1"/>
  <c r="G1840"/>
  <c r="G1837" s="1"/>
  <c r="G1836" s="1"/>
  <c r="G484"/>
  <c r="G483" s="1"/>
  <c r="G57" i="3"/>
  <c r="G56" s="1"/>
  <c r="G1727" i="1"/>
  <c r="G1726" s="1"/>
  <c r="G122"/>
  <c r="G1304"/>
  <c r="G1303" s="1"/>
  <c r="G1297" s="1"/>
  <c r="G1296" s="1"/>
  <c r="G1264"/>
  <c r="G1229"/>
  <c r="G1228" s="1"/>
  <c r="G1180" s="1"/>
  <c r="F27" i="2" s="1"/>
  <c r="G1145" i="3" l="1"/>
  <c r="G183"/>
  <c r="G153" s="1"/>
  <c r="G130" i="1"/>
  <c r="G907"/>
  <c r="G906" s="1"/>
  <c r="G1722"/>
  <c r="G1716" s="1"/>
  <c r="F58" i="2" s="1"/>
  <c r="F49"/>
  <c r="G343" i="3"/>
  <c r="G975" i="1"/>
  <c r="G960" s="1"/>
  <c r="G476"/>
  <c r="G475" s="1"/>
  <c r="G474" s="1"/>
  <c r="G1410"/>
  <c r="G2058"/>
  <c r="I44" i="2" s="1"/>
  <c r="F21"/>
  <c r="G1780" i="1"/>
  <c r="J1023" i="3"/>
  <c r="J1020"/>
  <c r="G201"/>
  <c r="G1449"/>
  <c r="L1523"/>
  <c r="G1997" i="1"/>
  <c r="F57" i="2"/>
  <c r="G1350" i="1"/>
  <c r="G1901"/>
  <c r="F40" i="2" s="1"/>
  <c r="G121" i="1"/>
  <c r="G361" i="3"/>
  <c r="G360" s="1"/>
  <c r="G357" s="1"/>
  <c r="K766"/>
  <c r="G1066"/>
  <c r="G1056" i="1"/>
  <c r="G1051"/>
  <c r="G1050" s="1"/>
  <c r="F66" i="2"/>
  <c r="G1096" i="1"/>
  <c r="I64" i="2" s="1"/>
  <c r="F33"/>
  <c r="G1061" i="3"/>
  <c r="G385" i="1"/>
  <c r="L56" i="3"/>
  <c r="G412" i="1"/>
  <c r="G406" s="1"/>
  <c r="F29" i="2"/>
  <c r="F28" s="1"/>
  <c r="G1131" i="1"/>
  <c r="G1126" s="1"/>
  <c r="G1385" i="3"/>
  <c r="G359" i="1"/>
  <c r="G1097"/>
  <c r="F65" i="2" s="1"/>
  <c r="G997" i="1"/>
  <c r="G129" l="1"/>
  <c r="F53" i="2"/>
  <c r="F38"/>
  <c r="G1357" i="3"/>
  <c r="G958" i="1"/>
  <c r="G1116"/>
  <c r="G451"/>
  <c r="F47" i="2"/>
  <c r="G193" i="3"/>
  <c r="G1990" i="1"/>
  <c r="G1989" s="1"/>
  <c r="G1930" s="1"/>
  <c r="F41" i="2" s="1"/>
  <c r="G120" i="1"/>
  <c r="G111" s="1"/>
  <c r="G30" s="1"/>
  <c r="G1664"/>
  <c r="F36" i="2"/>
  <c r="G1344" i="1"/>
  <c r="G1263"/>
  <c r="G1807"/>
  <c r="G1806" s="1"/>
  <c r="F37" i="2" s="1"/>
  <c r="G1049" i="1"/>
  <c r="F64" i="2"/>
  <c r="G1060" i="3"/>
  <c r="G18" s="1"/>
  <c r="G194"/>
  <c r="F48" i="2"/>
  <c r="L1543" i="3"/>
  <c r="I59" i="2"/>
  <c r="F54"/>
  <c r="I52"/>
  <c r="F59"/>
  <c r="F31"/>
  <c r="G1797" i="1"/>
  <c r="G1769" l="1"/>
  <c r="F51" i="2"/>
  <c r="G473" i="1"/>
  <c r="G1046" s="1"/>
  <c r="G1523" i="3"/>
  <c r="I30" i="2"/>
  <c r="F50"/>
  <c r="F24"/>
  <c r="G2221" i="1"/>
  <c r="F39" i="2"/>
  <c r="G1900" i="1"/>
  <c r="I55" i="2"/>
  <c r="F32"/>
  <c r="F30" s="1"/>
  <c r="F55"/>
  <c r="G1048" i="1"/>
  <c r="G1114" s="1"/>
  <c r="F22" i="2"/>
  <c r="F52"/>
  <c r="G19" i="1"/>
  <c r="G380" s="1"/>
  <c r="F46" i="2" l="1"/>
  <c r="F19"/>
  <c r="I39"/>
  <c r="F34"/>
  <c r="I46"/>
  <c r="I19"/>
  <c r="G1805" i="1"/>
  <c r="G2108" s="1"/>
  <c r="I34" i="2" l="1"/>
  <c r="G1528" i="3"/>
  <c r="G2202" i="1"/>
  <c r="F45" i="2" s="1"/>
  <c r="F44" s="1"/>
  <c r="F67" s="1"/>
  <c r="G2201" i="1" l="1"/>
  <c r="F69" i="2"/>
  <c r="G2207" i="1" l="1"/>
  <c r="G2222" s="1"/>
  <c r="F91" i="2" l="1"/>
  <c r="G1532" i="3"/>
  <c r="G1551"/>
  <c r="G2227" i="1"/>
</calcChain>
</file>

<file path=xl/sharedStrings.xml><?xml version="1.0" encoding="utf-8"?>
<sst xmlns="http://schemas.openxmlformats.org/spreadsheetml/2006/main" count="17168" uniqueCount="1117">
  <si>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</si>
  <si>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</si>
  <si>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</si>
  <si>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</si>
  <si>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</si>
  <si>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</si>
  <si>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</si>
  <si>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</si>
  <si>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</si>
  <si>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</si>
  <si>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</si>
  <si>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</si>
  <si>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</si>
  <si>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</si>
  <si>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</si>
  <si>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</si>
  <si>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</si>
  <si>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</si>
  <si>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</si>
  <si>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</si>
  <si>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</si>
  <si>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</si>
  <si>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</si>
  <si>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</si>
  <si>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</si>
  <si>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</si>
  <si>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</si>
  <si>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</si>
  <si>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</si>
  <si>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</si>
  <si>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</si>
  <si>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</si>
  <si>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</si>
  <si>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</si>
  <si>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</si>
  <si>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</si>
  <si>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</si>
  <si>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</si>
  <si>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</si>
  <si>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</si>
  <si>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</si>
  <si>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</si>
  <si>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</si>
  <si>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</si>
  <si>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</si>
  <si>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</si>
  <si>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</si>
  <si>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</si>
  <si>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</si>
  <si>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</si>
  <si>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</si>
  <si>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</si>
  <si>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</si>
  <si>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</si>
  <si>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</si>
  <si>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</si>
  <si>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</si>
  <si>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</si>
  <si>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</si>
  <si>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</si>
  <si>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</si>
  <si>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</si>
  <si>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</si>
  <si>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</si>
  <si>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</si>
  <si>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</si>
  <si>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</si>
  <si>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</si>
  <si>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</si>
  <si>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</si>
  <si>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</si>
  <si>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</si>
  <si>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</si>
  <si>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</si>
  <si>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</si>
  <si>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</si>
  <si>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</si>
  <si>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</si>
  <si>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</si>
  <si>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</si>
  <si>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</si>
  <si>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</si>
  <si>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</si>
  <si>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</si>
  <si>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</si>
  <si>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</si>
  <si>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</si>
  <si>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</si>
  <si>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</si>
  <si>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</si>
  <si>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</si>
  <si>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</si>
  <si>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</si>
  <si>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</si>
  <si>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</si>
  <si>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</si>
  <si>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</si>
  <si>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</si>
  <si>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</si>
  <si>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</si>
  <si>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</si>
  <si>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</si>
  <si>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</si>
  <si>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</si>
  <si>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</si>
  <si>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</si>
  <si>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</si>
  <si>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</si>
  <si>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</si>
  <si>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</si>
  <si>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</si>
  <si>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</si>
  <si>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</si>
  <si>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</si>
  <si>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</si>
  <si>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</si>
  <si>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</si>
  <si>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</si>
  <si>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</si>
  <si>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</si>
  <si>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</si>
  <si>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</si>
  <si>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</si>
  <si>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</si>
  <si>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</si>
  <si>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</si>
  <si>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</si>
  <si>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</si>
  <si>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</si>
  <si>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</si>
  <si>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</si>
  <si>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</si>
  <si>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</si>
  <si>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</si>
  <si>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</si>
  <si>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</si>
  <si>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</si>
  <si>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</si>
  <si>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</si>
  <si>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</si>
  <si>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</si>
  <si>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</si>
  <si>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</si>
  <si>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</si>
  <si>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</si>
  <si>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</si>
  <si>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</si>
  <si>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</si>
  <si>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</si>
  <si>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</si>
  <si>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</si>
  <si>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</si>
  <si>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</si>
  <si>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</si>
  <si>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</si>
  <si>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</si>
  <si>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</si>
  <si>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</si>
  <si>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</si>
  <si>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</si>
  <si>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</si>
  <si>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</si>
  <si>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</si>
  <si>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</si>
  <si>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</si>
  <si>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</si>
  <si>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</si>
  <si>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</si>
  <si>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</si>
  <si>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</si>
  <si>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</si>
  <si>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</si>
  <si>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</si>
  <si>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</si>
  <si>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</si>
  <si>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</si>
  <si>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</si>
  <si>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</si>
  <si>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</si>
  <si>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</si>
  <si>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</si>
  <si>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</si>
  <si>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</si>
  <si>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</si>
  <si>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</si>
  <si>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</si>
  <si>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</si>
  <si>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</si>
  <si>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</si>
  <si>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</si>
  <si>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</si>
  <si>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</si>
  <si>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</si>
  <si>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</si>
  <si>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</si>
  <si>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</si>
  <si>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</si>
  <si>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</si>
  <si>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</si>
  <si>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</si>
  <si>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</si>
  <si>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</si>
  <si>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</si>
  <si>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</si>
  <si>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</si>
  <si>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</si>
  <si>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</si>
  <si>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</si>
  <si>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</si>
  <si>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</si>
  <si>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</si>
  <si>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</si>
  <si>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</si>
  <si>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</si>
  <si>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</si>
  <si>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</si>
  <si>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</si>
  <si>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</si>
  <si>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</si>
  <si>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</si>
  <si>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</si>
  <si>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</si>
  <si>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</si>
  <si>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</si>
  <si>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</si>
  <si>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</si>
  <si>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</si>
  <si>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</si>
  <si>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</si>
  <si>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</si>
  <si>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</si>
  <si>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</si>
  <si>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</si>
  <si>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</si>
  <si>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</si>
  <si>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</si>
  <si>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</si>
  <si>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</si>
  <si>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</si>
  <si>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</si>
  <si>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</si>
  <si>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</si>
  <si>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</si>
  <si>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</si>
  <si>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</si>
  <si>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</si>
  <si>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</si>
  <si>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</si>
  <si>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</si>
  <si>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</si>
  <si>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</si>
  <si>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</si>
  <si>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</si>
  <si>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</si>
  <si>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</si>
  <si>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</si>
  <si>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</si>
  <si>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</si>
  <si>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</si>
  <si>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</si>
  <si>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</si>
  <si>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</si>
  <si>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</si>
  <si>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</si>
  <si>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</si>
  <si>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</si>
  <si>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</si>
  <si>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</si>
  <si>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</si>
  <si>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</si>
  <si>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</si>
  <si>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</si>
  <si>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</si>
  <si>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</si>
  <si>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</si>
  <si>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</si>
  <si>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</si>
  <si>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</si>
  <si>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</si>
  <si>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</si>
  <si>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</si>
  <si>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</si>
  <si>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</si>
  <si>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</si>
  <si>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</si>
  <si>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</si>
  <si>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</si>
  <si>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</si>
  <si>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</si>
  <si>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</si>
  <si>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</si>
  <si>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</si>
  <si>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</si>
  <si>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</si>
  <si>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</si>
  <si>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</si>
  <si>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</si>
  <si>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</si>
  <si>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</si>
  <si>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</si>
  <si>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</si>
  <si>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</si>
  <si>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</si>
  <si>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</si>
  <si>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</si>
  <si>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</si>
  <si>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</si>
  <si>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</si>
  <si>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</si>
  <si>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</si>
  <si>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</si>
  <si>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</si>
  <si>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</si>
  <si>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</si>
  <si>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</si>
  <si>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</si>
  <si>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</si>
  <si>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</si>
  <si>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</si>
  <si>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</si>
  <si>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</si>
  <si>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</si>
  <si>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</si>
  <si>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</si>
  <si>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</si>
  <si>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</si>
  <si>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</si>
  <si>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</si>
  <si>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</si>
  <si>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</si>
  <si>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</si>
  <si>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</si>
  <si>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</si>
  <si>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</si>
  <si>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</si>
  <si>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</si>
  <si>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</si>
  <si>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</si>
  <si>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</si>
  <si>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</si>
  <si>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</si>
  <si>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</si>
  <si>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</si>
  <si>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</si>
  <si>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</si>
  <si>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</si>
  <si>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</si>
  <si>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</si>
  <si>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</si>
  <si>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</si>
  <si>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</si>
  <si>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</si>
  <si>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</si>
  <si>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</si>
  <si>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</si>
  <si>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</si>
  <si>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</si>
  <si>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</si>
  <si>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</si>
  <si>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</si>
  <si>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</si>
  <si>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</si>
  <si>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</si>
  <si>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</si>
  <si>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</si>
  <si>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</si>
  <si>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</si>
  <si>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</si>
  <si>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</si>
  <si>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</si>
  <si>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</si>
  <si>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</si>
  <si>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</si>
  <si>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</si>
  <si>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</si>
  <si>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</si>
  <si>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</si>
  <si>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</si>
  <si>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</si>
  <si>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</si>
  <si>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</si>
  <si>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</si>
  <si>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</si>
  <si>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</si>
  <si>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</si>
  <si>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</si>
  <si>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</si>
  <si>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</si>
  <si>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</si>
  <si>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</si>
  <si>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</si>
  <si>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</si>
  <si>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</si>
  <si>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</si>
  <si>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</si>
  <si>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</si>
  <si>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</si>
  <si>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</si>
  <si>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</si>
  <si>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</si>
  <si>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</si>
  <si>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</si>
  <si>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</si>
  <si>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</si>
  <si>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</si>
  <si>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</si>
  <si>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</si>
  <si>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</si>
  <si>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</si>
  <si>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</si>
  <si>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</si>
  <si>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</si>
  <si>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</si>
  <si>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</si>
  <si>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</si>
  <si>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</si>
  <si>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</si>
  <si>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</si>
  <si>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</si>
  <si>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</si>
  <si>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</si>
  <si>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</si>
  <si>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</si>
  <si>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</si>
  <si>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</si>
  <si>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</si>
  <si>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</si>
  <si>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</si>
  <si>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</si>
  <si>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</si>
  <si>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</si>
  <si>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</si>
  <si>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</si>
  <si>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</si>
  <si>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2022 год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</si>
  <si>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</si>
  <si>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</si>
  <si>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</si>
  <si>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</si>
  <si>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</si>
  <si>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</si>
  <si>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</si>
  <si>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</si>
  <si>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</si>
  <si>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</si>
  <si>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</si>
  <si>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</si>
  <si>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</si>
  <si>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</si>
  <si>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</si>
  <si>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</si>
  <si>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</si>
  <si>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</si>
  <si>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</si>
  <si>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</si>
  <si>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</si>
  <si>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</si>
  <si>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</si>
  <si>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</si>
  <si>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</si>
  <si>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</si>
  <si>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</si>
  <si>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</si>
  <si>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</si>
  <si>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</si>
  <si>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</si>
  <si>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</si>
  <si>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</si>
  <si>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</si>
  <si>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</si>
  <si>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</si>
  <si>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</si>
  <si>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</si>
  <si>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</si>
  <si>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</si>
  <si>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</si>
  <si>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</si>
  <si>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</si>
  <si>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</si>
  <si>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</si>
  <si>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</si>
  <si>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</si>
  <si>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</si>
  <si>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</si>
  <si>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</si>
  <si>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</si>
  <si>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</si>
  <si>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</si>
  <si>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</si>
  <si>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</si>
  <si>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</si>
  <si>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</si>
  <si>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</si>
  <si>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</si>
  <si>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</si>
  <si>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</si>
  <si>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</si>
  <si>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</si>
  <si>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</si>
  <si>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</si>
  <si>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</si>
  <si>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</si>
  <si>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</si>
  <si>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</si>
  <si>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</si>
  <si>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</si>
  <si>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</si>
  <si>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</si>
  <si>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</si>
  <si>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</si>
  <si>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</si>
  <si>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</si>
  <si>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</si>
  <si>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</si>
  <si>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</si>
  <si>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</si>
  <si>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</si>
  <si>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</si>
  <si>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</si>
  <si>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</si>
  <si>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</si>
  <si>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</si>
  <si>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</si>
  <si>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</si>
  <si>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</si>
  <si>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</si>
  <si>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</si>
  <si>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</si>
  <si>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</si>
  <si>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</si>
  <si>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</si>
  <si>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</si>
  <si>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</si>
  <si>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</si>
  <si>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</si>
  <si>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</si>
  <si>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</si>
  <si>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</si>
  <si>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</si>
  <si>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</si>
  <si>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</si>
  <si>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</si>
  <si>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</si>
  <si>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</si>
  <si>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</si>
  <si>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</si>
  <si>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</si>
  <si>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</si>
  <si>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</si>
  <si>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</si>
  <si>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</si>
  <si>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</si>
  <si>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</si>
  <si>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</si>
  <si>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</si>
  <si>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</si>
  <si>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</si>
  <si>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</si>
  <si>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</si>
  <si>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</si>
  <si>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</si>
  <si>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</si>
  <si>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</si>
  <si>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</si>
  <si>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</si>
  <si>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</si>
  <si>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</si>
  <si>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</si>
  <si>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</si>
  <si>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</si>
  <si>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</si>
  <si>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</si>
  <si>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</si>
  <si>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</si>
  <si>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</si>
  <si>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</si>
  <si>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</si>
  <si>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</si>
  <si>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</si>
  <si>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</si>
  <si>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</si>
  <si>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</si>
  <si>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</si>
  <si>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</si>
  <si>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</si>
  <si>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</si>
  <si>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</si>
  <si>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</si>
  <si>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</si>
  <si>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</si>
  <si>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</si>
  <si>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</si>
  <si>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</si>
  <si>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</si>
  <si>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</si>
  <si>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</si>
  <si>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</si>
  <si>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</si>
  <si>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</si>
  <si>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</si>
  <si>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</si>
  <si>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</si>
  <si>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</si>
  <si>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</si>
  <si>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</si>
  <si>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</si>
  <si>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</si>
  <si>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</si>
  <si>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</si>
  <si>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</si>
  <si>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</si>
  <si>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</si>
  <si>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</si>
  <si>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</si>
  <si>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</si>
  <si>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</si>
  <si>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</si>
  <si>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</si>
  <si>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</si>
  <si>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</si>
  <si>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</si>
  <si>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</si>
  <si>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</si>
  <si>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</si>
  <si>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</si>
  <si>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</si>
  <si>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</si>
  <si>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</si>
  <si>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</si>
  <si>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</si>
  <si>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</si>
  <si>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</si>
  <si>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</si>
  <si>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</si>
  <si>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</si>
  <si>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</si>
  <si>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</si>
  <si>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</si>
  <si>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</si>
  <si>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</si>
  <si>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</si>
  <si>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</si>
  <si>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</si>
  <si>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</si>
  <si>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</si>
  <si>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</si>
  <si>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</si>
  <si>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</si>
  <si>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</si>
  <si>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</si>
  <si>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</si>
  <si>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</si>
  <si>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</si>
  <si>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</si>
  <si>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</si>
  <si>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</si>
  <si>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</si>
  <si>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</si>
  <si>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</si>
  <si>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</si>
  <si>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</si>
  <si>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</si>
  <si>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</si>
  <si>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</si>
  <si>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</si>
  <si>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</si>
  <si>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</si>
  <si>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</si>
  <si>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</si>
  <si>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</si>
  <si>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</si>
  <si>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</si>
  <si>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</si>
  <si>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</si>
  <si>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</si>
  <si>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</si>
  <si>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</si>
  <si>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</si>
  <si>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</si>
  <si>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</si>
  <si>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</si>
  <si>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</si>
  <si>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</si>
  <si>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</si>
  <si>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</si>
  <si>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</si>
  <si>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</si>
  <si>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</si>
  <si>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</si>
  <si>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</si>
  <si>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</si>
  <si>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</si>
  <si>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</si>
  <si>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</si>
  <si>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</si>
  <si>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</si>
  <si>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</si>
  <si>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</si>
  <si>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</si>
  <si>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</si>
  <si>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</si>
  <si>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</si>
  <si>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</si>
  <si>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</si>
  <si>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</si>
  <si>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</si>
  <si>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</si>
  <si>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</si>
  <si>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</si>
  <si>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</si>
  <si>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</si>
  <si>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</si>
  <si>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</si>
  <si>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</si>
  <si>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</si>
  <si>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</si>
  <si>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</si>
  <si>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</si>
  <si>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</si>
  <si>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</si>
  <si>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</si>
  <si>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</si>
  <si>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</si>
  <si>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</si>
  <si>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</si>
  <si>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</si>
  <si>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</si>
  <si>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</si>
  <si>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</si>
  <si>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</si>
  <si>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</si>
  <si>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</si>
  <si>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</si>
  <si>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</si>
  <si>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</si>
  <si>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</si>
  <si>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</si>
  <si>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</si>
  <si>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</si>
  <si>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</si>
  <si>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</si>
  <si>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</si>
  <si>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</si>
  <si>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</si>
  <si>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</si>
  <si>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</si>
  <si>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</si>
  <si>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</si>
  <si>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</si>
  <si>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</si>
  <si>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</si>
  <si>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</si>
  <si>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</si>
  <si>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</si>
  <si>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</si>
  <si>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</si>
  <si>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</si>
  <si>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</si>
  <si>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</si>
  <si>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Приложение № 5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</si>
  <si>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</si>
  <si>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</si>
  <si>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</si>
  <si>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</si>
  <si>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</si>
  <si>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</si>
  <si>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</si>
  <si>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</si>
  <si>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</si>
  <si>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</si>
  <si>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</si>
  <si>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</si>
  <si>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</si>
  <si>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</si>
  <si>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</si>
  <si>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</si>
  <si>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</si>
  <si>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</si>
  <si>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</si>
  <si>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</si>
  <si>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</si>
  <si>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</si>
  <si>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</si>
  <si>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</si>
  <si>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</si>
  <si>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</si>
  <si>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</si>
  <si>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</si>
  <si>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</si>
  <si>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</si>
  <si>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</si>
  <si>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</si>
  <si>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</si>
  <si>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</si>
  <si>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</si>
  <si>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</si>
  <si>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</si>
  <si>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</si>
  <si>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</si>
  <si>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</si>
  <si>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</si>
  <si>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</si>
  <si>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</si>
  <si>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</si>
  <si>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</si>
  <si>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</si>
  <si>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</si>
  <si>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</si>
  <si>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</si>
  <si>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</si>
  <si>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</si>
  <si>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</si>
  <si>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</si>
  <si>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</si>
  <si>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</si>
  <si>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</si>
  <si>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</si>
  <si>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</si>
  <si>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</si>
  <si>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</si>
  <si>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</si>
  <si>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</si>
  <si>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</si>
  <si>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</si>
  <si>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</si>
  <si>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</si>
  <si>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</si>
  <si>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</si>
  <si>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</si>
  <si>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</si>
  <si>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</si>
  <si>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</si>
  <si>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</si>
  <si>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</si>
  <si>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</si>
  <si>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</si>
  <si>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</si>
  <si>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</si>
  <si>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</si>
  <si>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</si>
  <si>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</si>
  <si>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Муниципальная программа "Борьба с борщевиком Сосновского на территории Устьянского района"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</si>
  <si>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</si>
  <si>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</si>
  <si>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</si>
  <si>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</si>
  <si>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</si>
  <si>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</si>
  <si>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</si>
  <si>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</si>
  <si>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</si>
  <si>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</si>
  <si>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</si>
  <si>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</si>
  <si>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</si>
  <si>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</si>
  <si>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</si>
  <si>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Проведение культурных мероприятий на территории МО "Устьянский муниципальный район"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</si>
  <si>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</si>
  <si>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</si>
  <si>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</si>
  <si>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</si>
  <si>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</si>
  <si>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</si>
  <si>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</si>
  <si>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</si>
  <si>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</si>
  <si>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</si>
  <si>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</si>
  <si>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</si>
  <si>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</si>
  <si>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</si>
  <si>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</si>
  <si>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</si>
  <si>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</si>
  <si>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</si>
  <si>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</si>
  <si>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</si>
  <si>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</si>
  <si>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</si>
  <si>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</si>
  <si>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</si>
  <si>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</si>
  <si>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</si>
  <si>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</si>
  <si>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</si>
  <si>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</si>
  <si>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</si>
  <si>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</si>
  <si>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</si>
  <si>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</si>
  <si>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</si>
  <si>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</si>
  <si>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</si>
  <si>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</si>
  <si>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</si>
  <si>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</si>
  <si>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</si>
  <si>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</si>
  <si>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</si>
  <si>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08 2 00 80198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</si>
  <si>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</si>
  <si>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</si>
  <si>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</si>
  <si>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</si>
  <si>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</si>
  <si>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</si>
  <si>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</si>
  <si>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</si>
  <si>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</si>
  <si>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</si>
  <si>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2024 год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</si>
  <si>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</si>
  <si>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</si>
  <si>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</si>
  <si>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</si>
  <si>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Капитальный ремонт МБОУ "Устьянская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</si>
  <si>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</si>
  <si>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</si>
  <si>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</si>
  <si>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</si>
  <si>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</si>
  <si>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</si>
  <si>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к  решению сессии шестого созыва Собрания депутатов № 439 от 24 декабря 2021 года</t>
  </si>
  <si>
    <t>Приложение № 6</t>
  </si>
  <si>
    <t>Приложение № 7</t>
  </si>
  <si>
    <t>к  решению сессии шестого созыва Собрания депутатов                                  № 439 от 24 декабря 2021 года</t>
  </si>
  <si>
    <t>к  решению сессии шестого созыва Собрания депутатов  № 439 от 24 декабря 2021 года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</si>
  <si>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</si>
  <si>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</si>
  <si>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</si>
  <si>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</si>
  <si>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</si>
  <si>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12 0 00 76810</t>
  </si>
  <si>
    <t>Ремонт зданий муниципальных учреждений культуры</t>
  </si>
  <si>
    <t>12 0 00 L5198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</si>
  <si>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муниципальный библиотек)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</si>
  <si>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</si>
  <si>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</si>
  <si>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</si>
  <si>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</si>
  <si>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</si>
  <si>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</si>
  <si>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</si>
  <si>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</si>
  <si>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</si>
  <si>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</si>
  <si>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</si>
  <si>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</si>
  <si>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</si>
  <si>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</si>
  <si>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</si>
  <si>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</si>
  <si>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</si>
  <si>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</si>
  <si>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</si>
  <si>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</si>
  <si>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</si>
  <si>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</si>
  <si>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</si>
  <si>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</si>
  <si>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13 0 00 88520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</si>
  <si>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</si>
  <si>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</si>
  <si>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</si>
  <si>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</si>
  <si>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</si>
  <si>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</si>
  <si>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</si>
  <si>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</si>
  <si>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</si>
  <si>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</si>
  <si>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Капитальный ремонт недвижимого имущества</t>
  </si>
  <si>
    <t>Мероприятия в целях проведения  капитального ремонта жилого фонда</t>
  </si>
  <si>
    <t>Приложение № 4</t>
  </si>
  <si>
    <t>Распределение бюджетных ассигнований на реализацию муниципальных программ  и непрограммных направлений деятельности бюджета Устьянского муниципального района на 2022 год и плановый период 2023 и 2024 годов</t>
  </si>
  <si>
    <t xml:space="preserve">Ведомственная структура расходов бюджета Устьянского муниципального района на 2022 год и на плановый период 2023 и 2024 годов </t>
  </si>
  <si>
    <t xml:space="preserve">Распределение бюджетных ассигнований по разделам и подразделам классификации расходов бюджета Устьянского муниципального района на 2022 год и на плановый период 2023 и 2024 годов 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</si>
  <si>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</si>
  <si>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</si>
  <si>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</si>
  <si>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</si>
  <si>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</si>
  <si>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</si>
  <si>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</si>
  <si>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</si>
  <si>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культуры и туризма администрации Устьянского муниципального района Архангельской области</t>
  </si>
  <si>
    <t>Комитет по управлению муниципальным имуществом  администрации Устьянского муниципального района Архангельской области</t>
  </si>
  <si>
    <t>Управление образования администрации Устьянского муниципального района Архангельской области</t>
  </si>
  <si>
    <t>Финансовое управление администрации Устьянского муниципального района Архангельской области</t>
  </si>
  <si>
    <t>Администрация  Устьянского муниципального района Архангельской области</t>
  </si>
  <si>
    <t>Собрание депутатов Устьянского муниципального района Архангельской области</t>
  </si>
  <si>
    <t>Контрольно-счетная комиссия Устьянского муниципального района Архангельской области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</si>
  <si>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</si>
  <si>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</si>
  <si>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</si>
  <si>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</si>
  <si>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</si>
  <si>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</si>
  <si>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</si>
  <si>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</si>
  <si>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</si>
  <si>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</si>
  <si>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</si>
  <si>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</si>
  <si>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к  решению сессии шестого созыва Собрания депутатов № 453  от 18 февраля 2022 года</t>
  </si>
  <si>
    <t>к  решению сессии шестого созыва Собрания депутатов № 453 от 18 февраля 2022 года</t>
  </si>
  <si>
    <t>к  решению сессии шестого созыва Собрания депутатов                                  № 453 от 18 февраля 2022 года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</si>
  <si>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</si>
  <si>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</si>
  <si>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</si>
  <si>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</si>
  <si>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</si>
  <si>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</si>
  <si>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</si>
  <si>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</si>
  <si>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06 1 00 83099</t>
  </si>
  <si>
    <t>Выполнение работ по капитальному ремонту автомобильных дорог общего пользования местного значения МО "Шангальское"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</si>
  <si>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</si>
  <si>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</si>
  <si>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</si>
  <si>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</si>
  <si>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 xml:space="preserve">Приобретение техники по содержанию улично-дорожной сети </t>
  </si>
  <si>
    <t>0680000000</t>
  </si>
  <si>
    <t>Приобретение техники для выполнения работ по дорожной деятельности</t>
  </si>
  <si>
    <t>0690000000</t>
  </si>
  <si>
    <t>0690083061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</si>
  <si>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</si>
  <si>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Осуществление иных мероприятий (приобретение техники)</t>
  </si>
  <si>
    <t>0680083062</t>
  </si>
  <si>
    <t>06 800 00000</t>
  </si>
  <si>
    <t>06 800 83062</t>
  </si>
  <si>
    <t>06 900 00000</t>
  </si>
  <si>
    <t>06 900 83061</t>
  </si>
  <si>
    <t>Софинансирование расходов по капитальному ремонту автомобильных дорог общего пользования местного значения МО "Шангальское"</t>
  </si>
  <si>
    <t>Содержание, 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</si>
  <si>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06 1 00 83093</t>
  </si>
  <si>
    <t>244</t>
  </si>
  <si>
    <t xml:space="preserve">Капитальный ремонт автомобильных дорог общего пользования местного значения </t>
  </si>
  <si>
    <t xml:space="preserve">Приобретение техники по содержанию улично-дорожной деятельности </t>
  </si>
  <si>
    <t>25 0 R3 76880</t>
  </si>
  <si>
    <t>к  решению сессии шестого созыва Собрания депутатов № 467 от 25 марта 2022 года</t>
  </si>
  <si>
    <t>к  решению сессии шестого созыва Собрания депутатов                                  № 467 от 25 марта 2022 года</t>
  </si>
  <si>
    <t xml:space="preserve">Проведение экспертизы проектно-сметной документации объектов капитального ремонта  
</t>
  </si>
  <si>
    <t xml:space="preserve">Проведение экспертизы проектно-сметной документации объектов капитального ремонта
</t>
  </si>
  <si>
    <t>Капитальный ремонт образовательных учреждений за счет средств местного бюджета</t>
  </si>
  <si>
    <t>08 1 00 86980</t>
  </si>
  <si>
    <t>Обеспечение условий для развития кадрового потенциала муниципальных образовательных организаций в Архангельской области за счет местного бюджета</t>
  </si>
  <si>
    <t>23 0 00 78771</t>
  </si>
  <si>
    <t>Субсидия на осуществление строительного контроля при выполнении капитального ремонта здания музея</t>
  </si>
  <si>
    <t>12 0 00 86020</t>
  </si>
  <si>
    <t>Компенсация морального вреда</t>
  </si>
  <si>
    <t>96 0 00 81114</t>
  </si>
  <si>
    <t>12 0 00 86820</t>
  </si>
  <si>
    <t>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</t>
  </si>
  <si>
    <t xml:space="preserve">Капитальный ремонт образовательных учреждений  за счет средств местного бюджета  </t>
  </si>
  <si>
    <t>Субвенции на предоставление государственного жилищного сертификата детям-сиротам и детям, оставшимся без попечения родителей, лицам из их числа на приобретение жилого помещения в Архангельской области (областной бюджет)</t>
  </si>
  <si>
    <t>к  решению сессии шестого созыва Собрания депутатов №499   от 20 мая 2022 года</t>
  </si>
  <si>
    <t>к  решению сессии шестого созыва Собрания депутатов № 499 от 20 мая 2022 года</t>
  </si>
  <si>
    <t>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строительствпа за счет средств бюджетов субъектов Российской Федерации</t>
  </si>
  <si>
    <t>08 2 00 76850</t>
  </si>
  <si>
    <t>Реализация мероприятий по антитеррористической защищенности муниципальных образовательных организаций в Архангельской области</t>
  </si>
  <si>
    <t>08 2 00 80211</t>
  </si>
  <si>
    <t>Проведение работ по визуализации объекта капитального ремонта здания МБОУ "Киземская СОШ"</t>
  </si>
  <si>
    <t>23 0 00 87462</t>
  </si>
  <si>
    <t>Социальные выплаты гражданам</t>
  </si>
  <si>
    <t>Организация транспортного обслуживания населения на пассажирских муниципальных маршрутах автомобильного транспорта</t>
  </si>
  <si>
    <t>06 4 00 S6360</t>
  </si>
  <si>
    <t>08 2 00 80202</t>
  </si>
  <si>
    <t>Мероприятия по развитию инфраструктуры муниципальных образовательных организаций (МБОУ "Киземская СОШ")</t>
  </si>
  <si>
    <t>11 0 00 88913</t>
  </si>
  <si>
    <t>Мероприятия по содержанию контейнерных площадок и мест накопления ТКО</t>
  </si>
  <si>
    <t>08 2 00 80203</t>
  </si>
  <si>
    <t>Проведение работ по визуализации объекта капитального ремонта здания МБОУ "Устьянская СОШ"</t>
  </si>
  <si>
    <t>Устройство каркасно-модульной котельной в д. Ульяновская</t>
  </si>
  <si>
    <t>20 0 00 81524</t>
  </si>
  <si>
    <t>22 0 00 83161</t>
  </si>
  <si>
    <t>22 0 00 83155</t>
  </si>
  <si>
    <t>Выполнение работ по вывозке ЖБО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</si>
  <si>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</si>
  <si>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к  решению сессии шестого созыва Собрания депутатов № 515 от 24 июня 2022 года</t>
  </si>
  <si>
    <t>к решению сессии шестого созыва Собрания депутатов № 515 от 24 июня 2022 года</t>
  </si>
  <si>
    <t>87 0 00 000000</t>
  </si>
  <si>
    <t>08 2 00 78900</t>
  </si>
  <si>
    <t>Реализация мероприятий по развитию инфраструктуры муниципальных образовательных организаций в Архангельской области</t>
  </si>
  <si>
    <t>81 1 00 74790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</si>
  <si>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</si>
  <si>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</si>
  <si>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</si>
  <si>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08 2 00 80204</t>
  </si>
  <si>
    <t>08 2 00 80205</t>
  </si>
  <si>
    <t>08 2 00 80206</t>
  </si>
  <si>
    <t>08 2 00 80207</t>
  </si>
  <si>
    <t>08 2 00 80208</t>
  </si>
  <si>
    <t>Субсидия на разработку проектно-сметной документации, экспертизу в АРЦЦС на устройство пожарной сигнализации в зданиях МБОУ "Киземская СОШ"</t>
  </si>
  <si>
    <t>Субсидия на приобретение материалов и установку ограждений МБОУ "Дмитриевский СОШ"</t>
  </si>
  <si>
    <t>Субсидия на актуализацию проектно - сметной документации строительства спортивного зала МБОУ "ОСОШ № 1"</t>
  </si>
  <si>
    <t>Субсидия на государственную экспертизу проектно-сметной документации по капитальному ремонту зданий МБОУ "Ульяновская СОШ" и филиал "Ростовская ОШ"</t>
  </si>
  <si>
    <t>12 0  00 85056</t>
  </si>
  <si>
    <t>Субсидия на устройство склада для хранения не являющегося объектом капитального строительства</t>
  </si>
  <si>
    <t>12 0  00 85057</t>
  </si>
  <si>
    <t xml:space="preserve">Субсидия на установку дополнительных радиаторов отопления в здании Малодорского ДК </t>
  </si>
  <si>
    <t>12 0  00 85058</t>
  </si>
  <si>
    <t>12 0  00 85059</t>
  </si>
  <si>
    <t>Капитальный ремонт кровли здания ДК п.Мирный</t>
  </si>
  <si>
    <t>08 2 00 80209</t>
  </si>
  <si>
    <t>Субсидия на приобретение, установку оборудования и подключение мобильного интернета для МБУК "УМЦРБ"</t>
  </si>
  <si>
    <t>12 0  00 85061</t>
  </si>
  <si>
    <t>Субсидия на демонтаж аварийного участка тепломагистрали и подключение к действующей тепломагистрали Дмитриевского ДК</t>
  </si>
  <si>
    <t>Субсидия на устройство склада древесного топлива не являющегося объектом капитального строительства</t>
  </si>
  <si>
    <t xml:space="preserve">Проектные и предпроектные работы в целях капитального ремонта искусственных сооружений (моста) по дороге п.Илеза - д.Митинская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</si>
  <si>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</t>
  </si>
  <si>
    <t>06 1 00 83101</t>
  </si>
  <si>
    <t>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строительствпа за счет средств поступивших от государственной корпорации - Фонда содействия реформированию ЖКХ</t>
  </si>
  <si>
    <t>Субсидия на установку септика в рамках капитального ремонта МБОУ "Киземская СОШ"</t>
  </si>
  <si>
    <t>к  решению сессии шестого созыва Собрания депутатов № 525 от 23 сентября 2022 года</t>
  </si>
  <si>
    <t>к решению сессии шестого созыва Собрания депутатов № 525 от 23 сентября 2022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</si>
</sst>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43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4" fontId="0" fillId="2" borderId="0" xfId="0" applyNumberFormat="1" applyFill="1"/>
    <xf numFmtId="4" fontId="0" fillId="2" borderId="1" xfId="0" applyNumberForma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" fillId="0" borderId="0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0" fillId="0" borderId="0" xfId="0" applyNumberFormat="1" applyFill="1" applyAlignment="1">
      <alignment wrapText="1"/>
    </xf>
    <xf numFmtId="4" fontId="1" fillId="2" borderId="0" xfId="0" applyNumberFormat="1" applyFont="1" applyFill="1"/>
    <xf numFmtId="4" fontId="30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7" fillId="0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2" borderId="0" xfId="0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2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3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2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vertical="center" wrapText="1"/>
    </xf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4" fontId="3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4" fontId="36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32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91"/>
  <sheetViews>
    <sheetView view="pageBreakPreview" zoomScaleSheetLayoutView="100" workbookViewId="0">
      <selection activeCell="F2" sqref="F2:G2"/>
    </sheetView>
  </sheetViews>
  <sheetFormatPr defaultColWidth="9.140625" defaultRowHeight="12.75"/>
  <cols>
    <col min="1" max="1" width="1.85546875" style="62" customWidth="1"/>
    <col min="2" max="2" width="61.28515625" style="62" customWidth="1"/>
    <col min="3" max="3" width="6.85546875" style="65" hidden="1" customWidth="1"/>
    <col min="4" max="4" width="6.5703125" style="65" customWidth="1"/>
    <col min="5" max="5" width="8" style="65" customWidth="1"/>
    <col min="6" max="8" width="22.140625" style="64" customWidth="1"/>
    <col min="9" max="9" width="13.85546875" style="62" hidden="1" customWidth="1"/>
    <col min="10" max="10" width="2" style="62" customWidth="1"/>
    <col min="11" max="11" width="13.85546875" style="62" hidden="1" customWidth="1"/>
    <col min="12" max="16384" width="9.140625" style="62"/>
  </cols>
  <sheetData>
    <row r="1" spans="2:11" customFormat="1" ht="19.5" customHeight="1">
      <c r="B1" s="62"/>
      <c r="C1" s="65"/>
      <c r="D1" s="65"/>
      <c r="E1" s="65"/>
      <c r="F1" s="319" t="s">
        <v>974</v>
      </c>
      <c r="G1" s="319"/>
      <c r="H1" s="319"/>
      <c r="I1" s="319"/>
      <c r="J1" s="319"/>
      <c r="K1" s="319"/>
    </row>
    <row r="2" spans="2:11" customFormat="1" ht="33" customHeight="1">
      <c r="B2" s="62"/>
      <c r="C2" s="302"/>
      <c r="D2" s="65"/>
      <c r="E2" s="65"/>
      <c r="F2" s="319" t="s">
        <v>1115</v>
      </c>
      <c r="G2" s="319"/>
      <c r="H2" s="97"/>
      <c r="I2" s="97"/>
      <c r="J2" s="99"/>
    </row>
    <row r="3" spans="2:11" customFormat="1" ht="19.5" customHeight="1">
      <c r="B3" s="62"/>
      <c r="C3" s="65"/>
      <c r="D3" s="65"/>
      <c r="E3" s="65"/>
      <c r="F3" s="319" t="s">
        <v>974</v>
      </c>
      <c r="G3" s="319"/>
      <c r="H3" s="319"/>
      <c r="I3" s="319"/>
      <c r="J3" s="319"/>
      <c r="K3" s="319"/>
    </row>
    <row r="4" spans="2:11" customFormat="1" ht="33" customHeight="1">
      <c r="B4" s="62"/>
      <c r="C4" s="258"/>
      <c r="D4" s="65"/>
      <c r="E4" s="65"/>
      <c r="F4" s="319" t="s">
        <v>1080</v>
      </c>
      <c r="G4" s="319"/>
      <c r="H4" s="97"/>
      <c r="I4" s="97"/>
      <c r="J4" s="99"/>
    </row>
    <row r="5" spans="2:11" customFormat="1" ht="19.5" customHeight="1">
      <c r="B5" s="62"/>
      <c r="C5" s="65"/>
      <c r="D5" s="65"/>
      <c r="E5" s="65"/>
      <c r="F5" s="319" t="s">
        <v>974</v>
      </c>
      <c r="G5" s="319"/>
      <c r="H5" s="319"/>
      <c r="I5" s="319"/>
      <c r="J5" s="319"/>
      <c r="K5" s="319"/>
    </row>
    <row r="6" spans="2:11" customFormat="1" ht="33" customHeight="1">
      <c r="B6" s="62"/>
      <c r="C6" s="256"/>
      <c r="D6" s="65"/>
      <c r="E6" s="65"/>
      <c r="F6" s="319" t="s">
        <v>1058</v>
      </c>
      <c r="G6" s="319"/>
      <c r="H6" s="97"/>
      <c r="I6" s="97"/>
      <c r="J6" s="99"/>
    </row>
    <row r="7" spans="2:11" customFormat="1" ht="19.5" customHeight="1">
      <c r="B7" s="62"/>
      <c r="C7" s="65"/>
      <c r="D7" s="65"/>
      <c r="E7" s="65"/>
      <c r="F7" s="319" t="s">
        <v>974</v>
      </c>
      <c r="G7" s="319"/>
      <c r="H7" s="319"/>
      <c r="I7" s="319"/>
      <c r="J7" s="319"/>
      <c r="K7" s="319"/>
    </row>
    <row r="8" spans="2:11" customFormat="1" ht="33" customHeight="1">
      <c r="B8" s="62"/>
      <c r="C8" s="254"/>
      <c r="D8" s="65"/>
      <c r="E8" s="65"/>
      <c r="F8" s="319" t="s">
        <v>1041</v>
      </c>
      <c r="G8" s="319"/>
      <c r="H8" s="97"/>
      <c r="I8" s="97"/>
      <c r="J8" s="99"/>
    </row>
    <row r="9" spans="2:11" customFormat="1" ht="19.5" customHeight="1">
      <c r="B9" s="62"/>
      <c r="C9" s="65"/>
      <c r="D9" s="65"/>
      <c r="E9" s="65"/>
      <c r="F9" s="319" t="s">
        <v>974</v>
      </c>
      <c r="G9" s="319"/>
      <c r="H9" s="319"/>
      <c r="I9" s="319"/>
      <c r="J9" s="319"/>
      <c r="K9" s="319"/>
    </row>
    <row r="10" spans="2:11" customFormat="1" ht="33" customHeight="1">
      <c r="B10" s="62"/>
      <c r="C10" s="183"/>
      <c r="D10" s="65"/>
      <c r="E10" s="65"/>
      <c r="F10" s="319" t="s">
        <v>1005</v>
      </c>
      <c r="G10" s="319"/>
      <c r="H10" s="97"/>
      <c r="I10" s="97"/>
      <c r="J10" s="99"/>
    </row>
    <row r="11" spans="2:11" customFormat="1" ht="17.25" customHeight="1">
      <c r="B11" s="62"/>
      <c r="C11" s="65"/>
      <c r="D11" s="65"/>
      <c r="E11" s="65"/>
      <c r="F11" s="319" t="s">
        <v>759</v>
      </c>
      <c r="G11" s="319"/>
      <c r="H11" s="319"/>
      <c r="I11" s="319"/>
      <c r="J11" s="319"/>
      <c r="K11" s="319"/>
    </row>
    <row r="12" spans="2:11" customFormat="1" ht="32.25" customHeight="1">
      <c r="B12" s="62"/>
      <c r="C12" s="170"/>
      <c r="D12" s="65"/>
      <c r="E12" s="65"/>
      <c r="F12" s="319" t="s">
        <v>923</v>
      </c>
      <c r="G12" s="319"/>
      <c r="H12" s="97"/>
      <c r="I12" s="97"/>
      <c r="J12" s="99"/>
    </row>
    <row r="13" spans="2:11" s="61" customFormat="1" ht="51" customHeight="1">
      <c r="B13" s="322" t="s">
        <v>977</v>
      </c>
      <c r="C13" s="322"/>
      <c r="D13" s="322"/>
      <c r="E13" s="322"/>
      <c r="F13" s="322"/>
      <c r="G13" s="323"/>
      <c r="H13" s="323"/>
    </row>
    <row r="14" spans="2:11" s="61" customFormat="1" ht="16.5" customHeight="1">
      <c r="B14" s="320" t="s">
        <v>12</v>
      </c>
      <c r="C14" s="98"/>
      <c r="D14" s="324" t="s">
        <v>14</v>
      </c>
      <c r="E14" s="324" t="s">
        <v>15</v>
      </c>
      <c r="F14" s="326" t="s">
        <v>372</v>
      </c>
      <c r="G14" s="320"/>
      <c r="H14" s="320"/>
    </row>
    <row r="15" spans="2:11" s="3" customFormat="1" ht="12.75" customHeight="1">
      <c r="B15" s="321"/>
      <c r="C15" s="324" t="s">
        <v>13</v>
      </c>
      <c r="D15" s="321"/>
      <c r="E15" s="321"/>
      <c r="F15" s="325" t="s">
        <v>434</v>
      </c>
      <c r="G15" s="325" t="s">
        <v>661</v>
      </c>
      <c r="H15" s="325" t="s">
        <v>911</v>
      </c>
      <c r="I15" s="62"/>
      <c r="J15" s="62"/>
    </row>
    <row r="16" spans="2:11" s="3" customFormat="1" ht="35.25" customHeight="1">
      <c r="B16" s="321"/>
      <c r="C16" s="324"/>
      <c r="D16" s="321"/>
      <c r="E16" s="321"/>
      <c r="F16" s="325"/>
      <c r="G16" s="325"/>
      <c r="H16" s="325"/>
      <c r="I16" s="62"/>
      <c r="J16" s="62"/>
    </row>
    <row r="17" spans="2:10" s="3" customFormat="1">
      <c r="B17" s="100">
        <v>1</v>
      </c>
      <c r="C17" s="100">
        <v>2</v>
      </c>
      <c r="D17" s="100">
        <v>2</v>
      </c>
      <c r="E17" s="100">
        <v>3</v>
      </c>
      <c r="F17" s="101">
        <v>4</v>
      </c>
      <c r="G17" s="101">
        <v>5</v>
      </c>
      <c r="H17" s="101">
        <v>6</v>
      </c>
      <c r="I17" s="62"/>
      <c r="J17" s="62"/>
    </row>
    <row r="18" spans="2:10" ht="16.5">
      <c r="B18" s="68"/>
      <c r="C18" s="68"/>
      <c r="D18" s="68"/>
      <c r="E18" s="68"/>
      <c r="F18" s="68"/>
      <c r="G18" s="68"/>
      <c r="H18" s="68"/>
    </row>
    <row r="19" spans="2:10" s="3" customFormat="1">
      <c r="B19" s="5" t="s">
        <v>18</v>
      </c>
      <c r="C19" s="45">
        <v>793</v>
      </c>
      <c r="D19" s="7" t="s">
        <v>19</v>
      </c>
      <c r="E19" s="7"/>
      <c r="F19" s="38">
        <f>F20+F21+F22+F24+F26+F27+F23+F25</f>
        <v>109177766.99000001</v>
      </c>
      <c r="G19" s="38">
        <f t="shared" ref="G19:H19" si="0">G20+G21+G22+G24+G26+G27+G23+G25</f>
        <v>105378761.24000001</v>
      </c>
      <c r="H19" s="38">
        <f t="shared" si="0"/>
        <v>108079440.67</v>
      </c>
      <c r="I19" s="63">
        <f>'прил 5,'!G385+'прил 5,'!G1048+'прил 5,'!G1116+'прил 5,'!G1780</f>
        <v>106675395.7</v>
      </c>
      <c r="J19" s="62"/>
    </row>
    <row r="20" spans="2:10" s="3" customFormat="1" ht="25.5">
      <c r="B20" s="53" t="s">
        <v>317</v>
      </c>
      <c r="C20" s="79">
        <v>793</v>
      </c>
      <c r="D20" s="10" t="s">
        <v>19</v>
      </c>
      <c r="E20" s="10" t="s">
        <v>28</v>
      </c>
      <c r="F20" s="27">
        <f>'прил 5,'!G1117</f>
        <v>2168162.42</v>
      </c>
      <c r="G20" s="27">
        <f>'прил 5,'!H1117</f>
        <v>1889447.4</v>
      </c>
      <c r="H20" s="27">
        <f>'прил 5,'!I1117</f>
        <v>1908341.87</v>
      </c>
      <c r="I20" s="62"/>
      <c r="J20" s="62"/>
    </row>
    <row r="21" spans="2:10" s="3" customFormat="1" ht="38.25">
      <c r="B21" s="51" t="s">
        <v>362</v>
      </c>
      <c r="C21" s="79">
        <v>794</v>
      </c>
      <c r="D21" s="52" t="s">
        <v>19</v>
      </c>
      <c r="E21" s="52" t="s">
        <v>70</v>
      </c>
      <c r="F21" s="27">
        <f>'прил 5,'!G1781</f>
        <v>3254488.71</v>
      </c>
      <c r="G21" s="27">
        <f>'прил 5,'!H1781</f>
        <v>3280281.71</v>
      </c>
      <c r="H21" s="27">
        <f>'прил 5,'!I1781</f>
        <v>3306331.71</v>
      </c>
      <c r="I21" s="62"/>
      <c r="J21" s="62"/>
    </row>
    <row r="22" spans="2:10" s="3" customFormat="1" ht="38.25">
      <c r="B22" s="53" t="s">
        <v>75</v>
      </c>
      <c r="C22" s="79">
        <v>793</v>
      </c>
      <c r="D22" s="10" t="s">
        <v>19</v>
      </c>
      <c r="E22" s="10" t="s">
        <v>54</v>
      </c>
      <c r="F22" s="27">
        <f>'прил 5,'!G386+'прил 5,'!G1049+'прил 5,'!G1126</f>
        <v>61524931.07</v>
      </c>
      <c r="G22" s="27">
        <f>'прил 5,'!H386+'прил 5,'!H1049+'прил 5,'!H1126</f>
        <v>62450326.160000004</v>
      </c>
      <c r="H22" s="27">
        <f>'прил 5,'!I386+'прил 5,'!I1049+'прил 5,'!I1126</f>
        <v>63196535.560000002</v>
      </c>
      <c r="I22" s="62"/>
      <c r="J22" s="62"/>
    </row>
    <row r="23" spans="2:10" s="3" customFormat="1">
      <c r="B23" s="16" t="s">
        <v>277</v>
      </c>
      <c r="C23" s="79"/>
      <c r="D23" s="10" t="s">
        <v>19</v>
      </c>
      <c r="E23" s="10" t="s">
        <v>173</v>
      </c>
      <c r="F23" s="25">
        <f>'прил 5,'!G1165</f>
        <v>124287.62999999999</v>
      </c>
      <c r="G23" s="25">
        <f>'прил 5,'!H1165</f>
        <v>4134.4299999999994</v>
      </c>
      <c r="H23" s="25">
        <f>'прил 5,'!I1165</f>
        <v>3685.6099999999997</v>
      </c>
      <c r="I23" s="62"/>
      <c r="J23" s="62"/>
    </row>
    <row r="24" spans="2:10" s="3" customFormat="1" ht="25.5">
      <c r="B24" s="53" t="s">
        <v>160</v>
      </c>
      <c r="C24" s="45">
        <v>792</v>
      </c>
      <c r="D24" s="10" t="s">
        <v>19</v>
      </c>
      <c r="E24" s="10" t="s">
        <v>161</v>
      </c>
      <c r="F24" s="25">
        <f>'прил 5,'!G1056+'прил 5,'!G2209</f>
        <v>14435922.289999999</v>
      </c>
      <c r="G24" s="25">
        <f>'прил 5,'!H1056+'прил 5,'!H2209</f>
        <v>14549467.289999999</v>
      </c>
      <c r="H24" s="25">
        <f>'прил 5,'!I1056+'прил 5,'!I2209</f>
        <v>14737161.289999999</v>
      </c>
      <c r="I24" s="62"/>
      <c r="J24" s="62"/>
    </row>
    <row r="25" spans="2:10" s="3" customFormat="1" hidden="1">
      <c r="B25" s="53" t="s">
        <v>812</v>
      </c>
      <c r="C25" s="45"/>
      <c r="D25" s="10" t="s">
        <v>19</v>
      </c>
      <c r="E25" s="10" t="s">
        <v>26</v>
      </c>
      <c r="F25" s="25">
        <f>'прил 5,'!G1170</f>
        <v>0</v>
      </c>
      <c r="G25" s="25">
        <f>'прил 5,'!H1170</f>
        <v>0</v>
      </c>
      <c r="H25" s="25">
        <f>'прил 5,'!I1170</f>
        <v>0</v>
      </c>
      <c r="I25" s="62"/>
      <c r="J25" s="62"/>
    </row>
    <row r="26" spans="2:10" s="3" customFormat="1">
      <c r="B26" s="51" t="s">
        <v>332</v>
      </c>
      <c r="C26" s="79">
        <v>793</v>
      </c>
      <c r="D26" s="52" t="s">
        <v>19</v>
      </c>
      <c r="E26" s="52" t="s">
        <v>72</v>
      </c>
      <c r="F26" s="27">
        <f>'прил 5,'!G1175</f>
        <v>241872.8</v>
      </c>
      <c r="G26" s="27">
        <f>'прил 5,'!H1175</f>
        <v>1000000</v>
      </c>
      <c r="H26" s="27">
        <f>'прил 5,'!I1175</f>
        <v>1000000</v>
      </c>
      <c r="I26" s="62"/>
      <c r="J26" s="62"/>
    </row>
    <row r="27" spans="2:10" s="3" customFormat="1">
      <c r="B27" s="9" t="s">
        <v>22</v>
      </c>
      <c r="C27" s="79">
        <v>793</v>
      </c>
      <c r="D27" s="10" t="s">
        <v>19</v>
      </c>
      <c r="E27" s="10" t="s">
        <v>23</v>
      </c>
      <c r="F27" s="27">
        <f>'прил 5,'!G1180+'прил 5,'!G395+'прил 5,'!G1066+'прил 5,'!G454+'прил 5,'!G1804+'прил 5,'!G2111</f>
        <v>27428102.070000004</v>
      </c>
      <c r="G27" s="27">
        <f>'прил 5,'!H1180+'прил 5,'!H395+'прил 5,'!H1066</f>
        <v>22205104.25</v>
      </c>
      <c r="H27" s="27">
        <f>'прил 5,'!I1180+'прил 5,'!I395+'прил 5,'!I1066</f>
        <v>23927384.629999999</v>
      </c>
      <c r="I27" s="62"/>
      <c r="J27" s="62"/>
    </row>
    <row r="28" spans="2:10" s="3" customFormat="1">
      <c r="B28" s="47" t="s">
        <v>165</v>
      </c>
      <c r="C28" s="45">
        <v>792</v>
      </c>
      <c r="D28" s="20" t="s">
        <v>28</v>
      </c>
      <c r="E28" s="20"/>
      <c r="F28" s="12">
        <f>F29</f>
        <v>3750613.11</v>
      </c>
      <c r="G28" s="12">
        <f t="shared" ref="G28:H28" si="1">G29</f>
        <v>3663447.84</v>
      </c>
      <c r="H28" s="12">
        <f t="shared" si="1"/>
        <v>3793072.21</v>
      </c>
      <c r="I28" s="62"/>
      <c r="J28" s="62"/>
    </row>
    <row r="29" spans="2:10" s="3" customFormat="1">
      <c r="B29" s="9" t="s">
        <v>166</v>
      </c>
      <c r="C29" s="45">
        <v>792</v>
      </c>
      <c r="D29" s="10" t="s">
        <v>28</v>
      </c>
      <c r="E29" s="10" t="s">
        <v>70</v>
      </c>
      <c r="F29" s="25">
        <f>'прил 5,'!G1072</f>
        <v>3750613.11</v>
      </c>
      <c r="G29" s="25">
        <f>'прил 5,'!H1072</f>
        <v>3663447.84</v>
      </c>
      <c r="H29" s="25">
        <f>'прил 5,'!I1072</f>
        <v>3793072.21</v>
      </c>
      <c r="I29" s="62"/>
      <c r="J29" s="62"/>
    </row>
    <row r="30" spans="2:10" s="3" customFormat="1" ht="25.5">
      <c r="B30" s="11" t="s">
        <v>168</v>
      </c>
      <c r="C30" s="6">
        <v>793</v>
      </c>
      <c r="D30" s="7" t="s">
        <v>70</v>
      </c>
      <c r="E30" s="7"/>
      <c r="F30" s="38">
        <f>F31+F33+F32</f>
        <v>6305590.8799999999</v>
      </c>
      <c r="G30" s="38">
        <f t="shared" ref="G30:H30" si="2">G31+G33+G32</f>
        <v>1038000</v>
      </c>
      <c r="H30" s="38">
        <f t="shared" si="2"/>
        <v>998000</v>
      </c>
      <c r="I30" s="63">
        <f>'прил 5,'!G460+'прил 5,'!G1263</f>
        <v>6305590.8799999999</v>
      </c>
      <c r="J30" s="62"/>
    </row>
    <row r="31" spans="2:10" s="3" customFormat="1">
      <c r="B31" s="48" t="s">
        <v>797</v>
      </c>
      <c r="C31" s="45">
        <v>793</v>
      </c>
      <c r="D31" s="52" t="s">
        <v>70</v>
      </c>
      <c r="E31" s="52" t="s">
        <v>123</v>
      </c>
      <c r="F31" s="27">
        <f>'прил 5,'!G1264</f>
        <v>67500</v>
      </c>
      <c r="G31" s="27">
        <f>'прил 5,'!H1264</f>
        <v>67500</v>
      </c>
      <c r="H31" s="27">
        <f>'прил 5,'!I1264</f>
        <v>67500</v>
      </c>
      <c r="I31" s="62"/>
      <c r="J31" s="62"/>
    </row>
    <row r="32" spans="2:10" s="3" customFormat="1" ht="45.75" customHeight="1">
      <c r="B32" s="48" t="s">
        <v>798</v>
      </c>
      <c r="C32" s="45"/>
      <c r="D32" s="52" t="s">
        <v>70</v>
      </c>
      <c r="E32" s="52" t="s">
        <v>69</v>
      </c>
      <c r="F32" s="27">
        <f>'прил 5,'!G1296</f>
        <v>5728490.8799999999</v>
      </c>
      <c r="G32" s="27">
        <f>'прил 5,'!H1296</f>
        <v>532500</v>
      </c>
      <c r="H32" s="27">
        <f>'прил 5,'!I1296</f>
        <v>502500</v>
      </c>
      <c r="I32" s="62"/>
      <c r="J32" s="62"/>
    </row>
    <row r="33" spans="2:11" s="3" customFormat="1" ht="25.5">
      <c r="B33" s="16" t="s">
        <v>336</v>
      </c>
      <c r="C33" s="45"/>
      <c r="D33" s="41" t="s">
        <v>70</v>
      </c>
      <c r="E33" s="41" t="s">
        <v>310</v>
      </c>
      <c r="F33" s="27">
        <f>'прил 5,'!G1329+'прил 5,'!G461</f>
        <v>509600</v>
      </c>
      <c r="G33" s="27">
        <f>'прил 5,'!H1329+'прил 5,'!H465+'прил 5,'!H467</f>
        <v>438000</v>
      </c>
      <c r="H33" s="27">
        <f>'прил 5,'!I1329+'прил 5,'!I465+'прил 5,'!I467</f>
        <v>428000</v>
      </c>
      <c r="I33" s="62"/>
      <c r="J33" s="62"/>
    </row>
    <row r="34" spans="2:11" s="3" customFormat="1">
      <c r="B34" s="11" t="s">
        <v>86</v>
      </c>
      <c r="C34" s="6">
        <v>793</v>
      </c>
      <c r="D34" s="7" t="s">
        <v>54</v>
      </c>
      <c r="E34" s="7"/>
      <c r="F34" s="38">
        <f>F36+F37+F38+F35</f>
        <v>54477592.759999998</v>
      </c>
      <c r="G34" s="38">
        <f t="shared" ref="G34:H34" si="3">G36+G37+G38+G35</f>
        <v>38485008</v>
      </c>
      <c r="H34" s="38">
        <f t="shared" si="3"/>
        <v>39899901</v>
      </c>
      <c r="I34" s="63">
        <f>'прил 5,'!G19+'прил 5,'!G406+'прил 5,'!G1344+'прил 5,'!G1805</f>
        <v>52767328.289999999</v>
      </c>
      <c r="J34" s="62"/>
    </row>
    <row r="35" spans="2:11" s="46" customFormat="1" hidden="1">
      <c r="B35" s="166" t="s">
        <v>791</v>
      </c>
      <c r="C35" s="49"/>
      <c r="D35" s="66" t="s">
        <v>54</v>
      </c>
      <c r="E35" s="66" t="s">
        <v>173</v>
      </c>
      <c r="F35" s="29">
        <f>'прил 5,'!G1345+'прил 5,'!G407</f>
        <v>0</v>
      </c>
      <c r="G35" s="29">
        <f>'прил 5,'!H1345</f>
        <v>0</v>
      </c>
      <c r="H35" s="29">
        <f>'прил 5,'!I1345</f>
        <v>0</v>
      </c>
      <c r="I35" s="167"/>
      <c r="J35" s="58"/>
    </row>
    <row r="36" spans="2:11" s="3" customFormat="1">
      <c r="B36" s="53" t="s">
        <v>343</v>
      </c>
      <c r="C36" s="79"/>
      <c r="D36" s="41" t="s">
        <v>54</v>
      </c>
      <c r="E36" s="41" t="s">
        <v>44</v>
      </c>
      <c r="F36" s="25">
        <f>'прил 5,'!G1350</f>
        <v>7056128.1399999997</v>
      </c>
      <c r="G36" s="25">
        <f>'прил 5,'!H1350</f>
        <v>1929435</v>
      </c>
      <c r="H36" s="25">
        <f>'прил 5,'!I1350</f>
        <v>1929435</v>
      </c>
      <c r="I36" s="62"/>
      <c r="J36" s="62"/>
      <c r="K36" s="111"/>
    </row>
    <row r="37" spans="2:11" s="3" customFormat="1">
      <c r="B37" s="88" t="s">
        <v>172</v>
      </c>
      <c r="C37" s="45">
        <v>792</v>
      </c>
      <c r="D37" s="52" t="s">
        <v>54</v>
      </c>
      <c r="E37" s="52" t="s">
        <v>123</v>
      </c>
      <c r="F37" s="25">
        <f>'прил 5,'!G1806+'прил 5,'!G1365+'прил 5,'!G468+'прил 5,'!G2117</f>
        <v>44176972.259999998</v>
      </c>
      <c r="G37" s="25">
        <f>'прил 5,'!H1806+'прил 5,'!H1365</f>
        <v>34849551</v>
      </c>
      <c r="H37" s="25">
        <f>'прил 5,'!I1806+'прил 5,'!I1365</f>
        <v>36266998</v>
      </c>
      <c r="I37" s="63"/>
      <c r="J37" s="62"/>
      <c r="K37" s="111"/>
    </row>
    <row r="38" spans="2:11" s="3" customFormat="1">
      <c r="B38" s="51" t="s">
        <v>87</v>
      </c>
      <c r="C38" s="79">
        <v>793</v>
      </c>
      <c r="D38" s="52" t="s">
        <v>54</v>
      </c>
      <c r="E38" s="52" t="s">
        <v>88</v>
      </c>
      <c r="F38" s="27">
        <f>'прил 5,'!G1891+'прил 5,'!G1410+'прил 5,'!G412+'прил 5,'!G20+'прил 5,'!G2144</f>
        <v>3244492.36</v>
      </c>
      <c r="G38" s="27">
        <f>'прил 5,'!H1891+'прил 5,'!H1410+'прил 5,'!H412+'прил 5,'!H20</f>
        <v>1706022</v>
      </c>
      <c r="H38" s="27">
        <f>'прил 5,'!I1891+'прил 5,'!I1410+'прил 5,'!I412+'прил 5,'!I20</f>
        <v>1703468</v>
      </c>
      <c r="I38" s="62"/>
      <c r="J38" s="62"/>
    </row>
    <row r="39" spans="2:11" s="3" customFormat="1">
      <c r="B39" s="54" t="s">
        <v>347</v>
      </c>
      <c r="C39" s="45">
        <v>792</v>
      </c>
      <c r="D39" s="7" t="s">
        <v>173</v>
      </c>
      <c r="E39" s="7"/>
      <c r="F39" s="38">
        <f>F41+F40+F42+F43</f>
        <v>81481368.039999992</v>
      </c>
      <c r="G39" s="38">
        <f t="shared" ref="G39:H39" si="4">G41+G40+G42+G43</f>
        <v>14420703.07</v>
      </c>
      <c r="H39" s="38">
        <f t="shared" si="4"/>
        <v>208833024.25</v>
      </c>
      <c r="I39" s="63">
        <f>'прил 5,'!G1432+'прил 5,'!G1900</f>
        <v>0</v>
      </c>
      <c r="J39" s="62"/>
      <c r="K39" s="111"/>
    </row>
    <row r="40" spans="2:11" s="46" customFormat="1">
      <c r="B40" s="67" t="s">
        <v>174</v>
      </c>
      <c r="C40" s="49"/>
      <c r="D40" s="66" t="s">
        <v>173</v>
      </c>
      <c r="E40" s="66" t="s">
        <v>19</v>
      </c>
      <c r="F40" s="29">
        <f>'прил 5,'!G1901+'прил 5,'!G1453+'прил 5,'!G442+'прил 5,'!G2152</f>
        <v>52794738.710000001</v>
      </c>
      <c r="G40" s="29">
        <f>'прил 5,'!H1901+'прил 5,'!H1453+'прил 5,'!H442</f>
        <v>6636000</v>
      </c>
      <c r="H40" s="29">
        <f>'прил 5,'!I1901+'прил 5,'!I1453+'прил 5,'!I442</f>
        <v>204548224.15000001</v>
      </c>
      <c r="I40" s="58"/>
      <c r="J40" s="58"/>
    </row>
    <row r="41" spans="2:11" s="1" customFormat="1">
      <c r="B41" s="55" t="s">
        <v>175</v>
      </c>
      <c r="C41" s="45"/>
      <c r="D41" s="10" t="s">
        <v>173</v>
      </c>
      <c r="E41" s="10" t="s">
        <v>28</v>
      </c>
      <c r="F41" s="25">
        <f>'прил 5,'!G1930+'прил 5,'!G1078+'прил 5,'!G1495+'прил 5,'!G2177</f>
        <v>22876479.399999999</v>
      </c>
      <c r="G41" s="25">
        <f>'прил 5,'!H1930+'прил 5,'!H1078+'прил 5,'!H1495</f>
        <v>6900000</v>
      </c>
      <c r="H41" s="25">
        <f>'прил 5,'!I1930+'прил 5,'!I1078+'прил 5,'!I1495</f>
        <v>3400000</v>
      </c>
      <c r="I41" s="69"/>
      <c r="J41" s="69"/>
    </row>
    <row r="42" spans="2:11" s="3" customFormat="1">
      <c r="B42" s="55" t="s">
        <v>182</v>
      </c>
      <c r="C42" s="45"/>
      <c r="D42" s="10" t="s">
        <v>173</v>
      </c>
      <c r="E42" s="10" t="s">
        <v>70</v>
      </c>
      <c r="F42" s="25">
        <f>'прил 5,'!G1433+'прил 5,'!G2007+'прил 5,'!G1551+'прил 5,'!G2194</f>
        <v>1465407</v>
      </c>
      <c r="G42" s="25">
        <f>'прил 5,'!H1433+'прил 5,'!H2007+'прил 5,'!H1551</f>
        <v>884703.07000000007</v>
      </c>
      <c r="H42" s="25">
        <f>'прил 5,'!I1433+'прил 5,'!I2007+'прил 5,'!I1551</f>
        <v>884800.1</v>
      </c>
      <c r="I42" s="62"/>
      <c r="J42" s="62"/>
    </row>
    <row r="43" spans="2:11" s="3" customFormat="1">
      <c r="B43" s="55" t="s">
        <v>588</v>
      </c>
      <c r="C43" s="45"/>
      <c r="D43" s="10" t="s">
        <v>173</v>
      </c>
      <c r="E43" s="10" t="s">
        <v>173</v>
      </c>
      <c r="F43" s="25">
        <f>'прил 5,'!G2030+'прил 5,'!G1582</f>
        <v>4344742.93</v>
      </c>
      <c r="G43" s="25">
        <f>'прил 5,'!H2030+'прил 5,'!H1582</f>
        <v>0</v>
      </c>
      <c r="H43" s="25">
        <f>'прил 5,'!I2030+'прил 5,'!I1582</f>
        <v>0</v>
      </c>
      <c r="I43" s="62"/>
      <c r="J43" s="62"/>
    </row>
    <row r="44" spans="2:11" s="3" customFormat="1">
      <c r="B44" s="54" t="s">
        <v>2</v>
      </c>
      <c r="C44" s="45">
        <v>792</v>
      </c>
      <c r="D44" s="7" t="s">
        <v>161</v>
      </c>
      <c r="E44" s="7"/>
      <c r="F44" s="38">
        <f>F45</f>
        <v>11291469.26</v>
      </c>
      <c r="G44" s="38">
        <f t="shared" ref="G44:H44" si="5">G45</f>
        <v>2050000</v>
      </c>
      <c r="H44" s="38">
        <f t="shared" si="5"/>
        <v>2050000</v>
      </c>
      <c r="I44" s="63">
        <f>'прил 5,'!G2058</f>
        <v>0</v>
      </c>
      <c r="J44" s="62"/>
    </row>
    <row r="45" spans="2:11" s="3" customFormat="1" ht="21" customHeight="1">
      <c r="B45" s="16" t="s">
        <v>353</v>
      </c>
      <c r="C45" s="45"/>
      <c r="D45" s="10" t="s">
        <v>161</v>
      </c>
      <c r="E45" s="10" t="s">
        <v>173</v>
      </c>
      <c r="F45" s="25">
        <f>'прил 5,'!G2059+'прил 5,'!G1614+'прил 5,'!G2202</f>
        <v>11291469.26</v>
      </c>
      <c r="G45" s="25">
        <f>'прил 5,'!H2059+'прил 5,'!H1614</f>
        <v>2050000</v>
      </c>
      <c r="H45" s="25">
        <f>'прил 5,'!I2059+'прил 5,'!I1614</f>
        <v>2050000</v>
      </c>
      <c r="I45" s="62"/>
      <c r="J45" s="62"/>
    </row>
    <row r="46" spans="2:11" s="3" customFormat="1">
      <c r="B46" s="11" t="s">
        <v>25</v>
      </c>
      <c r="C46" s="6">
        <v>774</v>
      </c>
      <c r="D46" s="7" t="s">
        <v>26</v>
      </c>
      <c r="E46" s="7"/>
      <c r="F46" s="38">
        <f>F47+F48+F50+F51+F49</f>
        <v>1196565965.47</v>
      </c>
      <c r="G46" s="38">
        <f t="shared" ref="G46:H46" si="6">G47+G48+G50+G51+G49</f>
        <v>1067456310.25</v>
      </c>
      <c r="H46" s="38">
        <f t="shared" si="6"/>
        <v>1058878625.15</v>
      </c>
      <c r="I46" s="63">
        <f>'прил 5,'!G30+'прил 5,'!G473</f>
        <v>1196074565.47</v>
      </c>
      <c r="J46" s="62"/>
    </row>
    <row r="47" spans="2:11" s="3" customFormat="1">
      <c r="B47" s="53" t="s">
        <v>89</v>
      </c>
      <c r="C47" s="79">
        <v>774</v>
      </c>
      <c r="D47" s="10" t="s">
        <v>26</v>
      </c>
      <c r="E47" s="10" t="s">
        <v>19</v>
      </c>
      <c r="F47" s="27">
        <f>'прил 5,'!G474</f>
        <v>318904288.42000002</v>
      </c>
      <c r="G47" s="27">
        <f>'прил 5,'!H474</f>
        <v>324865367</v>
      </c>
      <c r="H47" s="27">
        <f>'прил 5,'!I474</f>
        <v>334575673</v>
      </c>
      <c r="I47" s="62"/>
      <c r="J47" s="62"/>
    </row>
    <row r="48" spans="2:11" s="3" customFormat="1">
      <c r="B48" s="55" t="s">
        <v>27</v>
      </c>
      <c r="C48" s="79">
        <v>774</v>
      </c>
      <c r="D48" s="10" t="s">
        <v>26</v>
      </c>
      <c r="E48" s="10" t="s">
        <v>28</v>
      </c>
      <c r="F48" s="27">
        <f>'прил 5,'!G550</f>
        <v>725424320.29999995</v>
      </c>
      <c r="G48" s="27">
        <f>'прил 5,'!H550+'прил 5,'!H2095</f>
        <v>594655480.32000005</v>
      </c>
      <c r="H48" s="27">
        <f>'прил 5,'!I550+'прил 5,'!I2095</f>
        <v>574424356</v>
      </c>
      <c r="I48" s="62"/>
      <c r="J48" s="62"/>
    </row>
    <row r="49" spans="2:10" s="3" customFormat="1">
      <c r="B49" s="53" t="s">
        <v>95</v>
      </c>
      <c r="C49" s="79"/>
      <c r="D49" s="10" t="s">
        <v>26</v>
      </c>
      <c r="E49" s="10" t="s">
        <v>70</v>
      </c>
      <c r="F49" s="25">
        <f>'прил 5,'!G31+'прил 5,'!G790</f>
        <v>131641829.51000001</v>
      </c>
      <c r="G49" s="25">
        <f>'прил 5,'!H31+'прил 5,'!H790</f>
        <v>128482624.39</v>
      </c>
      <c r="H49" s="25">
        <f>'прил 5,'!I31+'прил 5,'!I790</f>
        <v>130289803.59</v>
      </c>
      <c r="I49" s="62"/>
      <c r="J49" s="62"/>
    </row>
    <row r="50" spans="2:10" s="3" customFormat="1">
      <c r="B50" s="53" t="s">
        <v>282</v>
      </c>
      <c r="C50" s="79">
        <v>774</v>
      </c>
      <c r="D50" s="10" t="s">
        <v>26</v>
      </c>
      <c r="E50" s="10" t="s">
        <v>26</v>
      </c>
      <c r="F50" s="27">
        <f>'прил 5,'!G906+'прил 5,'!G111+'прил 5,'!G1638</f>
        <v>5591812.5599999996</v>
      </c>
      <c r="G50" s="27">
        <f>'прил 5,'!H906+'прил 5,'!H111+'прил 5,'!H1638</f>
        <v>5058412.54</v>
      </c>
      <c r="H50" s="27">
        <f>'прил 5,'!I906+'прил 5,'!I111+'прил 5,'!I1638</f>
        <v>5058412.5599999996</v>
      </c>
      <c r="I50" s="62"/>
      <c r="J50" s="62"/>
    </row>
    <row r="51" spans="2:10" s="3" customFormat="1">
      <c r="B51" s="53" t="s">
        <v>122</v>
      </c>
      <c r="C51" s="79">
        <v>774</v>
      </c>
      <c r="D51" s="10" t="s">
        <v>26</v>
      </c>
      <c r="E51" s="10" t="s">
        <v>123</v>
      </c>
      <c r="F51" s="27">
        <f>'прил 5,'!G958</f>
        <v>15003714.68</v>
      </c>
      <c r="G51" s="27">
        <f>'прил 5,'!H958</f>
        <v>14394426</v>
      </c>
      <c r="H51" s="27">
        <f>'прил 5,'!I958</f>
        <v>14530380</v>
      </c>
      <c r="I51" s="62"/>
      <c r="J51" s="62"/>
    </row>
    <row r="52" spans="2:10" s="3" customFormat="1">
      <c r="B52" s="11" t="s">
        <v>43</v>
      </c>
      <c r="C52" s="79">
        <v>757</v>
      </c>
      <c r="D52" s="7" t="s">
        <v>44</v>
      </c>
      <c r="E52" s="7"/>
      <c r="F52" s="38">
        <f>F53+F54</f>
        <v>156997715.50999999</v>
      </c>
      <c r="G52" s="38">
        <f t="shared" ref="G52:H52" si="7">G53+G54</f>
        <v>141572118.02000001</v>
      </c>
      <c r="H52" s="38">
        <f t="shared" si="7"/>
        <v>135235621.05000001</v>
      </c>
      <c r="I52" s="63">
        <f>'прил 5,'!G129</f>
        <v>156974629.75</v>
      </c>
      <c r="J52" s="62"/>
    </row>
    <row r="53" spans="2:10" s="3" customFormat="1">
      <c r="B53" s="53" t="s">
        <v>45</v>
      </c>
      <c r="C53" s="79">
        <v>757</v>
      </c>
      <c r="D53" s="10" t="s">
        <v>44</v>
      </c>
      <c r="E53" s="10" t="s">
        <v>19</v>
      </c>
      <c r="F53" s="25">
        <f>'прил 5,'!G130+'прил 5,'!G1659</f>
        <v>151662176.50999999</v>
      </c>
      <c r="G53" s="25">
        <f>'прил 5,'!H130</f>
        <v>136173113.02000001</v>
      </c>
      <c r="H53" s="25">
        <f>'прил 5,'!I130</f>
        <v>129785908.05000001</v>
      </c>
      <c r="I53" s="62"/>
      <c r="J53" s="62"/>
    </row>
    <row r="54" spans="2:10" s="3" customFormat="1" ht="13.5" customHeight="1">
      <c r="B54" s="55" t="s">
        <v>53</v>
      </c>
      <c r="C54" s="79">
        <v>757</v>
      </c>
      <c r="D54" s="10" t="s">
        <v>44</v>
      </c>
      <c r="E54" s="10" t="s">
        <v>54</v>
      </c>
      <c r="F54" s="25">
        <f>'прил 5,'!G344</f>
        <v>5335539</v>
      </c>
      <c r="G54" s="25">
        <f>'прил 5,'!H344</f>
        <v>5399005</v>
      </c>
      <c r="H54" s="25">
        <f>'прил 5,'!I344</f>
        <v>5449713</v>
      </c>
      <c r="I54" s="62"/>
      <c r="J54" s="62"/>
    </row>
    <row r="55" spans="2:10" s="3" customFormat="1">
      <c r="B55" s="11" t="s">
        <v>145</v>
      </c>
      <c r="C55" s="79">
        <v>757</v>
      </c>
      <c r="D55" s="7" t="s">
        <v>69</v>
      </c>
      <c r="E55" s="7"/>
      <c r="F55" s="38">
        <f>F56+F57+F58</f>
        <v>103778530.48999999</v>
      </c>
      <c r="G55" s="38">
        <f>G56+G57+G58</f>
        <v>37438056.93</v>
      </c>
      <c r="H55" s="38">
        <f>H56+H57+H58</f>
        <v>64210480.18</v>
      </c>
      <c r="I55" s="63">
        <f>'прил 5,'!G1717+'прил 5,'!G997+'прил 5,'!G1664</f>
        <v>103634014.49000001</v>
      </c>
      <c r="J55" s="62"/>
    </row>
    <row r="56" spans="2:10" s="3" customFormat="1">
      <c r="B56" s="53" t="s">
        <v>146</v>
      </c>
      <c r="C56" s="79">
        <v>774</v>
      </c>
      <c r="D56" s="10" t="s">
        <v>69</v>
      </c>
      <c r="E56" s="10" t="s">
        <v>19</v>
      </c>
      <c r="F56" s="25">
        <f>'прил 5,'!G998+'прил 5,'!G1665+'прил 5,'!G1084</f>
        <v>526224</v>
      </c>
      <c r="G56" s="25">
        <f>'прил 5,'!H998+'прил 5,'!H1665+'прил 5,'!H1084</f>
        <v>527669</v>
      </c>
      <c r="H56" s="25">
        <f>'прил 5,'!I998+'прил 5,'!I1665+'прил 5,'!I1084</f>
        <v>529129</v>
      </c>
      <c r="I56" s="62"/>
      <c r="J56" s="62"/>
    </row>
    <row r="57" spans="2:10" s="3" customFormat="1">
      <c r="B57" s="53" t="s">
        <v>68</v>
      </c>
      <c r="C57" s="79">
        <v>757</v>
      </c>
      <c r="D57" s="10" t="s">
        <v>69</v>
      </c>
      <c r="E57" s="10" t="s">
        <v>70</v>
      </c>
      <c r="F57" s="25">
        <f>'прил 5,'!G1670</f>
        <v>34596740.939999998</v>
      </c>
      <c r="G57" s="25">
        <f>'прил 5,'!H1670</f>
        <v>1867174</v>
      </c>
      <c r="H57" s="25">
        <f>'прил 5,'!I1670</f>
        <v>1895221</v>
      </c>
      <c r="I57" s="63"/>
      <c r="J57" s="62"/>
    </row>
    <row r="58" spans="2:10" s="3" customFormat="1">
      <c r="B58" s="55" t="s">
        <v>153</v>
      </c>
      <c r="C58" s="79">
        <v>774</v>
      </c>
      <c r="D58" s="10" t="s">
        <v>69</v>
      </c>
      <c r="E58" s="10" t="s">
        <v>54</v>
      </c>
      <c r="F58" s="8">
        <f>'прил 5,'!G1003+'прил 5,'!G1716</f>
        <v>68655565.549999997</v>
      </c>
      <c r="G58" s="8">
        <f>'прил 5,'!H1003+'прил 5,'!H1716</f>
        <v>35043213.93</v>
      </c>
      <c r="H58" s="8">
        <f>'прил 5,'!I1003+'прил 5,'!I1716</f>
        <v>61786130.18</v>
      </c>
      <c r="I58" s="62"/>
      <c r="J58" s="62"/>
    </row>
    <row r="59" spans="2:10" s="3" customFormat="1">
      <c r="B59" s="11" t="s">
        <v>361</v>
      </c>
      <c r="C59" s="6">
        <v>757</v>
      </c>
      <c r="D59" s="7" t="s">
        <v>72</v>
      </c>
      <c r="E59" s="7"/>
      <c r="F59" s="38">
        <f>F61+F60</f>
        <v>441360</v>
      </c>
      <c r="G59" s="38">
        <f t="shared" ref="G59:H59" si="8">G61+G60</f>
        <v>445360</v>
      </c>
      <c r="H59" s="38">
        <f t="shared" si="8"/>
        <v>445360</v>
      </c>
      <c r="I59" s="63">
        <f>'прил 5,'!G359</f>
        <v>0</v>
      </c>
      <c r="J59" s="62"/>
    </row>
    <row r="60" spans="2:10" s="3" customFormat="1" hidden="1">
      <c r="B60" s="115" t="s">
        <v>496</v>
      </c>
      <c r="C60" s="6"/>
      <c r="D60" s="66" t="s">
        <v>72</v>
      </c>
      <c r="E60" s="66" t="s">
        <v>19</v>
      </c>
      <c r="F60" s="29">
        <f>'прил 5,'!G360</f>
        <v>0</v>
      </c>
      <c r="G60" s="29">
        <f>'прил 5,'!H360</f>
        <v>0</v>
      </c>
      <c r="H60" s="29">
        <f>'прил 5,'!I360</f>
        <v>0</v>
      </c>
      <c r="I60" s="63"/>
      <c r="J60" s="62"/>
    </row>
    <row r="61" spans="2:10" s="3" customFormat="1">
      <c r="B61" s="51" t="s">
        <v>71</v>
      </c>
      <c r="C61" s="79">
        <v>757</v>
      </c>
      <c r="D61" s="10" t="s">
        <v>72</v>
      </c>
      <c r="E61" s="10" t="s">
        <v>28</v>
      </c>
      <c r="F61" s="25">
        <f>'прил 5,'!G375+'прил 5,'!G1751+'прил 5,'!G1035</f>
        <v>441360</v>
      </c>
      <c r="G61" s="25">
        <f>'прил 5,'!H375+'прил 5,'!H1751+'прил 5,'!H1035</f>
        <v>445360</v>
      </c>
      <c r="H61" s="25">
        <f>'прил 5,'!I375+'прил 5,'!I1751+'прил 5,'!I1035</f>
        <v>445360</v>
      </c>
      <c r="I61" s="62"/>
      <c r="J61" s="62"/>
    </row>
    <row r="62" spans="2:10" s="3" customFormat="1" ht="25.5">
      <c r="B62" s="54" t="s">
        <v>301</v>
      </c>
      <c r="C62" s="45">
        <v>792</v>
      </c>
      <c r="D62" s="7" t="s">
        <v>23</v>
      </c>
      <c r="E62" s="7"/>
      <c r="F62" s="38">
        <f>F63</f>
        <v>5220000</v>
      </c>
      <c r="G62" s="38">
        <f t="shared" ref="G62:H62" si="9">G63</f>
        <v>5220000</v>
      </c>
      <c r="H62" s="38">
        <f t="shared" si="9"/>
        <v>5220000</v>
      </c>
      <c r="I62" s="63">
        <f>'прил 5,'!G1089+'прил 5,'!G1762</f>
        <v>5220000</v>
      </c>
      <c r="J62" s="62"/>
    </row>
    <row r="63" spans="2:10" s="3" customFormat="1" ht="25.5">
      <c r="B63" s="55" t="s">
        <v>302</v>
      </c>
      <c r="C63" s="45">
        <v>792</v>
      </c>
      <c r="D63" s="10" t="s">
        <v>23</v>
      </c>
      <c r="E63" s="10" t="s">
        <v>19</v>
      </c>
      <c r="F63" s="25">
        <f>'прил 5,'!G1090+'прил 5,'!G1768</f>
        <v>5220000</v>
      </c>
      <c r="G63" s="25">
        <f>'прил 5,'!H1090+'прил 5,'!H1768</f>
        <v>5220000</v>
      </c>
      <c r="H63" s="25">
        <f>'прил 5,'!I1090+'прил 5,'!I1768</f>
        <v>5220000</v>
      </c>
      <c r="I63" s="62"/>
      <c r="J63" s="62"/>
    </row>
    <row r="64" spans="2:10" s="3" customFormat="1" ht="38.25">
      <c r="B64" s="54" t="s">
        <v>309</v>
      </c>
      <c r="C64" s="45">
        <v>792</v>
      </c>
      <c r="D64" s="7" t="s">
        <v>310</v>
      </c>
      <c r="E64" s="7"/>
      <c r="F64" s="38">
        <f>F65+F66</f>
        <v>43367710.5</v>
      </c>
      <c r="G64" s="38">
        <f t="shared" ref="G64:H64" si="10">G65+G66</f>
        <v>18649308</v>
      </c>
      <c r="H64" s="38">
        <f t="shared" si="10"/>
        <v>19297922.399999999</v>
      </c>
      <c r="I64" s="63">
        <f>'прил 5,'!G1096</f>
        <v>43367710.5</v>
      </c>
      <c r="J64" s="62"/>
    </row>
    <row r="65" spans="2:12" s="3" customFormat="1" ht="25.5">
      <c r="B65" s="132" t="s">
        <v>311</v>
      </c>
      <c r="C65" s="259">
        <v>792</v>
      </c>
      <c r="D65" s="153" t="s">
        <v>310</v>
      </c>
      <c r="E65" s="153" t="s">
        <v>19</v>
      </c>
      <c r="F65" s="95">
        <f>'прил 5,'!G1097</f>
        <v>20147049.5</v>
      </c>
      <c r="G65" s="95">
        <f>'прил 5,'!H1097</f>
        <v>18649308</v>
      </c>
      <c r="H65" s="95">
        <f>'прил 5,'!I1097</f>
        <v>19297922.399999999</v>
      </c>
      <c r="I65" s="199"/>
      <c r="J65" s="199"/>
      <c r="K65" s="151"/>
      <c r="L65" s="151"/>
    </row>
    <row r="66" spans="2:12" s="3" customFormat="1">
      <c r="B66" s="132" t="s">
        <v>316</v>
      </c>
      <c r="C66" s="259">
        <v>792</v>
      </c>
      <c r="D66" s="153" t="s">
        <v>310</v>
      </c>
      <c r="E66" s="153" t="s">
        <v>70</v>
      </c>
      <c r="F66" s="95">
        <f>'прил 5,'!G1106</f>
        <v>23220661</v>
      </c>
      <c r="G66" s="95">
        <f>'прил 5,'!H1106</f>
        <v>0</v>
      </c>
      <c r="H66" s="95">
        <f>'прил 5,'!I1106</f>
        <v>0</v>
      </c>
      <c r="I66" s="199"/>
      <c r="J66" s="199"/>
      <c r="K66" s="151"/>
      <c r="L66" s="151"/>
    </row>
    <row r="67" spans="2:12" s="22" customFormat="1" ht="24" customHeight="1">
      <c r="B67" s="260" t="s">
        <v>369</v>
      </c>
      <c r="C67" s="260"/>
      <c r="D67" s="260"/>
      <c r="E67" s="260"/>
      <c r="F67" s="261">
        <f>F19+F34+F52+F55+F64+F28+F62+F46+F39+F44+F59+F30</f>
        <v>1772855683.01</v>
      </c>
      <c r="G67" s="261">
        <f>G19+G34+G52+G55+G64+G28+G62+G46+G39+G44+G59+G30</f>
        <v>1435817073.3499999</v>
      </c>
      <c r="H67" s="261">
        <f>H19+H34+H52+H55+H64+H28+H62+H46+H39+H44+H59+H30</f>
        <v>1646941446.9099998</v>
      </c>
      <c r="I67" s="207"/>
      <c r="J67" s="207"/>
      <c r="K67" s="124"/>
      <c r="L67" s="124"/>
    </row>
    <row r="68" spans="2:12" hidden="1">
      <c r="B68" s="262"/>
      <c r="C68" s="263"/>
      <c r="D68" s="264"/>
      <c r="E68" s="264"/>
      <c r="F68" s="179">
        <v>875721795.65999997</v>
      </c>
      <c r="G68" s="179">
        <v>875721795.65999997</v>
      </c>
      <c r="H68" s="179">
        <v>875721795.65999997</v>
      </c>
      <c r="I68" s="199"/>
      <c r="J68" s="199"/>
      <c r="K68" s="199"/>
      <c r="L68" s="199"/>
    </row>
    <row r="69" spans="2:12" hidden="1">
      <c r="B69" s="199"/>
      <c r="C69" s="265"/>
      <c r="D69" s="265"/>
      <c r="E69" s="265"/>
      <c r="F69" s="179">
        <f>F67-F68</f>
        <v>897133887.35000002</v>
      </c>
      <c r="G69" s="179">
        <f>G67-G68</f>
        <v>560095277.68999994</v>
      </c>
      <c r="H69" s="179">
        <f>H67-H68</f>
        <v>771219651.24999988</v>
      </c>
      <c r="I69" s="199"/>
      <c r="J69" s="199"/>
      <c r="K69" s="199"/>
      <c r="L69" s="199"/>
    </row>
    <row r="70" spans="2:12">
      <c r="B70" s="199"/>
      <c r="C70" s="265"/>
      <c r="D70" s="265"/>
      <c r="E70" s="265"/>
      <c r="F70" s="179"/>
      <c r="G70" s="179"/>
      <c r="H70" s="179"/>
      <c r="I70" s="199"/>
      <c r="J70" s="199"/>
      <c r="K70" s="199"/>
      <c r="L70" s="199"/>
    </row>
    <row r="71" spans="2:12">
      <c r="B71" s="199"/>
      <c r="C71" s="265"/>
      <c r="D71" s="265"/>
      <c r="E71" s="265"/>
      <c r="F71" s="179"/>
      <c r="G71" s="179">
        <f>'прил 5,'!H2222-'прил 6.'!H1523</f>
        <v>0</v>
      </c>
      <c r="H71" s="179">
        <f>'прил 5,'!I2222-'прил 6.'!I1523</f>
        <v>0</v>
      </c>
      <c r="I71" s="199"/>
      <c r="J71" s="199"/>
      <c r="K71" s="199"/>
      <c r="L71" s="199"/>
    </row>
    <row r="72" spans="2:12">
      <c r="B72" s="199"/>
      <c r="C72" s="265"/>
      <c r="D72" s="265"/>
      <c r="E72" s="265"/>
      <c r="F72" s="179"/>
      <c r="G72" s="179"/>
      <c r="H72" s="179"/>
      <c r="I72" s="199"/>
      <c r="J72" s="199"/>
      <c r="K72" s="199"/>
      <c r="L72" s="199"/>
    </row>
    <row r="73" spans="2:12" hidden="1"/>
    <row r="74" spans="2:12" hidden="1"/>
    <row r="75" spans="2:12" hidden="1"/>
    <row r="76" spans="2:12" hidden="1"/>
    <row r="77" spans="2:12" hidden="1"/>
    <row r="78" spans="2:12" hidden="1"/>
    <row r="79" spans="2:12" hidden="1"/>
    <row r="80" spans="2:12" hidden="1"/>
    <row r="81" spans="6:10" hidden="1"/>
    <row r="82" spans="6:10" hidden="1"/>
    <row r="83" spans="6:10" hidden="1"/>
    <row r="84" spans="6:10" hidden="1"/>
    <row r="85" spans="6:10" hidden="1"/>
    <row r="86" spans="6:10" hidden="1"/>
    <row r="87" spans="6:10" hidden="1"/>
    <row r="89" spans="6:10">
      <c r="I89" s="64">
        <f t="shared" ref="I89" si="11">I67-I72</f>
        <v>0</v>
      </c>
    </row>
    <row r="91" spans="6:10">
      <c r="F91" s="64">
        <f>'прил 5,'!G2222-'прил 4 '!F67</f>
        <v>0</v>
      </c>
      <c r="G91" s="64">
        <f>'прил 5,'!H2222-'прил 4 '!G67</f>
        <v>0</v>
      </c>
      <c r="H91" s="64">
        <f>'прил 5,'!I2222-'прил 4 '!H67</f>
        <v>0</v>
      </c>
      <c r="I91" s="64">
        <f>'прил 5,'!J2222-'прил 4 '!I67</f>
        <v>0</v>
      </c>
      <c r="J91" s="64">
        <f>'прил 5,'!K2222-'прил 4 '!J67</f>
        <v>0</v>
      </c>
    </row>
  </sheetData>
  <mergeCells count="21">
    <mergeCell ref="F11:K11"/>
    <mergeCell ref="F12:G12"/>
    <mergeCell ref="B14:B16"/>
    <mergeCell ref="B13:H13"/>
    <mergeCell ref="C15:C16"/>
    <mergeCell ref="F15:F16"/>
    <mergeCell ref="G15:G16"/>
    <mergeCell ref="H15:H16"/>
    <mergeCell ref="F14:H14"/>
    <mergeCell ref="E14:E16"/>
    <mergeCell ref="D14:D16"/>
    <mergeCell ref="F6:G6"/>
    <mergeCell ref="F7:K7"/>
    <mergeCell ref="F8:G8"/>
    <mergeCell ref="F9:K9"/>
    <mergeCell ref="F10:G10"/>
    <mergeCell ref="F1:K1"/>
    <mergeCell ref="F2:G2"/>
    <mergeCell ref="F3:K3"/>
    <mergeCell ref="F4:G4"/>
    <mergeCell ref="F5:K5"/>
  </mergeCells>
  <phoneticPr fontId="0" type="noConversion"/>
  <pageMargins left="0.61" right="0.2" top="0.35433070866141736" bottom="0.35433070866141736" header="0.23622047244094491" footer="0.1968503937007874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254"/>
  <sheetViews>
    <sheetView tabSelected="1" topLeftCell="A1794" zoomScaleSheetLayoutView="75" workbookViewId="0">
      <selection activeCell="A1796" sqref="A1796:A2109"/>
    </sheetView>
  </sheetViews>
  <sheetFormatPr defaultColWidth="9.140625" defaultRowHeight="12.75"/>
  <cols>
    <col min="1" max="1" width="52" style="1" customWidth="1"/>
    <col min="2" max="2" width="6.85546875" style="59" customWidth="1"/>
    <col min="3" max="3" width="4.5703125" style="59" customWidth="1"/>
    <col min="4" max="4" width="4.7109375" style="59" customWidth="1"/>
    <col min="5" max="5" width="13.5703125" style="59" customWidth="1"/>
    <col min="6" max="6" width="7.85546875" style="59" customWidth="1"/>
    <col min="7" max="7" width="19.28515625" style="60" customWidth="1"/>
    <col min="8" max="9" width="17.5703125" style="60" customWidth="1"/>
    <col min="10" max="10" width="17.5703125" style="179" customWidth="1"/>
    <col min="11" max="11" width="19.5703125" style="186" customWidth="1"/>
    <col min="12" max="12" width="17" style="186" customWidth="1"/>
    <col min="13" max="13" width="15" style="186" customWidth="1"/>
    <col min="14" max="14" width="14.5703125" style="186" customWidth="1"/>
    <col min="15" max="15" width="14.85546875" style="186" customWidth="1"/>
    <col min="16" max="16" width="13.85546875" style="186" bestFit="1" customWidth="1"/>
    <col min="17" max="17" width="14.42578125" style="186" bestFit="1" customWidth="1"/>
    <col min="18" max="18" width="15.28515625" style="186" customWidth="1"/>
    <col min="19" max="19" width="16.85546875" style="1" customWidth="1"/>
    <col min="20" max="16384" width="9.140625" style="1"/>
  </cols>
  <sheetData>
    <row r="1" spans="1:18">
      <c r="F1" s="327" t="s">
        <v>759</v>
      </c>
      <c r="G1" s="328"/>
      <c r="H1" s="328"/>
    </row>
    <row r="2" spans="1:18" ht="30" customHeight="1">
      <c r="F2" s="329" t="s">
        <v>1115</v>
      </c>
      <c r="G2" s="329"/>
      <c r="H2" s="329"/>
    </row>
    <row r="3" spans="1:18">
      <c r="F3" s="327" t="s">
        <v>759</v>
      </c>
      <c r="G3" s="328"/>
      <c r="H3" s="328"/>
    </row>
    <row r="4" spans="1:18" ht="30" customHeight="1">
      <c r="F4" s="329" t="s">
        <v>1080</v>
      </c>
      <c r="G4" s="329"/>
      <c r="H4" s="329"/>
    </row>
    <row r="5" spans="1:18" customFormat="1" ht="19.5" customHeight="1">
      <c r="B5" s="62"/>
      <c r="C5" s="65"/>
      <c r="D5" s="65"/>
      <c r="E5" s="65"/>
      <c r="F5" s="319" t="s">
        <v>759</v>
      </c>
      <c r="G5" s="319"/>
      <c r="H5" s="319"/>
      <c r="I5" s="319"/>
      <c r="J5" s="319"/>
      <c r="K5" s="319"/>
    </row>
    <row r="6" spans="1:18" customFormat="1" ht="33" customHeight="1">
      <c r="B6" s="62"/>
      <c r="C6" s="256"/>
      <c r="D6" s="65"/>
      <c r="E6" s="65"/>
      <c r="F6" s="329" t="s">
        <v>1058</v>
      </c>
      <c r="G6" s="329"/>
      <c r="H6" s="329"/>
      <c r="I6" s="97"/>
      <c r="J6" s="99"/>
    </row>
    <row r="7" spans="1:18" customFormat="1" ht="17.25" customHeight="1">
      <c r="B7" s="62"/>
      <c r="C7" s="65"/>
      <c r="D7" s="65"/>
      <c r="E7" s="65"/>
      <c r="F7" s="329" t="s">
        <v>759</v>
      </c>
      <c r="G7" s="329"/>
      <c r="H7" s="329"/>
      <c r="I7" s="253"/>
      <c r="J7" s="185"/>
      <c r="K7" s="185"/>
      <c r="L7" s="186"/>
      <c r="M7" s="186"/>
      <c r="N7" s="186"/>
      <c r="O7" s="186"/>
      <c r="P7" s="186"/>
      <c r="Q7" s="186"/>
      <c r="R7" s="186"/>
    </row>
    <row r="8" spans="1:18" customFormat="1" ht="38.25" customHeight="1">
      <c r="B8" s="62"/>
      <c r="C8" s="254"/>
      <c r="D8" s="65"/>
      <c r="E8" s="65"/>
      <c r="F8" s="329" t="s">
        <v>1041</v>
      </c>
      <c r="G8" s="329"/>
      <c r="H8" s="329"/>
      <c r="I8" s="97"/>
      <c r="J8" s="186"/>
      <c r="K8" s="186"/>
      <c r="L8" s="186"/>
      <c r="M8" s="186"/>
      <c r="N8" s="186"/>
      <c r="O8" s="186"/>
      <c r="P8" s="186"/>
      <c r="Q8" s="186"/>
      <c r="R8" s="186"/>
    </row>
    <row r="9" spans="1:18" customFormat="1" ht="18.75" customHeight="1">
      <c r="B9" s="62"/>
      <c r="C9" s="65"/>
      <c r="D9" s="65"/>
      <c r="E9" s="65"/>
      <c r="F9" s="329" t="s">
        <v>759</v>
      </c>
      <c r="G9" s="329"/>
      <c r="H9" s="329"/>
      <c r="I9" s="182"/>
      <c r="J9" s="185"/>
      <c r="K9" s="185"/>
      <c r="L9" s="186"/>
      <c r="M9" s="186"/>
      <c r="N9" s="186"/>
      <c r="O9" s="186"/>
      <c r="P9" s="186"/>
      <c r="Q9" s="186"/>
      <c r="R9" s="186"/>
    </row>
    <row r="10" spans="1:18" customFormat="1" ht="38.25" customHeight="1">
      <c r="B10" s="62"/>
      <c r="C10" s="183"/>
      <c r="D10" s="65"/>
      <c r="E10" s="65"/>
      <c r="F10" s="329" t="s">
        <v>1006</v>
      </c>
      <c r="G10" s="329"/>
      <c r="H10" s="329"/>
      <c r="I10" s="97"/>
      <c r="J10" s="186"/>
      <c r="K10" s="186"/>
      <c r="L10" s="186"/>
      <c r="M10" s="186"/>
      <c r="N10" s="186"/>
      <c r="O10" s="186"/>
      <c r="P10" s="186"/>
      <c r="Q10" s="186"/>
      <c r="R10" s="186"/>
    </row>
    <row r="11" spans="1:18" ht="18.75" customHeight="1">
      <c r="B11" s="182"/>
      <c r="C11" s="182"/>
      <c r="D11" s="182"/>
      <c r="E11" s="182"/>
      <c r="F11" s="329" t="s">
        <v>924</v>
      </c>
      <c r="G11" s="329"/>
      <c r="H11" s="329"/>
      <c r="I11" s="329"/>
      <c r="J11" s="186"/>
    </row>
    <row r="12" spans="1:18" ht="43.5" customHeight="1">
      <c r="B12" s="182"/>
      <c r="C12" s="182"/>
      <c r="D12" s="182"/>
      <c r="E12" s="182"/>
      <c r="F12" s="329" t="s">
        <v>927</v>
      </c>
      <c r="G12" s="329"/>
      <c r="H12" s="329"/>
      <c r="I12" s="182"/>
      <c r="J12" s="186"/>
    </row>
    <row r="13" spans="1:18" ht="37.5" customHeight="1">
      <c r="A13" s="322" t="s">
        <v>976</v>
      </c>
      <c r="B13" s="322"/>
      <c r="C13" s="322"/>
      <c r="D13" s="322"/>
      <c r="E13" s="322"/>
      <c r="F13" s="322"/>
      <c r="G13" s="322"/>
      <c r="H13" s="323"/>
      <c r="I13" s="323"/>
      <c r="J13" s="187"/>
    </row>
    <row r="14" spans="1:18" ht="33.75" customHeight="1">
      <c r="A14" s="330" t="s">
        <v>12</v>
      </c>
      <c r="B14" s="332" t="s">
        <v>13</v>
      </c>
      <c r="C14" s="332" t="s">
        <v>14</v>
      </c>
      <c r="D14" s="332" t="s">
        <v>15</v>
      </c>
      <c r="E14" s="332" t="s">
        <v>16</v>
      </c>
      <c r="F14" s="332" t="s">
        <v>17</v>
      </c>
      <c r="G14" s="326" t="s">
        <v>372</v>
      </c>
      <c r="H14" s="320"/>
      <c r="I14" s="320"/>
      <c r="J14" s="188"/>
    </row>
    <row r="15" spans="1:18" s="3" customFormat="1" ht="23.25" customHeight="1">
      <c r="A15" s="331"/>
      <c r="B15" s="331"/>
      <c r="C15" s="331"/>
      <c r="D15" s="331"/>
      <c r="E15" s="331"/>
      <c r="F15" s="331"/>
      <c r="G15" s="325" t="s">
        <v>434</v>
      </c>
      <c r="H15" s="325" t="s">
        <v>661</v>
      </c>
      <c r="I15" s="325" t="s">
        <v>911</v>
      </c>
      <c r="J15" s="189"/>
      <c r="K15" s="199"/>
      <c r="L15" s="199"/>
      <c r="M15" s="199"/>
      <c r="N15" s="199"/>
      <c r="O15" s="199"/>
      <c r="P15" s="199"/>
      <c r="Q15" s="199"/>
      <c r="R15" s="199"/>
    </row>
    <row r="16" spans="1:18" s="3" customFormat="1" ht="49.5" customHeight="1">
      <c r="A16" s="331"/>
      <c r="B16" s="331"/>
      <c r="C16" s="331"/>
      <c r="D16" s="331"/>
      <c r="E16" s="331"/>
      <c r="F16" s="331"/>
      <c r="G16" s="325"/>
      <c r="H16" s="325"/>
      <c r="I16" s="325"/>
      <c r="J16" s="189"/>
      <c r="K16" s="199"/>
      <c r="L16" s="199"/>
      <c r="M16" s="199"/>
      <c r="N16" s="199"/>
      <c r="O16" s="199"/>
      <c r="P16" s="199"/>
      <c r="Q16" s="199"/>
      <c r="R16" s="199"/>
    </row>
    <row r="17" spans="1:18" s="3" customFormat="1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72">
        <v>7</v>
      </c>
      <c r="H17" s="72">
        <v>8</v>
      </c>
      <c r="I17" s="72">
        <v>9</v>
      </c>
      <c r="J17" s="190"/>
      <c r="K17" s="199"/>
      <c r="L17" s="199"/>
      <c r="M17" s="199"/>
      <c r="N17" s="199"/>
      <c r="O17" s="199"/>
      <c r="P17" s="199"/>
      <c r="Q17" s="199"/>
      <c r="R17" s="199"/>
    </row>
    <row r="18" spans="1:18" s="121" customFormat="1" ht="48.75" customHeight="1">
      <c r="A18" s="266" t="s">
        <v>986</v>
      </c>
      <c r="B18" s="267">
        <v>757</v>
      </c>
      <c r="C18" s="267"/>
      <c r="D18" s="267"/>
      <c r="E18" s="268"/>
      <c r="F18" s="267"/>
      <c r="G18" s="269"/>
      <c r="H18" s="269"/>
      <c r="I18" s="269"/>
      <c r="J18" s="191"/>
      <c r="K18" s="202"/>
      <c r="L18" s="202"/>
      <c r="M18" s="202"/>
      <c r="N18" s="202"/>
      <c r="O18" s="202"/>
      <c r="P18" s="202"/>
      <c r="Q18" s="202"/>
      <c r="R18" s="202"/>
    </row>
    <row r="19" spans="1:18">
      <c r="A19" s="270" t="s">
        <v>86</v>
      </c>
      <c r="B19" s="271">
        <v>757</v>
      </c>
      <c r="C19" s="272" t="s">
        <v>54</v>
      </c>
      <c r="D19" s="272"/>
      <c r="E19" s="272"/>
      <c r="F19" s="272"/>
      <c r="G19" s="269">
        <f>SUM(G20)</f>
        <v>161100</v>
      </c>
      <c r="H19" s="269">
        <f>SUM(H20)</f>
        <v>161100</v>
      </c>
      <c r="I19" s="269">
        <f>SUM(I20)</f>
        <v>161100</v>
      </c>
      <c r="J19" s="191"/>
    </row>
    <row r="20" spans="1:18">
      <c r="A20" s="82" t="s">
        <v>87</v>
      </c>
      <c r="B20" s="149">
        <v>757</v>
      </c>
      <c r="C20" s="84" t="s">
        <v>54</v>
      </c>
      <c r="D20" s="84" t="s">
        <v>88</v>
      </c>
      <c r="E20" s="84"/>
      <c r="F20" s="84"/>
      <c r="G20" s="87">
        <f>G21</f>
        <v>161100</v>
      </c>
      <c r="H20" s="87">
        <f>H21</f>
        <v>161100</v>
      </c>
      <c r="I20" s="87">
        <f>I21</f>
        <v>161100</v>
      </c>
      <c r="J20" s="177"/>
    </row>
    <row r="21" spans="1:18" s="32" customFormat="1" ht="29.25" customHeight="1">
      <c r="A21" s="136" t="s">
        <v>468</v>
      </c>
      <c r="B21" s="149">
        <v>757</v>
      </c>
      <c r="C21" s="84" t="s">
        <v>54</v>
      </c>
      <c r="D21" s="84" t="s">
        <v>88</v>
      </c>
      <c r="E21" s="84" t="s">
        <v>202</v>
      </c>
      <c r="F21" s="84"/>
      <c r="G21" s="87">
        <f>G22+G27</f>
        <v>161100</v>
      </c>
      <c r="H21" s="87">
        <f>H22+H27</f>
        <v>161100</v>
      </c>
      <c r="I21" s="87">
        <f>I22+I27</f>
        <v>161100</v>
      </c>
      <c r="J21" s="177"/>
      <c r="K21" s="203"/>
      <c r="L21" s="203"/>
      <c r="M21" s="203"/>
      <c r="N21" s="203"/>
      <c r="O21" s="203"/>
      <c r="P21" s="203"/>
      <c r="Q21" s="203"/>
      <c r="R21" s="203"/>
    </row>
    <row r="22" spans="1:18" s="32" customFormat="1" ht="27.75" customHeight="1">
      <c r="A22" s="136" t="s">
        <v>137</v>
      </c>
      <c r="B22" s="149">
        <v>757</v>
      </c>
      <c r="C22" s="84" t="s">
        <v>54</v>
      </c>
      <c r="D22" s="84" t="s">
        <v>88</v>
      </c>
      <c r="E22" s="84" t="s">
        <v>203</v>
      </c>
      <c r="F22" s="84"/>
      <c r="G22" s="87">
        <f>G25+G23</f>
        <v>161100</v>
      </c>
      <c r="H22" s="87">
        <f>H25+H23</f>
        <v>161100</v>
      </c>
      <c r="I22" s="87">
        <f>I25+I23</f>
        <v>161100</v>
      </c>
      <c r="J22" s="177"/>
      <c r="K22" s="203"/>
      <c r="L22" s="203"/>
      <c r="M22" s="203"/>
      <c r="N22" s="203"/>
      <c r="O22" s="203"/>
      <c r="P22" s="203"/>
      <c r="Q22" s="203"/>
      <c r="R22" s="203"/>
    </row>
    <row r="23" spans="1:18" ht="33.75" customHeight="1">
      <c r="A23" s="82" t="s">
        <v>36</v>
      </c>
      <c r="B23" s="149">
        <v>757</v>
      </c>
      <c r="C23" s="84" t="s">
        <v>54</v>
      </c>
      <c r="D23" s="84" t="s">
        <v>88</v>
      </c>
      <c r="E23" s="84" t="s">
        <v>203</v>
      </c>
      <c r="F23" s="84" t="s">
        <v>37</v>
      </c>
      <c r="G23" s="87">
        <f>G24</f>
        <v>0</v>
      </c>
      <c r="H23" s="87">
        <f t="shared" ref="H23:I23" si="0">H24</f>
        <v>75000</v>
      </c>
      <c r="I23" s="87">
        <f t="shared" si="0"/>
        <v>75000</v>
      </c>
      <c r="J23" s="177"/>
    </row>
    <row r="24" spans="1:18" ht="26.25" customHeight="1">
      <c r="A24" s="82" t="s">
        <v>38</v>
      </c>
      <c r="B24" s="149">
        <v>757</v>
      </c>
      <c r="C24" s="84" t="s">
        <v>54</v>
      </c>
      <c r="D24" s="84" t="s">
        <v>88</v>
      </c>
      <c r="E24" s="84" t="s">
        <v>203</v>
      </c>
      <c r="F24" s="84" t="s">
        <v>39</v>
      </c>
      <c r="G24" s="85">
        <f>75000-75000</f>
        <v>0</v>
      </c>
      <c r="H24" s="85">
        <v>75000</v>
      </c>
      <c r="I24" s="85">
        <v>75000</v>
      </c>
      <c r="J24" s="178"/>
    </row>
    <row r="25" spans="1:18" ht="25.5">
      <c r="A25" s="82" t="s">
        <v>30</v>
      </c>
      <c r="B25" s="149">
        <v>757</v>
      </c>
      <c r="C25" s="84" t="s">
        <v>54</v>
      </c>
      <c r="D25" s="84" t="s">
        <v>88</v>
      </c>
      <c r="E25" s="84" t="s">
        <v>203</v>
      </c>
      <c r="F25" s="84" t="s">
        <v>31</v>
      </c>
      <c r="G25" s="85">
        <f t="shared" ref="G25:I25" si="1">G26</f>
        <v>161100</v>
      </c>
      <c r="H25" s="85">
        <f t="shared" si="1"/>
        <v>86100</v>
      </c>
      <c r="I25" s="85">
        <f t="shared" si="1"/>
        <v>86100</v>
      </c>
      <c r="J25" s="178"/>
    </row>
    <row r="26" spans="1:18" ht="18" customHeight="1">
      <c r="A26" s="82" t="s">
        <v>32</v>
      </c>
      <c r="B26" s="149">
        <v>757</v>
      </c>
      <c r="C26" s="84" t="s">
        <v>54</v>
      </c>
      <c r="D26" s="84" t="s">
        <v>88</v>
      </c>
      <c r="E26" s="84" t="s">
        <v>203</v>
      </c>
      <c r="F26" s="84" t="s">
        <v>33</v>
      </c>
      <c r="G26" s="85">
        <f>86100+75000</f>
        <v>161100</v>
      </c>
      <c r="H26" s="85">
        <v>86100</v>
      </c>
      <c r="I26" s="85">
        <v>86100</v>
      </c>
      <c r="J26" s="178"/>
    </row>
    <row r="27" spans="1:18" ht="15" hidden="1" customHeight="1">
      <c r="A27" s="82" t="s">
        <v>502</v>
      </c>
      <c r="B27" s="149">
        <v>757</v>
      </c>
      <c r="C27" s="84" t="s">
        <v>54</v>
      </c>
      <c r="D27" s="84" t="s">
        <v>88</v>
      </c>
      <c r="E27" s="84" t="s">
        <v>501</v>
      </c>
      <c r="F27" s="84"/>
      <c r="G27" s="87">
        <f>G28</f>
        <v>0</v>
      </c>
      <c r="H27" s="87">
        <f t="shared" ref="H27:I27" si="2">H28</f>
        <v>0</v>
      </c>
      <c r="I27" s="87">
        <f t="shared" si="2"/>
        <v>0</v>
      </c>
      <c r="J27" s="177"/>
    </row>
    <row r="28" spans="1:18" ht="35.25" hidden="1" customHeight="1">
      <c r="A28" s="82" t="s">
        <v>36</v>
      </c>
      <c r="B28" s="149">
        <v>757</v>
      </c>
      <c r="C28" s="84" t="s">
        <v>54</v>
      </c>
      <c r="D28" s="84" t="s">
        <v>88</v>
      </c>
      <c r="E28" s="84" t="s">
        <v>501</v>
      </c>
      <c r="F28" s="84" t="s">
        <v>37</v>
      </c>
      <c r="G28" s="87">
        <f>G29</f>
        <v>0</v>
      </c>
      <c r="H28" s="87">
        <f t="shared" ref="H28:I28" si="3">H29</f>
        <v>0</v>
      </c>
      <c r="I28" s="87">
        <f t="shared" si="3"/>
        <v>0</v>
      </c>
      <c r="J28" s="177"/>
    </row>
    <row r="29" spans="1:18" ht="30" hidden="1" customHeight="1">
      <c r="A29" s="82" t="s">
        <v>38</v>
      </c>
      <c r="B29" s="149">
        <v>757</v>
      </c>
      <c r="C29" s="84" t="s">
        <v>54</v>
      </c>
      <c r="D29" s="84" t="s">
        <v>88</v>
      </c>
      <c r="E29" s="84" t="s">
        <v>501</v>
      </c>
      <c r="F29" s="84" t="s">
        <v>39</v>
      </c>
      <c r="G29" s="87"/>
      <c r="H29" s="87">
        <v>0</v>
      </c>
      <c r="I29" s="87">
        <v>0</v>
      </c>
      <c r="J29" s="177"/>
    </row>
    <row r="30" spans="1:18" ht="16.5" customHeight="1">
      <c r="A30" s="270" t="s">
        <v>25</v>
      </c>
      <c r="B30" s="272">
        <v>757</v>
      </c>
      <c r="C30" s="272" t="s">
        <v>26</v>
      </c>
      <c r="D30" s="272"/>
      <c r="E30" s="272"/>
      <c r="F30" s="272"/>
      <c r="G30" s="96">
        <f>G111+G31</f>
        <v>29544715.579999998</v>
      </c>
      <c r="H30" s="96">
        <f>H111+H31</f>
        <v>29947653.109999999</v>
      </c>
      <c r="I30" s="96">
        <f>I111+I31</f>
        <v>31523727.059999999</v>
      </c>
      <c r="J30" s="192"/>
    </row>
    <row r="31" spans="1:18" ht="18.75" customHeight="1">
      <c r="A31" s="82" t="s">
        <v>95</v>
      </c>
      <c r="B31" s="149">
        <v>757</v>
      </c>
      <c r="C31" s="84" t="s">
        <v>26</v>
      </c>
      <c r="D31" s="84" t="s">
        <v>70</v>
      </c>
      <c r="E31" s="84"/>
      <c r="F31" s="149"/>
      <c r="G31" s="87">
        <f>G32+G94+G69+G90+G99</f>
        <v>29544715.579999998</v>
      </c>
      <c r="H31" s="87">
        <f>H32+H94+H69</f>
        <v>29947653.109999999</v>
      </c>
      <c r="I31" s="87">
        <f>I32+I94+I69</f>
        <v>31523727.059999999</v>
      </c>
      <c r="J31" s="177"/>
    </row>
    <row r="32" spans="1:18" ht="35.25" customHeight="1">
      <c r="A32" s="82" t="s">
        <v>488</v>
      </c>
      <c r="B32" s="149">
        <v>757</v>
      </c>
      <c r="C32" s="84" t="s">
        <v>26</v>
      </c>
      <c r="D32" s="84" t="s">
        <v>70</v>
      </c>
      <c r="E32" s="84" t="s">
        <v>193</v>
      </c>
      <c r="F32" s="84"/>
      <c r="G32" s="87">
        <f>+G33+G66+G63+G51+G57+G54+G60+G84+G87+G48+G73+G76+G79+G39+G45+G42+G36</f>
        <v>27711730.579999998</v>
      </c>
      <c r="H32" s="87">
        <f t="shared" ref="H32:I32" si="4">+H33+H66+H63+H51+H57+H54+H60+H84+H87+H48+H73+H76+H79+H39+H45+H42+H36</f>
        <v>28303675.109999999</v>
      </c>
      <c r="I32" s="87">
        <f t="shared" si="4"/>
        <v>29433199.059999999</v>
      </c>
      <c r="J32" s="177"/>
      <c r="Q32" s="209"/>
    </row>
    <row r="33" spans="1:10" ht="25.5">
      <c r="A33" s="82" t="s">
        <v>29</v>
      </c>
      <c r="B33" s="149">
        <v>757</v>
      </c>
      <c r="C33" s="84" t="s">
        <v>26</v>
      </c>
      <c r="D33" s="84" t="s">
        <v>70</v>
      </c>
      <c r="E33" s="84" t="s">
        <v>194</v>
      </c>
      <c r="F33" s="84"/>
      <c r="G33" s="87">
        <f>G34</f>
        <v>27496730.579999998</v>
      </c>
      <c r="H33" s="87">
        <f t="shared" ref="H33:I33" si="5">H34</f>
        <v>27590675.109999999</v>
      </c>
      <c r="I33" s="87">
        <f t="shared" si="5"/>
        <v>29065199.059999999</v>
      </c>
      <c r="J33" s="177"/>
    </row>
    <row r="34" spans="1:10" ht="25.5">
      <c r="A34" s="82" t="s">
        <v>30</v>
      </c>
      <c r="B34" s="149">
        <v>757</v>
      </c>
      <c r="C34" s="84" t="s">
        <v>26</v>
      </c>
      <c r="D34" s="84" t="s">
        <v>70</v>
      </c>
      <c r="E34" s="84" t="s">
        <v>194</v>
      </c>
      <c r="F34" s="84" t="s">
        <v>31</v>
      </c>
      <c r="G34" s="87">
        <f>G35</f>
        <v>27496730.579999998</v>
      </c>
      <c r="H34" s="87">
        <f>H35</f>
        <v>27590675.109999999</v>
      </c>
      <c r="I34" s="87">
        <f>I35</f>
        <v>29065199.059999999</v>
      </c>
      <c r="J34" s="177"/>
    </row>
    <row r="35" spans="1:10" ht="19.5" customHeight="1">
      <c r="A35" s="82" t="s">
        <v>32</v>
      </c>
      <c r="B35" s="149">
        <v>757</v>
      </c>
      <c r="C35" s="84" t="s">
        <v>26</v>
      </c>
      <c r="D35" s="84" t="s">
        <v>70</v>
      </c>
      <c r="E35" s="84" t="s">
        <v>194</v>
      </c>
      <c r="F35" s="84" t="s">
        <v>33</v>
      </c>
      <c r="G35" s="87">
        <v>27496730.579999998</v>
      </c>
      <c r="H35" s="87">
        <v>27590675.109999999</v>
      </c>
      <c r="I35" s="87">
        <v>29065199.059999999</v>
      </c>
      <c r="J35" s="177"/>
    </row>
    <row r="36" spans="1:10">
      <c r="A36" s="82" t="s">
        <v>859</v>
      </c>
      <c r="B36" s="149">
        <v>757</v>
      </c>
      <c r="C36" s="84" t="s">
        <v>26</v>
      </c>
      <c r="D36" s="84" t="s">
        <v>70</v>
      </c>
      <c r="E36" s="84" t="s">
        <v>858</v>
      </c>
      <c r="F36" s="84"/>
      <c r="G36" s="87">
        <f>G37</f>
        <v>63000</v>
      </c>
      <c r="H36" s="87">
        <f t="shared" ref="H36:I36" si="6">H37</f>
        <v>261000</v>
      </c>
      <c r="I36" s="87">
        <f t="shared" si="6"/>
        <v>216000</v>
      </c>
      <c r="J36" s="177"/>
    </row>
    <row r="37" spans="1:10" ht="25.5">
      <c r="A37" s="82" t="s">
        <v>30</v>
      </c>
      <c r="B37" s="149">
        <v>757</v>
      </c>
      <c r="C37" s="84" t="s">
        <v>26</v>
      </c>
      <c r="D37" s="84" t="s">
        <v>70</v>
      </c>
      <c r="E37" s="84" t="s">
        <v>858</v>
      </c>
      <c r="F37" s="84" t="s">
        <v>31</v>
      </c>
      <c r="G37" s="87">
        <f>G38</f>
        <v>63000</v>
      </c>
      <c r="H37" s="87">
        <f>H38</f>
        <v>261000</v>
      </c>
      <c r="I37" s="87">
        <f>I38</f>
        <v>216000</v>
      </c>
      <c r="J37" s="177"/>
    </row>
    <row r="38" spans="1:10" ht="19.5" customHeight="1">
      <c r="A38" s="82" t="s">
        <v>32</v>
      </c>
      <c r="B38" s="149">
        <v>757</v>
      </c>
      <c r="C38" s="84" t="s">
        <v>26</v>
      </c>
      <c r="D38" s="84" t="s">
        <v>70</v>
      </c>
      <c r="E38" s="84" t="s">
        <v>858</v>
      </c>
      <c r="F38" s="84" t="s">
        <v>33</v>
      </c>
      <c r="G38" s="87">
        <f>117000-54000</f>
        <v>63000</v>
      </c>
      <c r="H38" s="87">
        <v>261000</v>
      </c>
      <c r="I38" s="87">
        <v>216000</v>
      </c>
      <c r="J38" s="177"/>
    </row>
    <row r="39" spans="1:10" ht="25.5">
      <c r="A39" s="82" t="s">
        <v>854</v>
      </c>
      <c r="B39" s="149">
        <v>757</v>
      </c>
      <c r="C39" s="84" t="s">
        <v>26</v>
      </c>
      <c r="D39" s="84" t="s">
        <v>70</v>
      </c>
      <c r="E39" s="84" t="s">
        <v>853</v>
      </c>
      <c r="F39" s="84"/>
      <c r="G39" s="87">
        <f>G40</f>
        <v>100000</v>
      </c>
      <c r="H39" s="87">
        <f t="shared" ref="H39:I39" si="7">H40</f>
        <v>100000</v>
      </c>
      <c r="I39" s="87">
        <f t="shared" si="7"/>
        <v>100000</v>
      </c>
      <c r="J39" s="177"/>
    </row>
    <row r="40" spans="1:10" ht="25.5">
      <c r="A40" s="82" t="s">
        <v>30</v>
      </c>
      <c r="B40" s="149">
        <v>757</v>
      </c>
      <c r="C40" s="84" t="s">
        <v>26</v>
      </c>
      <c r="D40" s="84" t="s">
        <v>70</v>
      </c>
      <c r="E40" s="84" t="s">
        <v>853</v>
      </c>
      <c r="F40" s="84" t="s">
        <v>31</v>
      </c>
      <c r="G40" s="87">
        <f>G41</f>
        <v>100000</v>
      </c>
      <c r="H40" s="87">
        <f>H41</f>
        <v>100000</v>
      </c>
      <c r="I40" s="87">
        <f>I41</f>
        <v>100000</v>
      </c>
      <c r="J40" s="177"/>
    </row>
    <row r="41" spans="1:10" ht="19.5" customHeight="1">
      <c r="A41" s="82" t="s">
        <v>32</v>
      </c>
      <c r="B41" s="149">
        <v>757</v>
      </c>
      <c r="C41" s="84" t="s">
        <v>26</v>
      </c>
      <c r="D41" s="84" t="s">
        <v>70</v>
      </c>
      <c r="E41" s="84" t="s">
        <v>853</v>
      </c>
      <c r="F41" s="84" t="s">
        <v>33</v>
      </c>
      <c r="G41" s="87">
        <v>100000</v>
      </c>
      <c r="H41" s="87">
        <v>100000</v>
      </c>
      <c r="I41" s="87">
        <v>100000</v>
      </c>
      <c r="J41" s="177"/>
    </row>
    <row r="42" spans="1:10" ht="25.5">
      <c r="A42" s="82" t="s">
        <v>857</v>
      </c>
      <c r="B42" s="149">
        <v>757</v>
      </c>
      <c r="C42" s="84" t="s">
        <v>26</v>
      </c>
      <c r="D42" s="84" t="s">
        <v>70</v>
      </c>
      <c r="E42" s="84" t="s">
        <v>869</v>
      </c>
      <c r="F42" s="84"/>
      <c r="G42" s="87">
        <f>G43</f>
        <v>52000</v>
      </c>
      <c r="H42" s="87">
        <f t="shared" ref="H42:I42" si="8">H43</f>
        <v>52000</v>
      </c>
      <c r="I42" s="87">
        <f t="shared" si="8"/>
        <v>52000</v>
      </c>
      <c r="J42" s="177"/>
    </row>
    <row r="43" spans="1:10" ht="25.5">
      <c r="A43" s="82" t="s">
        <v>30</v>
      </c>
      <c r="B43" s="149">
        <v>757</v>
      </c>
      <c r="C43" s="84" t="s">
        <v>26</v>
      </c>
      <c r="D43" s="84" t="s">
        <v>70</v>
      </c>
      <c r="E43" s="84" t="s">
        <v>869</v>
      </c>
      <c r="F43" s="84" t="s">
        <v>31</v>
      </c>
      <c r="G43" s="87">
        <f>G44</f>
        <v>52000</v>
      </c>
      <c r="H43" s="87">
        <f>H44</f>
        <v>52000</v>
      </c>
      <c r="I43" s="87">
        <f>I44</f>
        <v>52000</v>
      </c>
      <c r="J43" s="177"/>
    </row>
    <row r="44" spans="1:10" ht="19.5" customHeight="1">
      <c r="A44" s="82" t="s">
        <v>32</v>
      </c>
      <c r="B44" s="149">
        <v>757</v>
      </c>
      <c r="C44" s="84" t="s">
        <v>26</v>
      </c>
      <c r="D44" s="84" t="s">
        <v>70</v>
      </c>
      <c r="E44" s="84" t="s">
        <v>869</v>
      </c>
      <c r="F44" s="84" t="s">
        <v>33</v>
      </c>
      <c r="G44" s="87">
        <v>52000</v>
      </c>
      <c r="H44" s="87">
        <v>52000</v>
      </c>
      <c r="I44" s="87">
        <v>52000</v>
      </c>
      <c r="J44" s="177"/>
    </row>
    <row r="45" spans="1:10" ht="38.25">
      <c r="A45" s="82" t="s">
        <v>670</v>
      </c>
      <c r="B45" s="149">
        <v>757</v>
      </c>
      <c r="C45" s="84" t="s">
        <v>26</v>
      </c>
      <c r="D45" s="84" t="s">
        <v>70</v>
      </c>
      <c r="E45" s="84" t="s">
        <v>856</v>
      </c>
      <c r="F45" s="84"/>
      <c r="G45" s="87">
        <f>G46</f>
        <v>0</v>
      </c>
      <c r="H45" s="87">
        <f t="shared" ref="H45:I45" si="9">H46</f>
        <v>300000</v>
      </c>
      <c r="I45" s="87">
        <f t="shared" si="9"/>
        <v>0</v>
      </c>
      <c r="J45" s="177"/>
    </row>
    <row r="46" spans="1:10" ht="25.5">
      <c r="A46" s="82" t="s">
        <v>30</v>
      </c>
      <c r="B46" s="149">
        <v>757</v>
      </c>
      <c r="C46" s="84" t="s">
        <v>26</v>
      </c>
      <c r="D46" s="84" t="s">
        <v>70</v>
      </c>
      <c r="E46" s="84" t="s">
        <v>856</v>
      </c>
      <c r="F46" s="84" t="s">
        <v>31</v>
      </c>
      <c r="G46" s="87">
        <f>G47</f>
        <v>0</v>
      </c>
      <c r="H46" s="87">
        <f>H47</f>
        <v>300000</v>
      </c>
      <c r="I46" s="87">
        <f>I47</f>
        <v>0</v>
      </c>
      <c r="J46" s="177"/>
    </row>
    <row r="47" spans="1:10" ht="19.5" customHeight="1">
      <c r="A47" s="82" t="s">
        <v>32</v>
      </c>
      <c r="B47" s="149">
        <v>757</v>
      </c>
      <c r="C47" s="84" t="s">
        <v>26</v>
      </c>
      <c r="D47" s="84" t="s">
        <v>70</v>
      </c>
      <c r="E47" s="84" t="s">
        <v>856</v>
      </c>
      <c r="F47" s="84" t="s">
        <v>33</v>
      </c>
      <c r="G47" s="87">
        <v>0</v>
      </c>
      <c r="H47" s="87">
        <v>300000</v>
      </c>
      <c r="I47" s="87">
        <v>0</v>
      </c>
      <c r="J47" s="177"/>
    </row>
    <row r="48" spans="1:10" ht="60" hidden="1" customHeight="1">
      <c r="A48" s="82" t="s">
        <v>670</v>
      </c>
      <c r="B48" s="149">
        <v>757</v>
      </c>
      <c r="C48" s="84" t="s">
        <v>26</v>
      </c>
      <c r="D48" s="84" t="s">
        <v>70</v>
      </c>
      <c r="E48" s="84" t="s">
        <v>671</v>
      </c>
      <c r="F48" s="84"/>
      <c r="G48" s="87">
        <f>G49</f>
        <v>0</v>
      </c>
      <c r="H48" s="87">
        <f t="shared" ref="H48:I49" si="10">H49</f>
        <v>0</v>
      </c>
      <c r="I48" s="87">
        <f t="shared" si="10"/>
        <v>0</v>
      </c>
      <c r="J48" s="177"/>
    </row>
    <row r="49" spans="1:12" ht="47.25" hidden="1" customHeight="1">
      <c r="A49" s="82" t="s">
        <v>30</v>
      </c>
      <c r="B49" s="149">
        <v>757</v>
      </c>
      <c r="C49" s="84" t="s">
        <v>26</v>
      </c>
      <c r="D49" s="84" t="s">
        <v>70</v>
      </c>
      <c r="E49" s="84" t="s">
        <v>671</v>
      </c>
      <c r="F49" s="84" t="s">
        <v>31</v>
      </c>
      <c r="G49" s="87">
        <f>G50</f>
        <v>0</v>
      </c>
      <c r="H49" s="87">
        <f t="shared" si="10"/>
        <v>0</v>
      </c>
      <c r="I49" s="87">
        <f t="shared" si="10"/>
        <v>0</v>
      </c>
      <c r="J49" s="177"/>
      <c r="K49" s="177"/>
      <c r="L49" s="177"/>
    </row>
    <row r="50" spans="1:12" ht="41.25" hidden="1" customHeight="1">
      <c r="A50" s="82" t="s">
        <v>32</v>
      </c>
      <c r="B50" s="149">
        <v>757</v>
      </c>
      <c r="C50" s="84" t="s">
        <v>26</v>
      </c>
      <c r="D50" s="84" t="s">
        <v>70</v>
      </c>
      <c r="E50" s="84" t="s">
        <v>671</v>
      </c>
      <c r="F50" s="84" t="s">
        <v>33</v>
      </c>
      <c r="G50" s="87"/>
      <c r="H50" s="87"/>
      <c r="I50" s="87"/>
      <c r="J50" s="177"/>
    </row>
    <row r="51" spans="1:12" ht="36" hidden="1" customHeight="1">
      <c r="A51" s="82" t="s">
        <v>545</v>
      </c>
      <c r="B51" s="149">
        <v>757</v>
      </c>
      <c r="C51" s="84" t="s">
        <v>26</v>
      </c>
      <c r="D51" s="84" t="s">
        <v>70</v>
      </c>
      <c r="E51" s="84" t="s">
        <v>546</v>
      </c>
      <c r="F51" s="84"/>
      <c r="G51" s="87">
        <f>G53</f>
        <v>0</v>
      </c>
      <c r="H51" s="87">
        <v>0</v>
      </c>
      <c r="I51" s="87">
        <v>0</v>
      </c>
      <c r="J51" s="177"/>
    </row>
    <row r="52" spans="1:12" ht="36" hidden="1" customHeight="1">
      <c r="A52" s="82" t="s">
        <v>30</v>
      </c>
      <c r="B52" s="149">
        <v>757</v>
      </c>
      <c r="C52" s="84" t="s">
        <v>26</v>
      </c>
      <c r="D52" s="84" t="s">
        <v>70</v>
      </c>
      <c r="E52" s="84" t="s">
        <v>546</v>
      </c>
      <c r="F52" s="84" t="s">
        <v>31</v>
      </c>
      <c r="G52" s="87">
        <f>G53</f>
        <v>0</v>
      </c>
      <c r="H52" s="87">
        <v>0</v>
      </c>
      <c r="I52" s="87">
        <v>0</v>
      </c>
      <c r="J52" s="177"/>
    </row>
    <row r="53" spans="1:12" ht="19.5" hidden="1" customHeight="1">
      <c r="A53" s="82" t="s">
        <v>32</v>
      </c>
      <c r="B53" s="149">
        <v>757</v>
      </c>
      <c r="C53" s="84" t="s">
        <v>26</v>
      </c>
      <c r="D53" s="84" t="s">
        <v>70</v>
      </c>
      <c r="E53" s="84" t="s">
        <v>546</v>
      </c>
      <c r="F53" s="84" t="s">
        <v>33</v>
      </c>
      <c r="G53" s="87"/>
      <c r="H53" s="87">
        <v>0</v>
      </c>
      <c r="I53" s="87">
        <v>0</v>
      </c>
      <c r="J53" s="177"/>
    </row>
    <row r="54" spans="1:12" ht="66" hidden="1" customHeight="1">
      <c r="A54" s="82" t="s">
        <v>541</v>
      </c>
      <c r="B54" s="149">
        <v>757</v>
      </c>
      <c r="C54" s="84" t="s">
        <v>26</v>
      </c>
      <c r="D54" s="84" t="s">
        <v>70</v>
      </c>
      <c r="E54" s="84" t="s">
        <v>629</v>
      </c>
      <c r="F54" s="84"/>
      <c r="G54" s="87">
        <f>G55</f>
        <v>0</v>
      </c>
      <c r="H54" s="87">
        <f t="shared" ref="H54:I55" si="11">H55</f>
        <v>0</v>
      </c>
      <c r="I54" s="87">
        <f t="shared" si="11"/>
        <v>0</v>
      </c>
      <c r="J54" s="177"/>
    </row>
    <row r="55" spans="1:12" ht="33.75" hidden="1" customHeight="1">
      <c r="A55" s="82" t="s">
        <v>30</v>
      </c>
      <c r="B55" s="149">
        <v>757</v>
      </c>
      <c r="C55" s="84" t="s">
        <v>26</v>
      </c>
      <c r="D55" s="84" t="s">
        <v>70</v>
      </c>
      <c r="E55" s="84" t="s">
        <v>629</v>
      </c>
      <c r="F55" s="84" t="s">
        <v>31</v>
      </c>
      <c r="G55" s="87">
        <f>G56</f>
        <v>0</v>
      </c>
      <c r="H55" s="87">
        <f t="shared" si="11"/>
        <v>0</v>
      </c>
      <c r="I55" s="87">
        <f t="shared" si="11"/>
        <v>0</v>
      </c>
      <c r="J55" s="177"/>
    </row>
    <row r="56" spans="1:12" ht="27.75" hidden="1" customHeight="1">
      <c r="A56" s="82" t="s">
        <v>32</v>
      </c>
      <c r="B56" s="149">
        <v>757</v>
      </c>
      <c r="C56" s="84" t="s">
        <v>26</v>
      </c>
      <c r="D56" s="84" t="s">
        <v>70</v>
      </c>
      <c r="E56" s="84" t="s">
        <v>629</v>
      </c>
      <c r="F56" s="84" t="s">
        <v>33</v>
      </c>
      <c r="G56" s="87"/>
      <c r="H56" s="87"/>
      <c r="I56" s="87"/>
      <c r="J56" s="177"/>
    </row>
    <row r="57" spans="1:12" ht="78.75" hidden="1" customHeight="1">
      <c r="A57" s="82" t="s">
        <v>272</v>
      </c>
      <c r="B57" s="149">
        <v>757</v>
      </c>
      <c r="C57" s="84" t="s">
        <v>26</v>
      </c>
      <c r="D57" s="84" t="s">
        <v>70</v>
      </c>
      <c r="E57" s="84" t="s">
        <v>593</v>
      </c>
      <c r="F57" s="84"/>
      <c r="G57" s="87">
        <f>G59</f>
        <v>0</v>
      </c>
      <c r="H57" s="87">
        <v>0</v>
      </c>
      <c r="I57" s="87">
        <v>0</v>
      </c>
      <c r="J57" s="177"/>
    </row>
    <row r="58" spans="1:12" ht="36" hidden="1" customHeight="1">
      <c r="A58" s="82" t="s">
        <v>30</v>
      </c>
      <c r="B58" s="149">
        <v>757</v>
      </c>
      <c r="C58" s="84" t="s">
        <v>26</v>
      </c>
      <c r="D58" s="84" t="s">
        <v>70</v>
      </c>
      <c r="E58" s="84" t="s">
        <v>593</v>
      </c>
      <c r="F58" s="84" t="s">
        <v>31</v>
      </c>
      <c r="G58" s="87">
        <f>G59</f>
        <v>0</v>
      </c>
      <c r="H58" s="87">
        <v>0</v>
      </c>
      <c r="I58" s="87">
        <v>0</v>
      </c>
      <c r="J58" s="177"/>
    </row>
    <row r="59" spans="1:12" ht="19.5" hidden="1" customHeight="1">
      <c r="A59" s="82" t="s">
        <v>32</v>
      </c>
      <c r="B59" s="149">
        <v>757</v>
      </c>
      <c r="C59" s="84" t="s">
        <v>26</v>
      </c>
      <c r="D59" s="84" t="s">
        <v>70</v>
      </c>
      <c r="E59" s="84" t="s">
        <v>593</v>
      </c>
      <c r="F59" s="84" t="s">
        <v>33</v>
      </c>
      <c r="G59" s="87"/>
      <c r="H59" s="87">
        <v>0</v>
      </c>
      <c r="I59" s="87">
        <v>0</v>
      </c>
      <c r="J59" s="177"/>
    </row>
    <row r="60" spans="1:12" ht="81.75" hidden="1" customHeight="1">
      <c r="A60" s="82" t="s">
        <v>631</v>
      </c>
      <c r="B60" s="149">
        <v>757</v>
      </c>
      <c r="C60" s="84" t="s">
        <v>26</v>
      </c>
      <c r="D60" s="84" t="s">
        <v>70</v>
      </c>
      <c r="E60" s="84" t="s">
        <v>630</v>
      </c>
      <c r="F60" s="84"/>
      <c r="G60" s="87">
        <f>G61</f>
        <v>0</v>
      </c>
      <c r="H60" s="87">
        <f t="shared" ref="H60:I61" si="12">H61</f>
        <v>0</v>
      </c>
      <c r="I60" s="87">
        <f t="shared" si="12"/>
        <v>0</v>
      </c>
      <c r="J60" s="177"/>
    </row>
    <row r="61" spans="1:12" ht="47.25" hidden="1" customHeight="1">
      <c r="A61" s="82" t="s">
        <v>96</v>
      </c>
      <c r="B61" s="149">
        <v>757</v>
      </c>
      <c r="C61" s="84" t="s">
        <v>26</v>
      </c>
      <c r="D61" s="84" t="s">
        <v>70</v>
      </c>
      <c r="E61" s="84" t="s">
        <v>630</v>
      </c>
      <c r="F61" s="84" t="s">
        <v>349</v>
      </c>
      <c r="G61" s="87">
        <f>G62</f>
        <v>0</v>
      </c>
      <c r="H61" s="87">
        <f t="shared" si="12"/>
        <v>0</v>
      </c>
      <c r="I61" s="87"/>
      <c r="J61" s="177"/>
    </row>
    <row r="62" spans="1:12" ht="98.25" hidden="1" customHeight="1">
      <c r="A62" s="133" t="s">
        <v>421</v>
      </c>
      <c r="B62" s="149">
        <v>757</v>
      </c>
      <c r="C62" s="84" t="s">
        <v>26</v>
      </c>
      <c r="D62" s="84" t="s">
        <v>70</v>
      </c>
      <c r="E62" s="84" t="s">
        <v>630</v>
      </c>
      <c r="F62" s="84" t="s">
        <v>420</v>
      </c>
      <c r="G62" s="87"/>
      <c r="H62" s="87">
        <v>0</v>
      </c>
      <c r="I62" s="87"/>
      <c r="J62" s="177"/>
    </row>
    <row r="63" spans="1:12" ht="19.5" hidden="1" customHeight="1">
      <c r="A63" s="82" t="s">
        <v>394</v>
      </c>
      <c r="B63" s="149">
        <v>757</v>
      </c>
      <c r="C63" s="84" t="s">
        <v>26</v>
      </c>
      <c r="D63" s="84" t="s">
        <v>70</v>
      </c>
      <c r="E63" s="84" t="s">
        <v>126</v>
      </c>
      <c r="F63" s="84"/>
      <c r="G63" s="87">
        <f>G64</f>
        <v>0</v>
      </c>
      <c r="H63" s="87">
        <v>0</v>
      </c>
      <c r="I63" s="87">
        <v>0</v>
      </c>
      <c r="J63" s="177"/>
    </row>
    <row r="64" spans="1:12" ht="39.75" hidden="1" customHeight="1">
      <c r="A64" s="82" t="s">
        <v>30</v>
      </c>
      <c r="B64" s="149">
        <v>757</v>
      </c>
      <c r="C64" s="84" t="s">
        <v>26</v>
      </c>
      <c r="D64" s="84" t="s">
        <v>70</v>
      </c>
      <c r="E64" s="84" t="s">
        <v>126</v>
      </c>
      <c r="F64" s="84" t="s">
        <v>31</v>
      </c>
      <c r="G64" s="87">
        <f>G65</f>
        <v>0</v>
      </c>
      <c r="H64" s="87">
        <v>0</v>
      </c>
      <c r="I64" s="87">
        <v>0</v>
      </c>
      <c r="J64" s="177"/>
    </row>
    <row r="65" spans="1:18" ht="20.25" hidden="1" customHeight="1">
      <c r="A65" s="82" t="s">
        <v>32</v>
      </c>
      <c r="B65" s="149">
        <v>757</v>
      </c>
      <c r="C65" s="84" t="s">
        <v>26</v>
      </c>
      <c r="D65" s="84" t="s">
        <v>70</v>
      </c>
      <c r="E65" s="84" t="s">
        <v>126</v>
      </c>
      <c r="F65" s="84" t="s">
        <v>33</v>
      </c>
      <c r="G65" s="87"/>
      <c r="H65" s="87">
        <v>0</v>
      </c>
      <c r="I65" s="87">
        <v>0</v>
      </c>
      <c r="J65" s="177"/>
    </row>
    <row r="66" spans="1:18" ht="87.75" hidden="1" customHeight="1">
      <c r="A66" s="82" t="s">
        <v>512</v>
      </c>
      <c r="B66" s="149">
        <v>757</v>
      </c>
      <c r="C66" s="84" t="s">
        <v>26</v>
      </c>
      <c r="D66" s="84" t="s">
        <v>70</v>
      </c>
      <c r="E66" s="84" t="s">
        <v>513</v>
      </c>
      <c r="F66" s="84"/>
      <c r="G66" s="87">
        <f>G67</f>
        <v>0</v>
      </c>
      <c r="H66" s="87">
        <f t="shared" ref="H66:I66" si="13">H67</f>
        <v>0</v>
      </c>
      <c r="I66" s="87">
        <f t="shared" si="13"/>
        <v>0</v>
      </c>
      <c r="J66" s="177"/>
    </row>
    <row r="67" spans="1:18" ht="45" hidden="1" customHeight="1">
      <c r="A67" s="82" t="s">
        <v>30</v>
      </c>
      <c r="B67" s="149">
        <v>757</v>
      </c>
      <c r="C67" s="84" t="s">
        <v>26</v>
      </c>
      <c r="D67" s="84" t="s">
        <v>70</v>
      </c>
      <c r="E67" s="84" t="s">
        <v>513</v>
      </c>
      <c r="F67" s="84" t="s">
        <v>31</v>
      </c>
      <c r="G67" s="87">
        <f>G68</f>
        <v>0</v>
      </c>
      <c r="H67" s="87">
        <f t="shared" ref="H67:I67" si="14">H68</f>
        <v>0</v>
      </c>
      <c r="I67" s="87">
        <f t="shared" si="14"/>
        <v>0</v>
      </c>
      <c r="J67" s="177"/>
      <c r="K67" s="177"/>
      <c r="L67" s="177"/>
    </row>
    <row r="68" spans="1:18" ht="19.5" hidden="1" customHeight="1">
      <c r="A68" s="82" t="s">
        <v>32</v>
      </c>
      <c r="B68" s="149">
        <v>757</v>
      </c>
      <c r="C68" s="84" t="s">
        <v>26</v>
      </c>
      <c r="D68" s="84" t="s">
        <v>70</v>
      </c>
      <c r="E68" s="84" t="s">
        <v>513</v>
      </c>
      <c r="F68" s="84" t="s">
        <v>33</v>
      </c>
      <c r="G68" s="87">
        <v>0</v>
      </c>
      <c r="H68" s="87"/>
      <c r="I68" s="87">
        <v>0</v>
      </c>
      <c r="J68" s="177"/>
    </row>
    <row r="69" spans="1:18" s="18" customFormat="1" ht="51" hidden="1">
      <c r="A69" s="82" t="s">
        <v>514</v>
      </c>
      <c r="B69" s="149">
        <v>757</v>
      </c>
      <c r="C69" s="84" t="s">
        <v>26</v>
      </c>
      <c r="D69" s="84" t="s">
        <v>70</v>
      </c>
      <c r="E69" s="84" t="s">
        <v>214</v>
      </c>
      <c r="F69" s="84"/>
      <c r="G69" s="87">
        <f>G70</f>
        <v>0</v>
      </c>
      <c r="H69" s="87">
        <f>H70</f>
        <v>0</v>
      </c>
      <c r="I69" s="87">
        <f t="shared" ref="H69:I71" si="15">I70</f>
        <v>0</v>
      </c>
      <c r="J69" s="177"/>
      <c r="K69" s="200"/>
      <c r="L69" s="200"/>
      <c r="M69" s="200"/>
      <c r="N69" s="200"/>
      <c r="O69" s="200"/>
      <c r="P69" s="200"/>
      <c r="Q69" s="200"/>
      <c r="R69" s="200"/>
    </row>
    <row r="70" spans="1:18" s="18" customFormat="1" ht="38.25" hidden="1">
      <c r="A70" s="82" t="s">
        <v>604</v>
      </c>
      <c r="B70" s="149">
        <v>757</v>
      </c>
      <c r="C70" s="84" t="s">
        <v>26</v>
      </c>
      <c r="D70" s="84" t="s">
        <v>70</v>
      </c>
      <c r="E70" s="84" t="s">
        <v>585</v>
      </c>
      <c r="F70" s="84"/>
      <c r="G70" s="87">
        <f>G71</f>
        <v>0</v>
      </c>
      <c r="H70" s="87">
        <f t="shared" si="15"/>
        <v>0</v>
      </c>
      <c r="I70" s="87">
        <f t="shared" si="15"/>
        <v>0</v>
      </c>
      <c r="J70" s="177"/>
      <c r="K70" s="200"/>
      <c r="L70" s="200"/>
      <c r="M70" s="200"/>
      <c r="N70" s="200"/>
      <c r="O70" s="200"/>
      <c r="P70" s="200"/>
      <c r="Q70" s="200"/>
      <c r="R70" s="200"/>
    </row>
    <row r="71" spans="1:18" s="18" customFormat="1" ht="36" hidden="1" customHeight="1">
      <c r="A71" s="82" t="s">
        <v>96</v>
      </c>
      <c r="B71" s="149">
        <v>757</v>
      </c>
      <c r="C71" s="84" t="s">
        <v>26</v>
      </c>
      <c r="D71" s="84" t="s">
        <v>70</v>
      </c>
      <c r="E71" s="84" t="s">
        <v>585</v>
      </c>
      <c r="F71" s="84" t="s">
        <v>349</v>
      </c>
      <c r="G71" s="87">
        <f>G72</f>
        <v>0</v>
      </c>
      <c r="H71" s="87">
        <f t="shared" si="15"/>
        <v>0</v>
      </c>
      <c r="I71" s="87">
        <f t="shared" si="15"/>
        <v>0</v>
      </c>
      <c r="J71" s="177"/>
      <c r="K71" s="200"/>
      <c r="L71" s="200"/>
      <c r="M71" s="200"/>
      <c r="N71" s="200"/>
      <c r="O71" s="200"/>
      <c r="P71" s="200"/>
      <c r="Q71" s="200"/>
      <c r="R71" s="200"/>
    </row>
    <row r="72" spans="1:18" s="18" customFormat="1" ht="99" hidden="1" customHeight="1">
      <c r="A72" s="133" t="s">
        <v>421</v>
      </c>
      <c r="B72" s="149">
        <v>757</v>
      </c>
      <c r="C72" s="84" t="s">
        <v>26</v>
      </c>
      <c r="D72" s="84" t="s">
        <v>70</v>
      </c>
      <c r="E72" s="84" t="s">
        <v>585</v>
      </c>
      <c r="F72" s="84" t="s">
        <v>420</v>
      </c>
      <c r="G72" s="87">
        <v>0</v>
      </c>
      <c r="H72" s="87"/>
      <c r="I72" s="87">
        <v>0</v>
      </c>
      <c r="J72" s="177"/>
      <c r="K72" s="200"/>
      <c r="L72" s="200"/>
      <c r="M72" s="200"/>
      <c r="N72" s="200"/>
      <c r="O72" s="200"/>
      <c r="P72" s="200"/>
      <c r="Q72" s="200"/>
      <c r="R72" s="200"/>
    </row>
    <row r="73" spans="1:18" ht="27.75" hidden="1" customHeight="1">
      <c r="A73" s="82" t="s">
        <v>753</v>
      </c>
      <c r="B73" s="149">
        <v>757</v>
      </c>
      <c r="C73" s="84" t="s">
        <v>26</v>
      </c>
      <c r="D73" s="84" t="s">
        <v>70</v>
      </c>
      <c r="E73" s="84" t="s">
        <v>752</v>
      </c>
      <c r="F73" s="84"/>
      <c r="G73" s="87">
        <f>G74</f>
        <v>0</v>
      </c>
      <c r="H73" s="87">
        <f t="shared" ref="H73:I74" si="16">H74</f>
        <v>0</v>
      </c>
      <c r="I73" s="87">
        <f t="shared" si="16"/>
        <v>0</v>
      </c>
      <c r="J73" s="177"/>
    </row>
    <row r="74" spans="1:18" ht="45.75" hidden="1" customHeight="1">
      <c r="A74" s="82" t="s">
        <v>30</v>
      </c>
      <c r="B74" s="149">
        <v>757</v>
      </c>
      <c r="C74" s="84" t="s">
        <v>26</v>
      </c>
      <c r="D74" s="84" t="s">
        <v>70</v>
      </c>
      <c r="E74" s="84" t="s">
        <v>752</v>
      </c>
      <c r="F74" s="84" t="s">
        <v>31</v>
      </c>
      <c r="G74" s="87">
        <f>G75</f>
        <v>0</v>
      </c>
      <c r="H74" s="87">
        <f t="shared" si="16"/>
        <v>0</v>
      </c>
      <c r="I74" s="87">
        <f t="shared" si="16"/>
        <v>0</v>
      </c>
      <c r="J74" s="177"/>
      <c r="K74" s="177"/>
      <c r="L74" s="177"/>
    </row>
    <row r="75" spans="1:18" ht="45.75" hidden="1" customHeight="1">
      <c r="A75" s="82" t="s">
        <v>32</v>
      </c>
      <c r="B75" s="149">
        <v>757</v>
      </c>
      <c r="C75" s="84" t="s">
        <v>26</v>
      </c>
      <c r="D75" s="84" t="s">
        <v>70</v>
      </c>
      <c r="E75" s="84" t="s">
        <v>752</v>
      </c>
      <c r="F75" s="84" t="s">
        <v>33</v>
      </c>
      <c r="G75" s="87"/>
      <c r="H75" s="87"/>
      <c r="I75" s="87"/>
      <c r="J75" s="177"/>
    </row>
    <row r="76" spans="1:18" ht="101.25" hidden="1" customHeight="1">
      <c r="A76" s="82" t="s">
        <v>272</v>
      </c>
      <c r="B76" s="149">
        <v>757</v>
      </c>
      <c r="C76" s="84" t="s">
        <v>26</v>
      </c>
      <c r="D76" s="84" t="s">
        <v>70</v>
      </c>
      <c r="E76" s="84" t="s">
        <v>773</v>
      </c>
      <c r="F76" s="84"/>
      <c r="G76" s="87">
        <f>G77</f>
        <v>0</v>
      </c>
      <c r="H76" s="87">
        <f t="shared" ref="H76:I82" si="17">H77</f>
        <v>0</v>
      </c>
      <c r="I76" s="87">
        <f t="shared" si="17"/>
        <v>0</v>
      </c>
      <c r="J76" s="177"/>
    </row>
    <row r="77" spans="1:18" ht="47.25" hidden="1" customHeight="1">
      <c r="A77" s="82" t="s">
        <v>30</v>
      </c>
      <c r="B77" s="149">
        <v>757</v>
      </c>
      <c r="C77" s="84" t="s">
        <v>26</v>
      </c>
      <c r="D77" s="84" t="s">
        <v>70</v>
      </c>
      <c r="E77" s="84" t="s">
        <v>773</v>
      </c>
      <c r="F77" s="84" t="s">
        <v>31</v>
      </c>
      <c r="G77" s="87">
        <f>G78</f>
        <v>0</v>
      </c>
      <c r="H77" s="87">
        <f t="shared" si="17"/>
        <v>0</v>
      </c>
      <c r="I77" s="87">
        <f t="shared" si="17"/>
        <v>0</v>
      </c>
      <c r="J77" s="177"/>
      <c r="K77" s="177"/>
      <c r="L77" s="177"/>
    </row>
    <row r="78" spans="1:18" ht="41.25" hidden="1" customHeight="1">
      <c r="A78" s="82" t="s">
        <v>32</v>
      </c>
      <c r="B78" s="149">
        <v>757</v>
      </c>
      <c r="C78" s="84" t="s">
        <v>26</v>
      </c>
      <c r="D78" s="84" t="s">
        <v>70</v>
      </c>
      <c r="E78" s="84" t="s">
        <v>773</v>
      </c>
      <c r="F78" s="84" t="s">
        <v>33</v>
      </c>
      <c r="G78" s="87"/>
      <c r="H78" s="87">
        <v>0</v>
      </c>
      <c r="I78" s="87"/>
      <c r="J78" s="177"/>
    </row>
    <row r="79" spans="1:18" ht="101.25" hidden="1" customHeight="1">
      <c r="A79" s="82" t="s">
        <v>272</v>
      </c>
      <c r="B79" s="149">
        <v>757</v>
      </c>
      <c r="C79" s="84" t="s">
        <v>26</v>
      </c>
      <c r="D79" s="84" t="s">
        <v>70</v>
      </c>
      <c r="E79" s="84" t="s">
        <v>593</v>
      </c>
      <c r="F79" s="84"/>
      <c r="G79" s="87">
        <f>G80+G82</f>
        <v>0</v>
      </c>
      <c r="H79" s="87">
        <f t="shared" si="17"/>
        <v>0</v>
      </c>
      <c r="I79" s="87">
        <f t="shared" si="17"/>
        <v>0</v>
      </c>
      <c r="J79" s="177"/>
    </row>
    <row r="80" spans="1:18" ht="47.25" hidden="1" customHeight="1">
      <c r="A80" s="82" t="s">
        <v>30</v>
      </c>
      <c r="B80" s="149">
        <v>757</v>
      </c>
      <c r="C80" s="84" t="s">
        <v>26</v>
      </c>
      <c r="D80" s="84" t="s">
        <v>70</v>
      </c>
      <c r="E80" s="84" t="s">
        <v>593</v>
      </c>
      <c r="F80" s="84" t="s">
        <v>31</v>
      </c>
      <c r="G80" s="87">
        <f>G81</f>
        <v>0</v>
      </c>
      <c r="H80" s="87">
        <f t="shared" si="17"/>
        <v>0</v>
      </c>
      <c r="I80" s="87">
        <f t="shared" si="17"/>
        <v>0</v>
      </c>
      <c r="J80" s="177"/>
      <c r="K80" s="177"/>
      <c r="L80" s="177"/>
    </row>
    <row r="81" spans="1:18" ht="41.25" hidden="1" customHeight="1">
      <c r="A81" s="82" t="s">
        <v>32</v>
      </c>
      <c r="B81" s="149">
        <v>757</v>
      </c>
      <c r="C81" s="84" t="s">
        <v>26</v>
      </c>
      <c r="D81" s="84" t="s">
        <v>70</v>
      </c>
      <c r="E81" s="84" t="s">
        <v>593</v>
      </c>
      <c r="F81" s="84" t="s">
        <v>33</v>
      </c>
      <c r="G81" s="87"/>
      <c r="H81" s="87"/>
      <c r="I81" s="87"/>
      <c r="J81" s="177"/>
    </row>
    <row r="82" spans="1:18" ht="47.25" hidden="1" customHeight="1">
      <c r="A82" s="82" t="s">
        <v>63</v>
      </c>
      <c r="B82" s="149">
        <v>757</v>
      </c>
      <c r="C82" s="84" t="s">
        <v>26</v>
      </c>
      <c r="D82" s="84" t="s">
        <v>70</v>
      </c>
      <c r="E82" s="84" t="s">
        <v>593</v>
      </c>
      <c r="F82" s="84" t="s">
        <v>64</v>
      </c>
      <c r="G82" s="87">
        <f>G83</f>
        <v>0</v>
      </c>
      <c r="H82" s="87">
        <f t="shared" si="17"/>
        <v>0</v>
      </c>
      <c r="I82" s="87">
        <f t="shared" si="17"/>
        <v>0</v>
      </c>
      <c r="J82" s="177"/>
      <c r="K82" s="177"/>
      <c r="L82" s="177"/>
    </row>
    <row r="83" spans="1:18" ht="41.25" hidden="1" customHeight="1">
      <c r="A83" s="82" t="s">
        <v>180</v>
      </c>
      <c r="B83" s="149">
        <v>757</v>
      </c>
      <c r="C83" s="84" t="s">
        <v>26</v>
      </c>
      <c r="D83" s="84" t="s">
        <v>70</v>
      </c>
      <c r="E83" s="84" t="s">
        <v>593</v>
      </c>
      <c r="F83" s="84" t="s">
        <v>181</v>
      </c>
      <c r="G83" s="87"/>
      <c r="H83" s="87"/>
      <c r="I83" s="87"/>
      <c r="J83" s="177"/>
    </row>
    <row r="84" spans="1:18" ht="84" hidden="1" customHeight="1">
      <c r="A84" s="82" t="s">
        <v>512</v>
      </c>
      <c r="B84" s="149">
        <v>757</v>
      </c>
      <c r="C84" s="84" t="s">
        <v>26</v>
      </c>
      <c r="D84" s="84" t="s">
        <v>70</v>
      </c>
      <c r="E84" s="84" t="s">
        <v>688</v>
      </c>
      <c r="F84" s="84"/>
      <c r="G84" s="87">
        <f>G85</f>
        <v>0</v>
      </c>
      <c r="H84" s="87">
        <v>0</v>
      </c>
      <c r="I84" s="87">
        <v>0</v>
      </c>
      <c r="J84" s="177"/>
    </row>
    <row r="85" spans="1:18" ht="60" hidden="1" customHeight="1">
      <c r="A85" s="82" t="s">
        <v>30</v>
      </c>
      <c r="B85" s="149">
        <v>757</v>
      </c>
      <c r="C85" s="84" t="s">
        <v>26</v>
      </c>
      <c r="D85" s="84" t="s">
        <v>70</v>
      </c>
      <c r="E85" s="84" t="s">
        <v>688</v>
      </c>
      <c r="F85" s="84" t="s">
        <v>31</v>
      </c>
      <c r="G85" s="87">
        <f>G86</f>
        <v>0</v>
      </c>
      <c r="H85" s="87">
        <v>0</v>
      </c>
      <c r="I85" s="87">
        <v>0</v>
      </c>
      <c r="J85" s="177"/>
      <c r="K85" s="177"/>
      <c r="L85" s="177"/>
    </row>
    <row r="86" spans="1:18" ht="60" hidden="1" customHeight="1">
      <c r="A86" s="82" t="s">
        <v>32</v>
      </c>
      <c r="B86" s="149">
        <v>757</v>
      </c>
      <c r="C86" s="84" t="s">
        <v>26</v>
      </c>
      <c r="D86" s="84" t="s">
        <v>70</v>
      </c>
      <c r="E86" s="84" t="s">
        <v>688</v>
      </c>
      <c r="F86" s="84" t="s">
        <v>33</v>
      </c>
      <c r="G86" s="87"/>
      <c r="H86" s="87"/>
      <c r="I86" s="87"/>
      <c r="J86" s="177"/>
    </row>
    <row r="87" spans="1:18" ht="84" hidden="1" customHeight="1">
      <c r="A87" s="82" t="s">
        <v>690</v>
      </c>
      <c r="B87" s="149">
        <v>757</v>
      </c>
      <c r="C87" s="84" t="s">
        <v>26</v>
      </c>
      <c r="D87" s="84" t="s">
        <v>70</v>
      </c>
      <c r="E87" s="84" t="s">
        <v>689</v>
      </c>
      <c r="F87" s="84"/>
      <c r="G87" s="87">
        <f>G88</f>
        <v>0</v>
      </c>
      <c r="H87" s="87">
        <f>H88</f>
        <v>0</v>
      </c>
      <c r="I87" s="87">
        <f>I88</f>
        <v>0</v>
      </c>
      <c r="J87" s="177"/>
    </row>
    <row r="88" spans="1:18" ht="60" hidden="1" customHeight="1">
      <c r="A88" s="82" t="s">
        <v>30</v>
      </c>
      <c r="B88" s="149">
        <v>757</v>
      </c>
      <c r="C88" s="84" t="s">
        <v>26</v>
      </c>
      <c r="D88" s="84" t="s">
        <v>70</v>
      </c>
      <c r="E88" s="84" t="s">
        <v>689</v>
      </c>
      <c r="F88" s="84" t="s">
        <v>31</v>
      </c>
      <c r="G88" s="87">
        <f>G89</f>
        <v>0</v>
      </c>
      <c r="H88" s="87">
        <f t="shared" ref="H88:I88" si="18">H89</f>
        <v>0</v>
      </c>
      <c r="I88" s="87">
        <f t="shared" si="18"/>
        <v>0</v>
      </c>
      <c r="J88" s="177"/>
      <c r="K88" s="177"/>
      <c r="L88" s="177"/>
    </row>
    <row r="89" spans="1:18" ht="60" hidden="1" customHeight="1">
      <c r="A89" s="82" t="s">
        <v>32</v>
      </c>
      <c r="B89" s="149">
        <v>757</v>
      </c>
      <c r="C89" s="84" t="s">
        <v>26</v>
      </c>
      <c r="D89" s="84" t="s">
        <v>70</v>
      </c>
      <c r="E89" s="84" t="s">
        <v>689</v>
      </c>
      <c r="F89" s="84" t="s">
        <v>33</v>
      </c>
      <c r="G89" s="87"/>
      <c r="H89" s="87"/>
      <c r="I89" s="87"/>
      <c r="J89" s="177"/>
    </row>
    <row r="90" spans="1:18" s="28" customFormat="1" ht="28.5" hidden="1" customHeight="1">
      <c r="A90" s="139" t="s">
        <v>485</v>
      </c>
      <c r="B90" s="149">
        <v>757</v>
      </c>
      <c r="C90" s="84" t="s">
        <v>26</v>
      </c>
      <c r="D90" s="84" t="s">
        <v>70</v>
      </c>
      <c r="E90" s="84" t="s">
        <v>195</v>
      </c>
      <c r="F90" s="84"/>
      <c r="G90" s="87">
        <f>G91</f>
        <v>0</v>
      </c>
      <c r="H90" s="87">
        <f>H91</f>
        <v>0</v>
      </c>
      <c r="I90" s="87">
        <f>I91</f>
        <v>0</v>
      </c>
      <c r="J90" s="177"/>
      <c r="K90" s="204"/>
      <c r="L90" s="204"/>
      <c r="M90" s="204"/>
      <c r="N90" s="204"/>
      <c r="O90" s="204"/>
      <c r="P90" s="204"/>
      <c r="Q90" s="204"/>
      <c r="R90" s="204"/>
    </row>
    <row r="91" spans="1:18" s="28" customFormat="1" ht="27.75" hidden="1" customHeight="1">
      <c r="A91" s="139" t="s">
        <v>703</v>
      </c>
      <c r="B91" s="149">
        <v>757</v>
      </c>
      <c r="C91" s="84" t="s">
        <v>26</v>
      </c>
      <c r="D91" s="84" t="s">
        <v>70</v>
      </c>
      <c r="E91" s="84" t="s">
        <v>702</v>
      </c>
      <c r="F91" s="84"/>
      <c r="G91" s="87">
        <f>G92</f>
        <v>0</v>
      </c>
      <c r="H91" s="87">
        <f t="shared" ref="H91:I91" si="19">H92</f>
        <v>0</v>
      </c>
      <c r="I91" s="87">
        <f t="shared" si="19"/>
        <v>0</v>
      </c>
      <c r="J91" s="177"/>
      <c r="K91" s="204"/>
      <c r="L91" s="204"/>
      <c r="M91" s="204"/>
      <c r="N91" s="204"/>
      <c r="O91" s="204"/>
      <c r="P91" s="204"/>
      <c r="Q91" s="204"/>
      <c r="R91" s="204"/>
    </row>
    <row r="92" spans="1:18" s="32" customFormat="1" ht="28.5" hidden="1" customHeight="1">
      <c r="A92" s="82" t="s">
        <v>30</v>
      </c>
      <c r="B92" s="149">
        <v>757</v>
      </c>
      <c r="C92" s="84" t="s">
        <v>26</v>
      </c>
      <c r="D92" s="84" t="s">
        <v>70</v>
      </c>
      <c r="E92" s="84" t="s">
        <v>702</v>
      </c>
      <c r="F92" s="84" t="s">
        <v>31</v>
      </c>
      <c r="G92" s="87">
        <f>G93</f>
        <v>0</v>
      </c>
      <c r="H92" s="87">
        <f>H93</f>
        <v>0</v>
      </c>
      <c r="I92" s="87">
        <f>I93</f>
        <v>0</v>
      </c>
      <c r="J92" s="177"/>
      <c r="K92" s="203"/>
      <c r="L92" s="203"/>
      <c r="M92" s="203"/>
      <c r="N92" s="203"/>
      <c r="O92" s="203"/>
      <c r="P92" s="203"/>
      <c r="Q92" s="203"/>
      <c r="R92" s="203"/>
    </row>
    <row r="93" spans="1:18" s="32" customFormat="1" hidden="1">
      <c r="A93" s="82" t="s">
        <v>32</v>
      </c>
      <c r="B93" s="149">
        <v>757</v>
      </c>
      <c r="C93" s="84" t="s">
        <v>26</v>
      </c>
      <c r="D93" s="84" t="s">
        <v>70</v>
      </c>
      <c r="E93" s="84" t="s">
        <v>702</v>
      </c>
      <c r="F93" s="84" t="s">
        <v>33</v>
      </c>
      <c r="G93" s="87"/>
      <c r="H93" s="87"/>
      <c r="I93" s="87"/>
      <c r="J93" s="177"/>
      <c r="K93" s="205"/>
      <c r="L93" s="203"/>
      <c r="M93" s="203"/>
      <c r="N93" s="203"/>
      <c r="O93" s="203"/>
      <c r="P93" s="203"/>
      <c r="Q93" s="203"/>
      <c r="R93" s="203"/>
    </row>
    <row r="94" spans="1:18" ht="32.25" customHeight="1">
      <c r="A94" s="82" t="s">
        <v>478</v>
      </c>
      <c r="B94" s="149">
        <v>757</v>
      </c>
      <c r="C94" s="84" t="s">
        <v>26</v>
      </c>
      <c r="D94" s="84" t="s">
        <v>70</v>
      </c>
      <c r="E94" s="84" t="s">
        <v>398</v>
      </c>
      <c r="F94" s="84"/>
      <c r="G94" s="87">
        <f>G96</f>
        <v>1832985</v>
      </c>
      <c r="H94" s="87">
        <f>H96</f>
        <v>1643978</v>
      </c>
      <c r="I94" s="87">
        <f>I96</f>
        <v>2090528</v>
      </c>
      <c r="J94" s="177"/>
    </row>
    <row r="95" spans="1:18" ht="32.25" customHeight="1">
      <c r="A95" s="82" t="s">
        <v>90</v>
      </c>
      <c r="B95" s="149">
        <v>757</v>
      </c>
      <c r="C95" s="84" t="s">
        <v>26</v>
      </c>
      <c r="D95" s="84" t="s">
        <v>70</v>
      </c>
      <c r="E95" s="84" t="s">
        <v>912</v>
      </c>
      <c r="F95" s="84"/>
      <c r="G95" s="87">
        <f t="shared" ref="G95:I97" si="20">G96</f>
        <v>1832985</v>
      </c>
      <c r="H95" s="87">
        <f t="shared" si="20"/>
        <v>1643978</v>
      </c>
      <c r="I95" s="87">
        <f t="shared" si="20"/>
        <v>2090528</v>
      </c>
      <c r="J95" s="177"/>
    </row>
    <row r="96" spans="1:18" ht="51">
      <c r="A96" s="82" t="s">
        <v>3</v>
      </c>
      <c r="B96" s="149">
        <v>757</v>
      </c>
      <c r="C96" s="84" t="s">
        <v>26</v>
      </c>
      <c r="D96" s="84" t="s">
        <v>70</v>
      </c>
      <c r="E96" s="84" t="s">
        <v>912</v>
      </c>
      <c r="F96" s="84"/>
      <c r="G96" s="87">
        <f t="shared" si="20"/>
        <v>1832985</v>
      </c>
      <c r="H96" s="87">
        <f t="shared" si="20"/>
        <v>1643978</v>
      </c>
      <c r="I96" s="87">
        <f t="shared" si="20"/>
        <v>2090528</v>
      </c>
      <c r="J96" s="177"/>
    </row>
    <row r="97" spans="1:18" ht="25.5">
      <c r="A97" s="82" t="s">
        <v>30</v>
      </c>
      <c r="B97" s="149">
        <v>757</v>
      </c>
      <c r="C97" s="84" t="s">
        <v>26</v>
      </c>
      <c r="D97" s="84" t="s">
        <v>70</v>
      </c>
      <c r="E97" s="84" t="s">
        <v>912</v>
      </c>
      <c r="F97" s="84" t="s">
        <v>31</v>
      </c>
      <c r="G97" s="87">
        <f t="shared" si="20"/>
        <v>1832985</v>
      </c>
      <c r="H97" s="87">
        <f t="shared" si="20"/>
        <v>1643978</v>
      </c>
      <c r="I97" s="87">
        <f t="shared" si="20"/>
        <v>2090528</v>
      </c>
      <c r="J97" s="177"/>
    </row>
    <row r="98" spans="1:18" ht="19.5" customHeight="1">
      <c r="A98" s="82" t="s">
        <v>32</v>
      </c>
      <c r="B98" s="149">
        <v>757</v>
      </c>
      <c r="C98" s="84" t="s">
        <v>26</v>
      </c>
      <c r="D98" s="84" t="s">
        <v>70</v>
      </c>
      <c r="E98" s="84" t="s">
        <v>912</v>
      </c>
      <c r="F98" s="84" t="s">
        <v>33</v>
      </c>
      <c r="G98" s="87">
        <f>1832985</f>
        <v>1832985</v>
      </c>
      <c r="H98" s="87">
        <v>1643978</v>
      </c>
      <c r="I98" s="87">
        <v>2090528</v>
      </c>
      <c r="J98" s="177"/>
    </row>
    <row r="99" spans="1:18" s="165" customFormat="1" ht="30.75" hidden="1" customHeight="1">
      <c r="A99" s="139" t="s">
        <v>273</v>
      </c>
      <c r="B99" s="273">
        <v>757</v>
      </c>
      <c r="C99" s="84" t="s">
        <v>26</v>
      </c>
      <c r="D99" s="84" t="s">
        <v>70</v>
      </c>
      <c r="E99" s="84" t="s">
        <v>571</v>
      </c>
      <c r="F99" s="84"/>
      <c r="G99" s="87">
        <f>G100</f>
        <v>0</v>
      </c>
      <c r="H99" s="274">
        <v>0</v>
      </c>
      <c r="I99" s="274">
        <v>0</v>
      </c>
      <c r="J99" s="193"/>
      <c r="K99" s="206"/>
      <c r="L99" s="206"/>
      <c r="M99" s="206"/>
      <c r="N99" s="206"/>
      <c r="O99" s="206"/>
      <c r="P99" s="206"/>
      <c r="Q99" s="206"/>
      <c r="R99" s="206"/>
    </row>
    <row r="100" spans="1:18" ht="30.75" hidden="1" customHeight="1">
      <c r="A100" s="82" t="s">
        <v>273</v>
      </c>
      <c r="B100" s="149">
        <v>793</v>
      </c>
      <c r="C100" s="84" t="s">
        <v>26</v>
      </c>
      <c r="D100" s="84" t="s">
        <v>70</v>
      </c>
      <c r="E100" s="84" t="s">
        <v>572</v>
      </c>
      <c r="F100" s="84"/>
      <c r="G100" s="87"/>
      <c r="H100" s="87"/>
      <c r="I100" s="87"/>
      <c r="J100" s="177"/>
    </row>
    <row r="101" spans="1:18" ht="30.75" hidden="1" customHeight="1">
      <c r="A101" s="82" t="s">
        <v>36</v>
      </c>
      <c r="B101" s="83">
        <v>795</v>
      </c>
      <c r="C101" s="84" t="s">
        <v>26</v>
      </c>
      <c r="D101" s="84" t="s">
        <v>70</v>
      </c>
      <c r="E101" s="84" t="s">
        <v>572</v>
      </c>
      <c r="F101" s="84" t="s">
        <v>37</v>
      </c>
      <c r="G101" s="87">
        <f>G102</f>
        <v>1803468</v>
      </c>
      <c r="H101" s="87">
        <v>0</v>
      </c>
      <c r="I101" s="87">
        <v>0</v>
      </c>
      <c r="J101" s="177"/>
    </row>
    <row r="102" spans="1:18" ht="30.75" hidden="1" customHeight="1">
      <c r="A102" s="82" t="s">
        <v>38</v>
      </c>
      <c r="B102" s="83">
        <v>795</v>
      </c>
      <c r="C102" s="84" t="s">
        <v>26</v>
      </c>
      <c r="D102" s="84" t="s">
        <v>70</v>
      </c>
      <c r="E102" s="84" t="s">
        <v>572</v>
      </c>
      <c r="F102" s="84" t="s">
        <v>39</v>
      </c>
      <c r="G102" s="87">
        <f>'прил 5,'!G593</f>
        <v>1803468</v>
      </c>
      <c r="H102" s="87">
        <v>0</v>
      </c>
      <c r="I102" s="87">
        <v>0</v>
      </c>
      <c r="J102" s="177"/>
    </row>
    <row r="103" spans="1:18" ht="23.25" hidden="1" customHeight="1">
      <c r="A103" s="82" t="s">
        <v>148</v>
      </c>
      <c r="B103" s="149">
        <v>793</v>
      </c>
      <c r="C103" s="84" t="s">
        <v>26</v>
      </c>
      <c r="D103" s="84" t="s">
        <v>70</v>
      </c>
      <c r="E103" s="84" t="s">
        <v>572</v>
      </c>
      <c r="F103" s="84" t="s">
        <v>149</v>
      </c>
      <c r="G103" s="87">
        <f>G104</f>
        <v>0</v>
      </c>
      <c r="H103" s="87">
        <v>0</v>
      </c>
      <c r="I103" s="87">
        <v>0</v>
      </c>
      <c r="J103" s="177"/>
    </row>
    <row r="104" spans="1:18" ht="30.75" hidden="1" customHeight="1">
      <c r="A104" s="82" t="s">
        <v>150</v>
      </c>
      <c r="B104" s="149">
        <v>793</v>
      </c>
      <c r="C104" s="84" t="s">
        <v>26</v>
      </c>
      <c r="D104" s="84" t="s">
        <v>70</v>
      </c>
      <c r="E104" s="84" t="s">
        <v>572</v>
      </c>
      <c r="F104" s="84" t="s">
        <v>151</v>
      </c>
      <c r="G104" s="87">
        <f>'прил 5,'!G70</f>
        <v>0</v>
      </c>
      <c r="H104" s="87">
        <v>0</v>
      </c>
      <c r="I104" s="87">
        <v>0</v>
      </c>
      <c r="J104" s="177"/>
    </row>
    <row r="105" spans="1:18" ht="21.75" hidden="1" customHeight="1">
      <c r="A105" s="82" t="s">
        <v>156</v>
      </c>
      <c r="B105" s="149">
        <v>793</v>
      </c>
      <c r="C105" s="84" t="s">
        <v>26</v>
      </c>
      <c r="D105" s="84" t="s">
        <v>70</v>
      </c>
      <c r="E105" s="84" t="s">
        <v>572</v>
      </c>
      <c r="F105" s="84" t="s">
        <v>157</v>
      </c>
      <c r="G105" s="87">
        <f>G106</f>
        <v>0</v>
      </c>
      <c r="H105" s="87">
        <v>0</v>
      </c>
      <c r="I105" s="87">
        <v>0</v>
      </c>
      <c r="J105" s="177"/>
    </row>
    <row r="106" spans="1:18" ht="22.5" hidden="1" customHeight="1">
      <c r="A106" s="82" t="s">
        <v>178</v>
      </c>
      <c r="B106" s="149">
        <v>793</v>
      </c>
      <c r="C106" s="84" t="s">
        <v>26</v>
      </c>
      <c r="D106" s="84" t="s">
        <v>70</v>
      </c>
      <c r="E106" s="84" t="s">
        <v>572</v>
      </c>
      <c r="F106" s="84" t="s">
        <v>179</v>
      </c>
      <c r="G106" s="87"/>
      <c r="H106" s="87">
        <v>0</v>
      </c>
      <c r="I106" s="87">
        <v>0</v>
      </c>
      <c r="J106" s="177"/>
    </row>
    <row r="107" spans="1:18" hidden="1">
      <c r="A107" s="82"/>
      <c r="B107" s="83"/>
      <c r="C107" s="84"/>
      <c r="D107" s="84"/>
      <c r="E107" s="84"/>
      <c r="F107" s="84"/>
      <c r="G107" s="85"/>
      <c r="H107" s="85"/>
      <c r="I107" s="85"/>
      <c r="J107" s="178"/>
    </row>
    <row r="108" spans="1:18" hidden="1">
      <c r="A108" s="82"/>
      <c r="B108" s="83"/>
      <c r="C108" s="84"/>
      <c r="D108" s="84"/>
      <c r="E108" s="84"/>
      <c r="F108" s="84"/>
      <c r="G108" s="85"/>
      <c r="H108" s="85"/>
      <c r="I108" s="85"/>
      <c r="J108" s="178"/>
    </row>
    <row r="109" spans="1:18" ht="25.5" hidden="1">
      <c r="A109" s="82" t="s">
        <v>30</v>
      </c>
      <c r="B109" s="149">
        <v>757</v>
      </c>
      <c r="C109" s="84" t="s">
        <v>26</v>
      </c>
      <c r="D109" s="84" t="s">
        <v>70</v>
      </c>
      <c r="E109" s="84" t="s">
        <v>572</v>
      </c>
      <c r="F109" s="84" t="s">
        <v>31</v>
      </c>
      <c r="G109" s="85">
        <f t="shared" ref="G109:I109" si="21">G110</f>
        <v>0</v>
      </c>
      <c r="H109" s="85">
        <f t="shared" si="21"/>
        <v>0</v>
      </c>
      <c r="I109" s="85">
        <f t="shared" si="21"/>
        <v>0</v>
      </c>
      <c r="J109" s="178"/>
    </row>
    <row r="110" spans="1:18" hidden="1">
      <c r="A110" s="82" t="s">
        <v>32</v>
      </c>
      <c r="B110" s="149">
        <v>757</v>
      </c>
      <c r="C110" s="84" t="s">
        <v>26</v>
      </c>
      <c r="D110" s="84" t="s">
        <v>70</v>
      </c>
      <c r="E110" s="84" t="s">
        <v>572</v>
      </c>
      <c r="F110" s="84" t="s">
        <v>33</v>
      </c>
      <c r="G110" s="85"/>
      <c r="H110" s="85"/>
      <c r="I110" s="85"/>
      <c r="J110" s="178"/>
    </row>
    <row r="111" spans="1:18" ht="14.25" hidden="1" customHeight="1">
      <c r="A111" s="82" t="s">
        <v>282</v>
      </c>
      <c r="B111" s="149">
        <v>757</v>
      </c>
      <c r="C111" s="84" t="s">
        <v>26</v>
      </c>
      <c r="D111" s="84" t="s">
        <v>26</v>
      </c>
      <c r="E111" s="84"/>
      <c r="F111" s="149"/>
      <c r="G111" s="87">
        <f>G120+G112</f>
        <v>0</v>
      </c>
      <c r="H111" s="87">
        <f t="shared" ref="H111:I111" si="22">H120+H112</f>
        <v>0</v>
      </c>
      <c r="I111" s="87">
        <f t="shared" si="22"/>
        <v>0</v>
      </c>
      <c r="J111" s="177"/>
    </row>
    <row r="112" spans="1:18" ht="32.25" hidden="1" customHeight="1">
      <c r="A112" s="82" t="s">
        <v>478</v>
      </c>
      <c r="B112" s="149">
        <v>757</v>
      </c>
      <c r="C112" s="84" t="s">
        <v>26</v>
      </c>
      <c r="D112" s="84" t="s">
        <v>26</v>
      </c>
      <c r="E112" s="84" t="s">
        <v>398</v>
      </c>
      <c r="F112" s="84"/>
      <c r="G112" s="87">
        <f>G113</f>
        <v>0</v>
      </c>
      <c r="H112" s="87">
        <f>H114</f>
        <v>0</v>
      </c>
      <c r="I112" s="87">
        <f>I114</f>
        <v>0</v>
      </c>
      <c r="J112" s="177"/>
    </row>
    <row r="113" spans="1:18" ht="22.5" hidden="1" customHeight="1">
      <c r="A113" s="82" t="s">
        <v>119</v>
      </c>
      <c r="B113" s="149">
        <v>757</v>
      </c>
      <c r="C113" s="84" t="s">
        <v>26</v>
      </c>
      <c r="D113" s="84" t="s">
        <v>26</v>
      </c>
      <c r="E113" s="84" t="s">
        <v>608</v>
      </c>
      <c r="F113" s="84"/>
      <c r="G113" s="87">
        <f>G114+G117</f>
        <v>0</v>
      </c>
      <c r="H113" s="87">
        <f t="shared" ref="H113:I113" si="23">H114+H117</f>
        <v>0</v>
      </c>
      <c r="I113" s="87">
        <f t="shared" si="23"/>
        <v>0</v>
      </c>
      <c r="J113" s="177"/>
    </row>
    <row r="114" spans="1:18" ht="51" hidden="1">
      <c r="A114" s="82" t="s">
        <v>127</v>
      </c>
      <c r="B114" s="149">
        <v>757</v>
      </c>
      <c r="C114" s="84" t="s">
        <v>26</v>
      </c>
      <c r="D114" s="84" t="s">
        <v>26</v>
      </c>
      <c r="E114" s="84" t="s">
        <v>191</v>
      </c>
      <c r="F114" s="84"/>
      <c r="G114" s="87">
        <f t="shared" ref="G114:I115" si="24">G115</f>
        <v>0</v>
      </c>
      <c r="H114" s="87">
        <f t="shared" si="24"/>
        <v>0</v>
      </c>
      <c r="I114" s="87">
        <f t="shared" si="24"/>
        <v>0</v>
      </c>
      <c r="J114" s="177"/>
    </row>
    <row r="115" spans="1:18" ht="25.5" hidden="1">
      <c r="A115" s="82" t="s">
        <v>30</v>
      </c>
      <c r="B115" s="149">
        <v>757</v>
      </c>
      <c r="C115" s="84" t="s">
        <v>26</v>
      </c>
      <c r="D115" s="84" t="s">
        <v>26</v>
      </c>
      <c r="E115" s="84" t="s">
        <v>191</v>
      </c>
      <c r="F115" s="84" t="s">
        <v>31</v>
      </c>
      <c r="G115" s="87">
        <f t="shared" si="24"/>
        <v>0</v>
      </c>
      <c r="H115" s="87">
        <f t="shared" si="24"/>
        <v>0</v>
      </c>
      <c r="I115" s="87">
        <f t="shared" si="24"/>
        <v>0</v>
      </c>
      <c r="J115" s="177"/>
    </row>
    <row r="116" spans="1:18" ht="19.5" hidden="1" customHeight="1">
      <c r="A116" s="82" t="s">
        <v>32</v>
      </c>
      <c r="B116" s="149">
        <v>757</v>
      </c>
      <c r="C116" s="84" t="s">
        <v>26</v>
      </c>
      <c r="D116" s="84" t="s">
        <v>26</v>
      </c>
      <c r="E116" s="84" t="s">
        <v>191</v>
      </c>
      <c r="F116" s="84" t="s">
        <v>33</v>
      </c>
      <c r="G116" s="87"/>
      <c r="H116" s="87">
        <v>0</v>
      </c>
      <c r="I116" s="87">
        <v>0</v>
      </c>
      <c r="J116" s="177"/>
    </row>
    <row r="117" spans="1:18" s="18" customFormat="1" ht="61.5" hidden="1" customHeight="1">
      <c r="A117" s="135" t="s">
        <v>352</v>
      </c>
      <c r="B117" s="84" t="s">
        <v>51</v>
      </c>
      <c r="C117" s="84" t="s">
        <v>26</v>
      </c>
      <c r="D117" s="84" t="s">
        <v>26</v>
      </c>
      <c r="E117" s="84" t="s">
        <v>192</v>
      </c>
      <c r="F117" s="84"/>
      <c r="G117" s="87">
        <f>G118</f>
        <v>0</v>
      </c>
      <c r="H117" s="87">
        <f t="shared" ref="H117:I117" si="25">H118</f>
        <v>0</v>
      </c>
      <c r="I117" s="87">
        <f t="shared" si="25"/>
        <v>0</v>
      </c>
      <c r="J117" s="177"/>
      <c r="K117" s="200"/>
      <c r="L117" s="200"/>
      <c r="M117" s="200"/>
      <c r="N117" s="200"/>
      <c r="O117" s="200"/>
      <c r="P117" s="200"/>
      <c r="Q117" s="200"/>
      <c r="R117" s="200"/>
    </row>
    <row r="118" spans="1:18" s="18" customFormat="1" ht="25.5" hidden="1">
      <c r="A118" s="82" t="s">
        <v>30</v>
      </c>
      <c r="B118" s="84" t="s">
        <v>51</v>
      </c>
      <c r="C118" s="84" t="s">
        <v>26</v>
      </c>
      <c r="D118" s="84" t="s">
        <v>26</v>
      </c>
      <c r="E118" s="84" t="s">
        <v>192</v>
      </c>
      <c r="F118" s="84" t="s">
        <v>31</v>
      </c>
      <c r="G118" s="87">
        <f>G119</f>
        <v>0</v>
      </c>
      <c r="H118" s="87">
        <f>H119</f>
        <v>0</v>
      </c>
      <c r="I118" s="87">
        <f>I119</f>
        <v>0</v>
      </c>
      <c r="J118" s="177"/>
      <c r="K118" s="200"/>
      <c r="L118" s="200"/>
      <c r="M118" s="200"/>
      <c r="N118" s="200"/>
      <c r="O118" s="200"/>
      <c r="P118" s="200"/>
      <c r="Q118" s="200"/>
      <c r="R118" s="200"/>
    </row>
    <row r="119" spans="1:18" s="18" customFormat="1" hidden="1">
      <c r="A119" s="82" t="s">
        <v>32</v>
      </c>
      <c r="B119" s="84" t="s">
        <v>51</v>
      </c>
      <c r="C119" s="84" t="s">
        <v>26</v>
      </c>
      <c r="D119" s="84" t="s">
        <v>26</v>
      </c>
      <c r="E119" s="84" t="s">
        <v>192</v>
      </c>
      <c r="F119" s="84" t="s">
        <v>33</v>
      </c>
      <c r="G119" s="87"/>
      <c r="H119" s="87"/>
      <c r="I119" s="87"/>
      <c r="J119" s="177"/>
      <c r="K119" s="200"/>
      <c r="L119" s="200"/>
      <c r="M119" s="200"/>
      <c r="N119" s="200"/>
      <c r="O119" s="200"/>
      <c r="P119" s="200"/>
      <c r="Q119" s="200"/>
      <c r="R119" s="200"/>
    </row>
    <row r="120" spans="1:18" s="18" customFormat="1" ht="25.5" hidden="1">
      <c r="A120" s="82" t="s">
        <v>482</v>
      </c>
      <c r="B120" s="149">
        <v>757</v>
      </c>
      <c r="C120" s="84" t="s">
        <v>26</v>
      </c>
      <c r="D120" s="84" t="s">
        <v>26</v>
      </c>
      <c r="E120" s="84" t="s">
        <v>197</v>
      </c>
      <c r="F120" s="84"/>
      <c r="G120" s="87">
        <f>G121+G126</f>
        <v>0</v>
      </c>
      <c r="H120" s="87">
        <f t="shared" ref="H120:I120" si="26">H121</f>
        <v>0</v>
      </c>
      <c r="I120" s="87">
        <f t="shared" si="26"/>
        <v>0</v>
      </c>
      <c r="J120" s="177"/>
      <c r="K120" s="177"/>
      <c r="L120" s="177"/>
      <c r="M120" s="177"/>
      <c r="N120" s="177"/>
      <c r="O120" s="200"/>
      <c r="P120" s="200"/>
      <c r="Q120" s="200"/>
      <c r="R120" s="200"/>
    </row>
    <row r="121" spans="1:18" s="18" customFormat="1" hidden="1">
      <c r="A121" s="82" t="s">
        <v>340</v>
      </c>
      <c r="B121" s="149">
        <v>757</v>
      </c>
      <c r="C121" s="84" t="s">
        <v>26</v>
      </c>
      <c r="D121" s="84" t="s">
        <v>26</v>
      </c>
      <c r="E121" s="84" t="s">
        <v>198</v>
      </c>
      <c r="F121" s="84"/>
      <c r="G121" s="87">
        <f>G122+G124</f>
        <v>0</v>
      </c>
      <c r="H121" s="87">
        <f>H122+H124</f>
        <v>0</v>
      </c>
      <c r="I121" s="87">
        <f>I122+I124</f>
        <v>0</v>
      </c>
      <c r="J121" s="177"/>
      <c r="K121" s="200"/>
      <c r="L121" s="200"/>
      <c r="M121" s="200"/>
      <c r="N121" s="200"/>
      <c r="O121" s="200"/>
      <c r="P121" s="200"/>
      <c r="Q121" s="200"/>
      <c r="R121" s="200"/>
    </row>
    <row r="122" spans="1:18" s="18" customFormat="1" ht="25.5" hidden="1">
      <c r="A122" s="82" t="s">
        <v>36</v>
      </c>
      <c r="B122" s="149">
        <v>757</v>
      </c>
      <c r="C122" s="84" t="s">
        <v>26</v>
      </c>
      <c r="D122" s="84" t="s">
        <v>26</v>
      </c>
      <c r="E122" s="84" t="s">
        <v>198</v>
      </c>
      <c r="F122" s="84" t="s">
        <v>37</v>
      </c>
      <c r="G122" s="87">
        <f>G123</f>
        <v>0</v>
      </c>
      <c r="H122" s="87">
        <f>H123</f>
        <v>0</v>
      </c>
      <c r="I122" s="87">
        <f>I123</f>
        <v>0</v>
      </c>
      <c r="J122" s="177"/>
      <c r="K122" s="200"/>
      <c r="L122" s="200"/>
      <c r="M122" s="200"/>
      <c r="N122" s="200"/>
      <c r="O122" s="200"/>
      <c r="P122" s="200"/>
      <c r="Q122" s="200"/>
      <c r="R122" s="200"/>
    </row>
    <row r="123" spans="1:18" s="18" customFormat="1" ht="25.5" hidden="1">
      <c r="A123" s="82" t="s">
        <v>38</v>
      </c>
      <c r="B123" s="149">
        <v>757</v>
      </c>
      <c r="C123" s="84" t="s">
        <v>26</v>
      </c>
      <c r="D123" s="84" t="s">
        <v>26</v>
      </c>
      <c r="E123" s="84" t="s">
        <v>198</v>
      </c>
      <c r="F123" s="84" t="s">
        <v>39</v>
      </c>
      <c r="G123" s="87"/>
      <c r="H123" s="87"/>
      <c r="I123" s="87"/>
      <c r="J123" s="177"/>
      <c r="K123" s="200"/>
      <c r="L123" s="200"/>
      <c r="M123" s="200"/>
      <c r="N123" s="200"/>
      <c r="O123" s="200"/>
      <c r="P123" s="200"/>
      <c r="Q123" s="200"/>
      <c r="R123" s="200"/>
    </row>
    <row r="124" spans="1:18" s="18" customFormat="1" ht="25.5" hidden="1">
      <c r="A124" s="82" t="s">
        <v>30</v>
      </c>
      <c r="B124" s="84" t="s">
        <v>51</v>
      </c>
      <c r="C124" s="84" t="s">
        <v>26</v>
      </c>
      <c r="D124" s="84" t="s">
        <v>26</v>
      </c>
      <c r="E124" s="84" t="s">
        <v>198</v>
      </c>
      <c r="F124" s="84" t="s">
        <v>31</v>
      </c>
      <c r="G124" s="87">
        <f>G125</f>
        <v>0</v>
      </c>
      <c r="H124" s="87">
        <f>H125</f>
        <v>0</v>
      </c>
      <c r="I124" s="87">
        <f>I125</f>
        <v>0</v>
      </c>
      <c r="J124" s="177"/>
      <c r="K124" s="200"/>
      <c r="L124" s="200"/>
      <c r="M124" s="200"/>
      <c r="N124" s="200"/>
      <c r="O124" s="200"/>
      <c r="P124" s="200"/>
      <c r="Q124" s="200"/>
      <c r="R124" s="200"/>
    </row>
    <row r="125" spans="1:18" s="18" customFormat="1" hidden="1">
      <c r="A125" s="82" t="s">
        <v>32</v>
      </c>
      <c r="B125" s="84" t="s">
        <v>51</v>
      </c>
      <c r="C125" s="84" t="s">
        <v>26</v>
      </c>
      <c r="D125" s="84" t="s">
        <v>26</v>
      </c>
      <c r="E125" s="84" t="s">
        <v>198</v>
      </c>
      <c r="F125" s="84" t="s">
        <v>33</v>
      </c>
      <c r="G125" s="87">
        <v>0</v>
      </c>
      <c r="H125" s="87"/>
      <c r="I125" s="87"/>
      <c r="J125" s="177"/>
      <c r="K125" s="200"/>
      <c r="L125" s="200"/>
      <c r="M125" s="200"/>
      <c r="N125" s="200"/>
      <c r="O125" s="200"/>
      <c r="P125" s="200"/>
      <c r="Q125" s="200"/>
      <c r="R125" s="200"/>
    </row>
    <row r="126" spans="1:18" s="18" customFormat="1" ht="25.5" hidden="1">
      <c r="A126" s="82" t="s">
        <v>299</v>
      </c>
      <c r="B126" s="149">
        <v>757</v>
      </c>
      <c r="C126" s="84" t="s">
        <v>26</v>
      </c>
      <c r="D126" s="84" t="s">
        <v>26</v>
      </c>
      <c r="E126" s="84" t="s">
        <v>804</v>
      </c>
      <c r="F126" s="84"/>
      <c r="G126" s="87">
        <f>G127</f>
        <v>0</v>
      </c>
      <c r="H126" s="87">
        <v>0</v>
      </c>
      <c r="I126" s="87">
        <v>0</v>
      </c>
      <c r="J126" s="177"/>
      <c r="K126" s="200"/>
      <c r="L126" s="200"/>
      <c r="M126" s="200"/>
      <c r="N126" s="200"/>
      <c r="O126" s="200"/>
      <c r="P126" s="200"/>
      <c r="Q126" s="200"/>
      <c r="R126" s="200"/>
    </row>
    <row r="127" spans="1:18" s="18" customFormat="1" ht="25.5" hidden="1">
      <c r="A127" s="82" t="s">
        <v>36</v>
      </c>
      <c r="B127" s="149">
        <v>757</v>
      </c>
      <c r="C127" s="84" t="s">
        <v>26</v>
      </c>
      <c r="D127" s="84" t="s">
        <v>26</v>
      </c>
      <c r="E127" s="84" t="s">
        <v>804</v>
      </c>
      <c r="F127" s="84" t="s">
        <v>37</v>
      </c>
      <c r="G127" s="87">
        <f>G128</f>
        <v>0</v>
      </c>
      <c r="H127" s="87">
        <v>0</v>
      </c>
      <c r="I127" s="87">
        <v>0</v>
      </c>
      <c r="J127" s="177"/>
      <c r="K127" s="200"/>
      <c r="L127" s="200"/>
      <c r="M127" s="200"/>
      <c r="N127" s="200"/>
      <c r="O127" s="200"/>
      <c r="P127" s="200"/>
      <c r="Q127" s="200"/>
      <c r="R127" s="200"/>
    </row>
    <row r="128" spans="1:18" s="18" customFormat="1" ht="25.5" hidden="1">
      <c r="A128" s="82" t="s">
        <v>38</v>
      </c>
      <c r="B128" s="149">
        <v>757</v>
      </c>
      <c r="C128" s="84" t="s">
        <v>26</v>
      </c>
      <c r="D128" s="84" t="s">
        <v>26</v>
      </c>
      <c r="E128" s="84" t="s">
        <v>804</v>
      </c>
      <c r="F128" s="84" t="s">
        <v>39</v>
      </c>
      <c r="G128" s="87"/>
      <c r="H128" s="87"/>
      <c r="I128" s="87"/>
      <c r="J128" s="177"/>
      <c r="K128" s="200"/>
      <c r="L128" s="200"/>
      <c r="M128" s="200"/>
      <c r="N128" s="200"/>
      <c r="O128" s="200"/>
      <c r="P128" s="200"/>
      <c r="Q128" s="200"/>
      <c r="R128" s="200"/>
    </row>
    <row r="129" spans="1:18" s="22" customFormat="1">
      <c r="A129" s="144" t="s">
        <v>43</v>
      </c>
      <c r="B129" s="275">
        <v>757</v>
      </c>
      <c r="C129" s="162" t="s">
        <v>44</v>
      </c>
      <c r="D129" s="162"/>
      <c r="E129" s="162"/>
      <c r="F129" s="162"/>
      <c r="G129" s="96">
        <f>G130+G344</f>
        <v>156974629.75</v>
      </c>
      <c r="H129" s="96">
        <f>H130+H344</f>
        <v>141572118.02000001</v>
      </c>
      <c r="I129" s="96">
        <f>I130+I344</f>
        <v>135235621.05000001</v>
      </c>
      <c r="J129" s="192"/>
      <c r="K129" s="207"/>
      <c r="L129" s="207"/>
      <c r="M129" s="208"/>
      <c r="N129" s="207"/>
      <c r="O129" s="207"/>
      <c r="P129" s="207"/>
      <c r="Q129" s="207"/>
      <c r="R129" s="207"/>
    </row>
    <row r="130" spans="1:18">
      <c r="A130" s="82" t="s">
        <v>45</v>
      </c>
      <c r="B130" s="149">
        <v>757</v>
      </c>
      <c r="C130" s="84" t="s">
        <v>44</v>
      </c>
      <c r="D130" s="84" t="s">
        <v>19</v>
      </c>
      <c r="E130" s="84"/>
      <c r="F130" s="84"/>
      <c r="G130" s="87">
        <f>G131+G148+G341</f>
        <v>151639090.75</v>
      </c>
      <c r="H130" s="87">
        <f t="shared" ref="H130:I130" si="27">H131+H148</f>
        <v>136173113.02000001</v>
      </c>
      <c r="I130" s="87">
        <f t="shared" si="27"/>
        <v>129785908.05000001</v>
      </c>
      <c r="J130" s="177"/>
      <c r="M130" s="209"/>
    </row>
    <row r="131" spans="1:18" ht="38.25" hidden="1">
      <c r="A131" s="82" t="s">
        <v>831</v>
      </c>
      <c r="B131" s="149">
        <v>757</v>
      </c>
      <c r="C131" s="84" t="s">
        <v>44</v>
      </c>
      <c r="D131" s="84" t="s">
        <v>19</v>
      </c>
      <c r="E131" s="84" t="s">
        <v>263</v>
      </c>
      <c r="F131" s="84"/>
      <c r="G131" s="85">
        <f>G141</f>
        <v>0</v>
      </c>
      <c r="H131" s="85">
        <f t="shared" ref="H131:I131" si="28">H141</f>
        <v>0</v>
      </c>
      <c r="I131" s="85">
        <f t="shared" si="28"/>
        <v>0</v>
      </c>
      <c r="J131" s="178"/>
      <c r="M131" s="209"/>
    </row>
    <row r="132" spans="1:18" ht="40.5" hidden="1" customHeight="1">
      <c r="A132" s="82" t="s">
        <v>600</v>
      </c>
      <c r="B132" s="84" t="s">
        <v>51</v>
      </c>
      <c r="C132" s="84" t="s">
        <v>44</v>
      </c>
      <c r="D132" s="84" t="s">
        <v>19</v>
      </c>
      <c r="E132" s="84" t="s">
        <v>542</v>
      </c>
      <c r="F132" s="84"/>
      <c r="G132" s="85">
        <f>G133</f>
        <v>0</v>
      </c>
      <c r="H132" s="87">
        <v>0</v>
      </c>
      <c r="I132" s="87">
        <v>0</v>
      </c>
      <c r="J132" s="177"/>
    </row>
    <row r="133" spans="1:18" ht="30" hidden="1" customHeight="1">
      <c r="A133" s="82" t="s">
        <v>96</v>
      </c>
      <c r="B133" s="84" t="s">
        <v>51</v>
      </c>
      <c r="C133" s="84" t="s">
        <v>44</v>
      </c>
      <c r="D133" s="84" t="s">
        <v>19</v>
      </c>
      <c r="E133" s="84" t="s">
        <v>542</v>
      </c>
      <c r="F133" s="84" t="s">
        <v>349</v>
      </c>
      <c r="G133" s="85">
        <f>G134</f>
        <v>0</v>
      </c>
      <c r="H133" s="87">
        <v>0</v>
      </c>
      <c r="I133" s="87">
        <v>0</v>
      </c>
      <c r="J133" s="177"/>
    </row>
    <row r="134" spans="1:18" ht="91.5" hidden="1" customHeight="1">
      <c r="A134" s="133" t="s">
        <v>421</v>
      </c>
      <c r="B134" s="84" t="s">
        <v>51</v>
      </c>
      <c r="C134" s="84" t="s">
        <v>44</v>
      </c>
      <c r="D134" s="84" t="s">
        <v>19</v>
      </c>
      <c r="E134" s="84" t="s">
        <v>542</v>
      </c>
      <c r="F134" s="84" t="s">
        <v>420</v>
      </c>
      <c r="G134" s="85"/>
      <c r="H134" s="87">
        <v>0</v>
      </c>
      <c r="I134" s="87">
        <v>0</v>
      </c>
      <c r="J134" s="177"/>
    </row>
    <row r="135" spans="1:18" ht="43.5" hidden="1" customHeight="1">
      <c r="A135" s="133" t="s">
        <v>601</v>
      </c>
      <c r="B135" s="84" t="s">
        <v>51</v>
      </c>
      <c r="C135" s="84" t="s">
        <v>44</v>
      </c>
      <c r="D135" s="84" t="s">
        <v>19</v>
      </c>
      <c r="E135" s="84" t="s">
        <v>544</v>
      </c>
      <c r="F135" s="84"/>
      <c r="G135" s="85">
        <f>G136</f>
        <v>0</v>
      </c>
      <c r="H135" s="87">
        <v>0</v>
      </c>
      <c r="I135" s="87">
        <v>0</v>
      </c>
      <c r="J135" s="177"/>
    </row>
    <row r="136" spans="1:18" ht="39.75" hidden="1" customHeight="1">
      <c r="A136" s="82" t="s">
        <v>96</v>
      </c>
      <c r="B136" s="84" t="s">
        <v>51</v>
      </c>
      <c r="C136" s="84" t="s">
        <v>44</v>
      </c>
      <c r="D136" s="84" t="s">
        <v>19</v>
      </c>
      <c r="E136" s="84" t="s">
        <v>544</v>
      </c>
      <c r="F136" s="84" t="s">
        <v>349</v>
      </c>
      <c r="G136" s="85">
        <f>G137</f>
        <v>0</v>
      </c>
      <c r="H136" s="87">
        <v>0</v>
      </c>
      <c r="I136" s="87">
        <v>0</v>
      </c>
      <c r="J136" s="177"/>
    </row>
    <row r="137" spans="1:18" ht="86.25" hidden="1" customHeight="1">
      <c r="A137" s="133" t="s">
        <v>421</v>
      </c>
      <c r="B137" s="84" t="s">
        <v>51</v>
      </c>
      <c r="C137" s="84" t="s">
        <v>44</v>
      </c>
      <c r="D137" s="84" t="s">
        <v>19</v>
      </c>
      <c r="E137" s="84" t="s">
        <v>544</v>
      </c>
      <c r="F137" s="84" t="s">
        <v>420</v>
      </c>
      <c r="G137" s="85"/>
      <c r="H137" s="87">
        <v>0</v>
      </c>
      <c r="I137" s="87">
        <v>0</v>
      </c>
      <c r="J137" s="177"/>
    </row>
    <row r="138" spans="1:18" ht="48" hidden="1" customHeight="1">
      <c r="A138" s="142" t="s">
        <v>610</v>
      </c>
      <c r="B138" s="149">
        <v>757</v>
      </c>
      <c r="C138" s="84" t="s">
        <v>44</v>
      </c>
      <c r="D138" s="84" t="s">
        <v>19</v>
      </c>
      <c r="E138" s="84" t="s">
        <v>609</v>
      </c>
      <c r="F138" s="149"/>
      <c r="G138" s="87">
        <f t="shared" ref="G138:I139" si="29">G139</f>
        <v>0</v>
      </c>
      <c r="H138" s="87">
        <f t="shared" si="29"/>
        <v>0</v>
      </c>
      <c r="I138" s="87">
        <f t="shared" si="29"/>
        <v>0</v>
      </c>
      <c r="J138" s="177"/>
    </row>
    <row r="139" spans="1:18" ht="25.5" hidden="1">
      <c r="A139" s="82" t="s">
        <v>30</v>
      </c>
      <c r="B139" s="149">
        <v>757</v>
      </c>
      <c r="C139" s="84" t="s">
        <v>44</v>
      </c>
      <c r="D139" s="84" t="s">
        <v>19</v>
      </c>
      <c r="E139" s="84" t="s">
        <v>609</v>
      </c>
      <c r="F139" s="84" t="s">
        <v>31</v>
      </c>
      <c r="G139" s="95">
        <f t="shared" si="29"/>
        <v>0</v>
      </c>
      <c r="H139" s="95">
        <f t="shared" si="29"/>
        <v>0</v>
      </c>
      <c r="I139" s="95">
        <f t="shared" si="29"/>
        <v>0</v>
      </c>
    </row>
    <row r="140" spans="1:18" hidden="1">
      <c r="A140" s="82" t="s">
        <v>32</v>
      </c>
      <c r="B140" s="149">
        <v>757</v>
      </c>
      <c r="C140" s="84" t="s">
        <v>44</v>
      </c>
      <c r="D140" s="84" t="s">
        <v>19</v>
      </c>
      <c r="E140" s="84" t="s">
        <v>609</v>
      </c>
      <c r="F140" s="84" t="s">
        <v>33</v>
      </c>
      <c r="G140" s="95"/>
      <c r="H140" s="95"/>
      <c r="I140" s="95"/>
    </row>
    <row r="141" spans="1:18" s="172" customFormat="1" ht="42.75" hidden="1" customHeight="1">
      <c r="A141" s="142" t="s">
        <v>897</v>
      </c>
      <c r="B141" s="149">
        <v>757</v>
      </c>
      <c r="C141" s="84" t="s">
        <v>44</v>
      </c>
      <c r="D141" s="84" t="s">
        <v>19</v>
      </c>
      <c r="E141" s="84" t="s">
        <v>898</v>
      </c>
      <c r="F141" s="149"/>
      <c r="G141" s="87">
        <f t="shared" ref="G141:I142" si="30">G142</f>
        <v>0</v>
      </c>
      <c r="H141" s="87">
        <f t="shared" si="30"/>
        <v>0</v>
      </c>
      <c r="I141" s="87">
        <f t="shared" si="30"/>
        <v>0</v>
      </c>
      <c r="J141" s="177"/>
      <c r="K141" s="186"/>
      <c r="L141" s="186"/>
      <c r="M141" s="186"/>
      <c r="N141" s="186"/>
      <c r="O141" s="186"/>
      <c r="P141" s="186"/>
      <c r="Q141" s="186"/>
      <c r="R141" s="186"/>
    </row>
    <row r="142" spans="1:18" s="172" customFormat="1" ht="25.5" hidden="1">
      <c r="A142" s="82" t="s">
        <v>30</v>
      </c>
      <c r="B142" s="149">
        <v>757</v>
      </c>
      <c r="C142" s="84" t="s">
        <v>44</v>
      </c>
      <c r="D142" s="84" t="s">
        <v>19</v>
      </c>
      <c r="E142" s="84" t="s">
        <v>898</v>
      </c>
      <c r="F142" s="84" t="s">
        <v>31</v>
      </c>
      <c r="G142" s="95">
        <f t="shared" si="30"/>
        <v>0</v>
      </c>
      <c r="H142" s="95">
        <f t="shared" si="30"/>
        <v>0</v>
      </c>
      <c r="I142" s="95">
        <f t="shared" si="30"/>
        <v>0</v>
      </c>
      <c r="J142" s="179"/>
      <c r="K142" s="186"/>
      <c r="L142" s="186"/>
      <c r="M142" s="186"/>
      <c r="N142" s="186"/>
      <c r="O142" s="186"/>
      <c r="P142" s="186"/>
      <c r="Q142" s="186"/>
      <c r="R142" s="186"/>
    </row>
    <row r="143" spans="1:18" s="172" customFormat="1" hidden="1">
      <c r="A143" s="82" t="s">
        <v>32</v>
      </c>
      <c r="B143" s="149">
        <v>757</v>
      </c>
      <c r="C143" s="84" t="s">
        <v>44</v>
      </c>
      <c r="D143" s="84" t="s">
        <v>19</v>
      </c>
      <c r="E143" s="84" t="s">
        <v>898</v>
      </c>
      <c r="F143" s="84" t="s">
        <v>33</v>
      </c>
      <c r="G143" s="95">
        <f>320000-320000</f>
        <v>0</v>
      </c>
      <c r="H143" s="95">
        <v>0</v>
      </c>
      <c r="I143" s="95">
        <v>0</v>
      </c>
      <c r="J143" s="179"/>
      <c r="K143" s="186"/>
      <c r="L143" s="186"/>
      <c r="M143" s="186"/>
      <c r="N143" s="186"/>
      <c r="O143" s="186"/>
      <c r="P143" s="186"/>
      <c r="Q143" s="186"/>
      <c r="R143" s="186"/>
    </row>
    <row r="144" spans="1:18" ht="27.75" hidden="1" customHeight="1">
      <c r="A144" s="82"/>
      <c r="B144" s="149"/>
      <c r="C144" s="84"/>
      <c r="D144" s="84"/>
      <c r="E144" s="84"/>
      <c r="F144" s="84"/>
      <c r="G144" s="87"/>
      <c r="H144" s="87"/>
      <c r="I144" s="87"/>
      <c r="J144" s="177"/>
    </row>
    <row r="145" spans="1:13" ht="28.5" hidden="1" customHeight="1">
      <c r="A145" s="133"/>
      <c r="B145" s="149">
        <v>757</v>
      </c>
      <c r="C145" s="84" t="s">
        <v>44</v>
      </c>
      <c r="D145" s="84" t="s">
        <v>19</v>
      </c>
      <c r="E145" s="84" t="s">
        <v>522</v>
      </c>
      <c r="F145" s="84"/>
      <c r="G145" s="87">
        <f>G146</f>
        <v>0</v>
      </c>
      <c r="H145" s="87">
        <f t="shared" ref="H145:I146" si="31">H146</f>
        <v>0</v>
      </c>
      <c r="I145" s="87">
        <f t="shared" si="31"/>
        <v>0</v>
      </c>
      <c r="J145" s="177"/>
    </row>
    <row r="146" spans="1:13" ht="21" hidden="1" customHeight="1">
      <c r="A146" s="82" t="s">
        <v>148</v>
      </c>
      <c r="B146" s="149">
        <v>757</v>
      </c>
      <c r="C146" s="84" t="s">
        <v>44</v>
      </c>
      <c r="D146" s="84" t="s">
        <v>19</v>
      </c>
      <c r="E146" s="84" t="s">
        <v>522</v>
      </c>
      <c r="F146" s="84" t="s">
        <v>149</v>
      </c>
      <c r="G146" s="87">
        <f>G147</f>
        <v>0</v>
      </c>
      <c r="H146" s="87">
        <f t="shared" si="31"/>
        <v>0</v>
      </c>
      <c r="I146" s="87">
        <f t="shared" si="31"/>
        <v>0</v>
      </c>
      <c r="J146" s="177"/>
    </row>
    <row r="147" spans="1:13" ht="30.75" hidden="1" customHeight="1">
      <c r="A147" s="82" t="s">
        <v>150</v>
      </c>
      <c r="B147" s="149">
        <v>757</v>
      </c>
      <c r="C147" s="84" t="s">
        <v>44</v>
      </c>
      <c r="D147" s="84" t="s">
        <v>19</v>
      </c>
      <c r="E147" s="84" t="s">
        <v>522</v>
      </c>
      <c r="F147" s="84" t="s">
        <v>151</v>
      </c>
      <c r="G147" s="87"/>
      <c r="H147" s="87"/>
      <c r="I147" s="87"/>
      <c r="J147" s="177"/>
    </row>
    <row r="148" spans="1:13" ht="25.5">
      <c r="A148" s="82" t="s">
        <v>488</v>
      </c>
      <c r="B148" s="149">
        <v>757</v>
      </c>
      <c r="C148" s="84" t="s">
        <v>44</v>
      </c>
      <c r="D148" s="84" t="s">
        <v>19</v>
      </c>
      <c r="E148" s="84" t="s">
        <v>193</v>
      </c>
      <c r="F148" s="84"/>
      <c r="G148" s="85">
        <f>G152+G164+G167+G170+G205+G215+G218+G221+G223+G229+G155+G254+G251+G257+G193+G190+G196+G264+G199+G267+G208+G270+G273+G276+G279+G282++G285+G288+G291+G294+G300+G297+G321+G211+G260+G318+G204+G317+G324+G248++G303+G306+G309+G312</f>
        <v>151464594.75</v>
      </c>
      <c r="H148" s="85">
        <f t="shared" ref="H148:I148" si="32">H152+H164+H167+H170+H205+H215+H218+H221+H223+H229+H155+H254+H251+H257+H193+H190+H196+H264+H199+H267+H208+H270+H273+H276+H279+H282++H285+H288+H291+H294+H300+H297+H321+H211+H260+H318+H204+H317+H324+H248++H303+H306+H309</f>
        <v>136173113.02000001</v>
      </c>
      <c r="I148" s="85">
        <f t="shared" si="32"/>
        <v>129785908.05000001</v>
      </c>
      <c r="J148" s="178"/>
      <c r="M148" s="209"/>
    </row>
    <row r="149" spans="1:13" ht="40.5" hidden="1" customHeight="1">
      <c r="A149" s="82" t="s">
        <v>600</v>
      </c>
      <c r="B149" s="84" t="s">
        <v>51</v>
      </c>
      <c r="C149" s="84" t="s">
        <v>44</v>
      </c>
      <c r="D149" s="84" t="s">
        <v>19</v>
      </c>
      <c r="E149" s="84" t="s">
        <v>542</v>
      </c>
      <c r="F149" s="84"/>
      <c r="G149" s="85">
        <f>G150</f>
        <v>0</v>
      </c>
      <c r="H149" s="87">
        <v>0</v>
      </c>
      <c r="I149" s="87">
        <v>0</v>
      </c>
      <c r="J149" s="177"/>
    </row>
    <row r="150" spans="1:13" ht="30" hidden="1" customHeight="1">
      <c r="A150" s="82" t="s">
        <v>96</v>
      </c>
      <c r="B150" s="84" t="s">
        <v>51</v>
      </c>
      <c r="C150" s="84" t="s">
        <v>44</v>
      </c>
      <c r="D150" s="84" t="s">
        <v>19</v>
      </c>
      <c r="E150" s="84" t="s">
        <v>542</v>
      </c>
      <c r="F150" s="84" t="s">
        <v>349</v>
      </c>
      <c r="G150" s="85">
        <f>G151</f>
        <v>0</v>
      </c>
      <c r="H150" s="87">
        <v>0</v>
      </c>
      <c r="I150" s="87">
        <v>0</v>
      </c>
      <c r="J150" s="177"/>
    </row>
    <row r="151" spans="1:13" ht="91.5" hidden="1" customHeight="1">
      <c r="A151" s="133" t="s">
        <v>421</v>
      </c>
      <c r="B151" s="84" t="s">
        <v>51</v>
      </c>
      <c r="C151" s="84" t="s">
        <v>44</v>
      </c>
      <c r="D151" s="84" t="s">
        <v>19</v>
      </c>
      <c r="E151" s="84" t="s">
        <v>542</v>
      </c>
      <c r="F151" s="84" t="s">
        <v>420</v>
      </c>
      <c r="G151" s="85"/>
      <c r="H151" s="87">
        <v>0</v>
      </c>
      <c r="I151" s="87">
        <v>0</v>
      </c>
      <c r="J151" s="177"/>
    </row>
    <row r="152" spans="1:13" ht="59.25" customHeight="1">
      <c r="A152" s="133" t="s">
        <v>936</v>
      </c>
      <c r="B152" s="84" t="s">
        <v>51</v>
      </c>
      <c r="C152" s="84" t="s">
        <v>44</v>
      </c>
      <c r="D152" s="84" t="s">
        <v>19</v>
      </c>
      <c r="E152" s="84" t="s">
        <v>935</v>
      </c>
      <c r="F152" s="84"/>
      <c r="G152" s="85">
        <f>G153</f>
        <v>519291.86</v>
      </c>
      <c r="H152" s="85">
        <f t="shared" ref="H152:I152" si="33">H153</f>
        <v>519291.86</v>
      </c>
      <c r="I152" s="85">
        <f t="shared" si="33"/>
        <v>519291.86</v>
      </c>
      <c r="J152" s="177"/>
    </row>
    <row r="153" spans="1:13" ht="39.75" customHeight="1">
      <c r="A153" s="82" t="s">
        <v>30</v>
      </c>
      <c r="B153" s="84" t="s">
        <v>51</v>
      </c>
      <c r="C153" s="84" t="s">
        <v>44</v>
      </c>
      <c r="D153" s="84" t="s">
        <v>19</v>
      </c>
      <c r="E153" s="84" t="s">
        <v>935</v>
      </c>
      <c r="F153" s="84" t="s">
        <v>31</v>
      </c>
      <c r="G153" s="85">
        <f>G154</f>
        <v>519291.86</v>
      </c>
      <c r="H153" s="85">
        <f t="shared" ref="H153:I153" si="34">H154</f>
        <v>519291.86</v>
      </c>
      <c r="I153" s="85">
        <f t="shared" si="34"/>
        <v>519291.86</v>
      </c>
      <c r="J153" s="177"/>
    </row>
    <row r="154" spans="1:13" ht="19.5" customHeight="1">
      <c r="A154" s="133" t="s">
        <v>32</v>
      </c>
      <c r="B154" s="84" t="s">
        <v>51</v>
      </c>
      <c r="C154" s="84" t="s">
        <v>44</v>
      </c>
      <c r="D154" s="84" t="s">
        <v>19</v>
      </c>
      <c r="E154" s="84" t="s">
        <v>935</v>
      </c>
      <c r="F154" s="84" t="s">
        <v>33</v>
      </c>
      <c r="G154" s="85">
        <v>519291.86</v>
      </c>
      <c r="H154" s="87">
        <v>519291.86</v>
      </c>
      <c r="I154" s="87">
        <v>519291.86</v>
      </c>
      <c r="J154" s="177"/>
    </row>
    <row r="155" spans="1:13" ht="25.5" customHeight="1">
      <c r="A155" s="142" t="s">
        <v>934</v>
      </c>
      <c r="B155" s="149">
        <v>757</v>
      </c>
      <c r="C155" s="84" t="s">
        <v>44</v>
      </c>
      <c r="D155" s="84" t="s">
        <v>19</v>
      </c>
      <c r="E155" s="84" t="s">
        <v>933</v>
      </c>
      <c r="F155" s="149"/>
      <c r="G155" s="87">
        <f>G158+G161</f>
        <v>12000000</v>
      </c>
      <c r="H155" s="87">
        <f t="shared" ref="H155:I155" si="35">H156</f>
        <v>0</v>
      </c>
      <c r="I155" s="87">
        <f t="shared" si="35"/>
        <v>0</v>
      </c>
      <c r="J155" s="177"/>
    </row>
    <row r="156" spans="1:13" ht="25.5" hidden="1">
      <c r="A156" s="82" t="s">
        <v>30</v>
      </c>
      <c r="B156" s="149">
        <v>757</v>
      </c>
      <c r="C156" s="84" t="s">
        <v>44</v>
      </c>
      <c r="D156" s="84" t="s">
        <v>19</v>
      </c>
      <c r="E156" s="84" t="s">
        <v>933</v>
      </c>
      <c r="F156" s="84" t="s">
        <v>31</v>
      </c>
      <c r="G156" s="95">
        <f>G157</f>
        <v>0</v>
      </c>
      <c r="H156" s="95">
        <f>H157</f>
        <v>0</v>
      </c>
      <c r="I156" s="95">
        <f>I157</f>
        <v>0</v>
      </c>
    </row>
    <row r="157" spans="1:13" hidden="1">
      <c r="A157" s="82" t="s">
        <v>32</v>
      </c>
      <c r="B157" s="149">
        <v>757</v>
      </c>
      <c r="C157" s="84" t="s">
        <v>44</v>
      </c>
      <c r="D157" s="84" t="s">
        <v>19</v>
      </c>
      <c r="E157" s="84" t="s">
        <v>933</v>
      </c>
      <c r="F157" s="84" t="s">
        <v>33</v>
      </c>
      <c r="G157" s="95"/>
      <c r="H157" s="95"/>
      <c r="I157" s="95"/>
    </row>
    <row r="158" spans="1:13" ht="25.5">
      <c r="A158" s="82" t="s">
        <v>981</v>
      </c>
      <c r="B158" s="149">
        <v>757</v>
      </c>
      <c r="C158" s="84" t="s">
        <v>44</v>
      </c>
      <c r="D158" s="84" t="s">
        <v>19</v>
      </c>
      <c r="E158" s="84" t="s">
        <v>980</v>
      </c>
      <c r="F158" s="84"/>
      <c r="G158" s="95">
        <f>G159</f>
        <v>2000000</v>
      </c>
      <c r="H158" s="95">
        <f t="shared" ref="H158:I158" si="36">H159</f>
        <v>0</v>
      </c>
      <c r="I158" s="95">
        <f t="shared" si="36"/>
        <v>0</v>
      </c>
    </row>
    <row r="159" spans="1:13" ht="25.5">
      <c r="A159" s="82" t="s">
        <v>30</v>
      </c>
      <c r="B159" s="149">
        <v>757</v>
      </c>
      <c r="C159" s="84" t="s">
        <v>44</v>
      </c>
      <c r="D159" s="84" t="s">
        <v>19</v>
      </c>
      <c r="E159" s="84" t="s">
        <v>980</v>
      </c>
      <c r="F159" s="84" t="s">
        <v>31</v>
      </c>
      <c r="G159" s="95">
        <f>G160</f>
        <v>2000000</v>
      </c>
      <c r="H159" s="95">
        <f>H160</f>
        <v>0</v>
      </c>
      <c r="I159" s="95">
        <f>I160</f>
        <v>0</v>
      </c>
    </row>
    <row r="160" spans="1:13">
      <c r="A160" s="82" t="s">
        <v>32</v>
      </c>
      <c r="B160" s="149">
        <v>757</v>
      </c>
      <c r="C160" s="84" t="s">
        <v>44</v>
      </c>
      <c r="D160" s="84" t="s">
        <v>19</v>
      </c>
      <c r="E160" s="84" t="s">
        <v>980</v>
      </c>
      <c r="F160" s="84" t="s">
        <v>33</v>
      </c>
      <c r="G160" s="95">
        <v>2000000</v>
      </c>
      <c r="H160" s="95">
        <v>0</v>
      </c>
      <c r="I160" s="95">
        <v>0</v>
      </c>
    </row>
    <row r="161" spans="1:10" ht="25.5">
      <c r="A161" s="82" t="s">
        <v>983</v>
      </c>
      <c r="B161" s="149">
        <v>757</v>
      </c>
      <c r="C161" s="84" t="s">
        <v>44</v>
      </c>
      <c r="D161" s="84" t="s">
        <v>19</v>
      </c>
      <c r="E161" s="84" t="s">
        <v>982</v>
      </c>
      <c r="F161" s="84"/>
      <c r="G161" s="95">
        <f>G162</f>
        <v>10000000</v>
      </c>
      <c r="H161" s="95">
        <f t="shared" ref="H161:I161" si="37">H162</f>
        <v>0</v>
      </c>
      <c r="I161" s="95">
        <f t="shared" si="37"/>
        <v>0</v>
      </c>
    </row>
    <row r="162" spans="1:10" ht="25.5">
      <c r="A162" s="82" t="s">
        <v>30</v>
      </c>
      <c r="B162" s="149">
        <v>757</v>
      </c>
      <c r="C162" s="84" t="s">
        <v>44</v>
      </c>
      <c r="D162" s="84" t="s">
        <v>19</v>
      </c>
      <c r="E162" s="84" t="s">
        <v>982</v>
      </c>
      <c r="F162" s="84" t="s">
        <v>31</v>
      </c>
      <c r="G162" s="95">
        <f>G163</f>
        <v>10000000</v>
      </c>
      <c r="H162" s="95">
        <f>H163</f>
        <v>0</v>
      </c>
      <c r="I162" s="95">
        <f>I163</f>
        <v>0</v>
      </c>
    </row>
    <row r="163" spans="1:10">
      <c r="A163" s="82" t="s">
        <v>32</v>
      </c>
      <c r="B163" s="149">
        <v>757</v>
      </c>
      <c r="C163" s="84" t="s">
        <v>44</v>
      </c>
      <c r="D163" s="84" t="s">
        <v>19</v>
      </c>
      <c r="E163" s="84" t="s">
        <v>982</v>
      </c>
      <c r="F163" s="84" t="s">
        <v>33</v>
      </c>
      <c r="G163" s="95">
        <v>10000000</v>
      </c>
      <c r="H163" s="95">
        <v>0</v>
      </c>
      <c r="I163" s="95">
        <v>0</v>
      </c>
    </row>
    <row r="164" spans="1:10" ht="92.25" customHeight="1">
      <c r="A164" s="142" t="s">
        <v>373</v>
      </c>
      <c r="B164" s="149">
        <v>757</v>
      </c>
      <c r="C164" s="84" t="s">
        <v>44</v>
      </c>
      <c r="D164" s="84" t="s">
        <v>19</v>
      </c>
      <c r="E164" s="84" t="s">
        <v>666</v>
      </c>
      <c r="F164" s="149"/>
      <c r="G164" s="87">
        <f t="shared" ref="G164:I165" si="38">G165</f>
        <v>1180646</v>
      </c>
      <c r="H164" s="87">
        <f t="shared" si="38"/>
        <v>1157334.79</v>
      </c>
      <c r="I164" s="87">
        <f t="shared" si="38"/>
        <v>1157334.79</v>
      </c>
      <c r="J164" s="177"/>
    </row>
    <row r="165" spans="1:10" ht="25.5">
      <c r="A165" s="82" t="s">
        <v>30</v>
      </c>
      <c r="B165" s="149">
        <v>757</v>
      </c>
      <c r="C165" s="84" t="s">
        <v>44</v>
      </c>
      <c r="D165" s="84" t="s">
        <v>19</v>
      </c>
      <c r="E165" s="84" t="s">
        <v>666</v>
      </c>
      <c r="F165" s="84" t="s">
        <v>31</v>
      </c>
      <c r="G165" s="95">
        <f t="shared" si="38"/>
        <v>1180646</v>
      </c>
      <c r="H165" s="95">
        <f t="shared" si="38"/>
        <v>1157334.79</v>
      </c>
      <c r="I165" s="95">
        <f t="shared" si="38"/>
        <v>1157334.79</v>
      </c>
    </row>
    <row r="166" spans="1:10">
      <c r="A166" s="82" t="s">
        <v>32</v>
      </c>
      <c r="B166" s="149">
        <v>757</v>
      </c>
      <c r="C166" s="84" t="s">
        <v>44</v>
      </c>
      <c r="D166" s="84" t="s">
        <v>19</v>
      </c>
      <c r="E166" s="84" t="s">
        <v>666</v>
      </c>
      <c r="F166" s="84" t="s">
        <v>33</v>
      </c>
      <c r="G166" s="95">
        <f>1156984.27+23661.73</f>
        <v>1180646</v>
      </c>
      <c r="H166" s="95">
        <v>1157334.79</v>
      </c>
      <c r="I166" s="95">
        <v>1157334.79</v>
      </c>
    </row>
    <row r="167" spans="1:10">
      <c r="A167" s="143" t="s">
        <v>47</v>
      </c>
      <c r="B167" s="149">
        <v>757</v>
      </c>
      <c r="C167" s="84" t="s">
        <v>44</v>
      </c>
      <c r="D167" s="84" t="s">
        <v>19</v>
      </c>
      <c r="E167" s="84" t="s">
        <v>199</v>
      </c>
      <c r="F167" s="149"/>
      <c r="G167" s="85">
        <f>G168</f>
        <v>64954166.460000001</v>
      </c>
      <c r="H167" s="85">
        <f t="shared" ref="H167:I167" si="39">H168</f>
        <v>70368222.38000001</v>
      </c>
      <c r="I167" s="85">
        <f t="shared" si="39"/>
        <v>70616774.010000005</v>
      </c>
      <c r="J167" s="178"/>
    </row>
    <row r="168" spans="1:10" ht="37.5" customHeight="1">
      <c r="A168" s="82" t="s">
        <v>30</v>
      </c>
      <c r="B168" s="149">
        <v>757</v>
      </c>
      <c r="C168" s="84" t="s">
        <v>44</v>
      </c>
      <c r="D168" s="84" t="s">
        <v>19</v>
      </c>
      <c r="E168" s="84" t="s">
        <v>199</v>
      </c>
      <c r="F168" s="84" t="s">
        <v>31</v>
      </c>
      <c r="G168" s="85">
        <f>G169</f>
        <v>64954166.460000001</v>
      </c>
      <c r="H168" s="85">
        <f>H169</f>
        <v>70368222.38000001</v>
      </c>
      <c r="I168" s="85">
        <f>I169</f>
        <v>70616774.010000005</v>
      </c>
      <c r="J168" s="178"/>
    </row>
    <row r="169" spans="1:10">
      <c r="A169" s="82" t="s">
        <v>32</v>
      </c>
      <c r="B169" s="149">
        <v>757</v>
      </c>
      <c r="C169" s="84" t="s">
        <v>44</v>
      </c>
      <c r="D169" s="84" t="s">
        <v>19</v>
      </c>
      <c r="E169" s="84" t="s">
        <v>199</v>
      </c>
      <c r="F169" s="84" t="s">
        <v>33</v>
      </c>
      <c r="G169" s="85">
        <v>64954166.460000001</v>
      </c>
      <c r="H169" s="85">
        <f>75078619.59-4264121.21-446276</f>
        <v>70368222.38000001</v>
      </c>
      <c r="I169" s="85">
        <f>79327171.22-8264121.21-446276</f>
        <v>70616774.010000005</v>
      </c>
      <c r="J169" s="178"/>
    </row>
    <row r="170" spans="1:10" ht="82.5" hidden="1" customHeight="1">
      <c r="A170" s="82" t="s">
        <v>576</v>
      </c>
      <c r="B170" s="149">
        <v>757</v>
      </c>
      <c r="C170" s="84" t="s">
        <v>44</v>
      </c>
      <c r="D170" s="84" t="s">
        <v>19</v>
      </c>
      <c r="E170" s="84" t="s">
        <v>575</v>
      </c>
      <c r="F170" s="84"/>
      <c r="G170" s="85">
        <f>G171+G176+G179+G182</f>
        <v>0</v>
      </c>
      <c r="H170" s="85">
        <f t="shared" ref="H170:I170" si="40">H171</f>
        <v>0</v>
      </c>
      <c r="I170" s="85">
        <f t="shared" si="40"/>
        <v>0</v>
      </c>
      <c r="J170" s="178"/>
    </row>
    <row r="171" spans="1:10" ht="91.5" hidden="1" customHeight="1">
      <c r="A171" s="143" t="s">
        <v>574</v>
      </c>
      <c r="B171" s="149">
        <v>757</v>
      </c>
      <c r="C171" s="84" t="s">
        <v>44</v>
      </c>
      <c r="D171" s="84" t="s">
        <v>19</v>
      </c>
      <c r="E171" s="84" t="s">
        <v>573</v>
      </c>
      <c r="F171" s="149"/>
      <c r="G171" s="85">
        <f>G172+G174</f>
        <v>0</v>
      </c>
      <c r="H171" s="87">
        <v>0</v>
      </c>
      <c r="I171" s="87">
        <v>0</v>
      </c>
      <c r="J171" s="177"/>
    </row>
    <row r="172" spans="1:10" ht="25.5" hidden="1" customHeight="1">
      <c r="A172" s="82" t="s">
        <v>30</v>
      </c>
      <c r="B172" s="149">
        <v>757</v>
      </c>
      <c r="C172" s="84" t="s">
        <v>44</v>
      </c>
      <c r="D172" s="84" t="s">
        <v>19</v>
      </c>
      <c r="E172" s="84" t="s">
        <v>573</v>
      </c>
      <c r="F172" s="84" t="s">
        <v>31</v>
      </c>
      <c r="G172" s="85">
        <f>G173</f>
        <v>0</v>
      </c>
      <c r="H172" s="85">
        <f>H173</f>
        <v>0</v>
      </c>
      <c r="I172" s="85">
        <f>I173</f>
        <v>0</v>
      </c>
      <c r="J172" s="178"/>
    </row>
    <row r="173" spans="1:10" ht="12.75" hidden="1" customHeight="1">
      <c r="A173" s="82" t="s">
        <v>32</v>
      </c>
      <c r="B173" s="149">
        <v>757</v>
      </c>
      <c r="C173" s="84" t="s">
        <v>44</v>
      </c>
      <c r="D173" s="84" t="s">
        <v>19</v>
      </c>
      <c r="E173" s="84" t="s">
        <v>573</v>
      </c>
      <c r="F173" s="84" t="s">
        <v>33</v>
      </c>
      <c r="G173" s="85"/>
      <c r="H173" s="87">
        <v>0</v>
      </c>
      <c r="I173" s="87">
        <v>0</v>
      </c>
      <c r="J173" s="177"/>
    </row>
    <row r="174" spans="1:10" ht="12.75" hidden="1" customHeight="1">
      <c r="A174" s="82" t="s">
        <v>156</v>
      </c>
      <c r="B174" s="149">
        <v>757</v>
      </c>
      <c r="C174" s="84" t="s">
        <v>44</v>
      </c>
      <c r="D174" s="84" t="s">
        <v>19</v>
      </c>
      <c r="E174" s="84" t="s">
        <v>573</v>
      </c>
      <c r="F174" s="84" t="s">
        <v>157</v>
      </c>
      <c r="G174" s="85">
        <f>G175</f>
        <v>0</v>
      </c>
      <c r="H174" s="87">
        <v>0</v>
      </c>
      <c r="I174" s="87">
        <v>0</v>
      </c>
      <c r="J174" s="177"/>
    </row>
    <row r="175" spans="1:10" ht="12.75" hidden="1" customHeight="1">
      <c r="A175" s="82" t="s">
        <v>170</v>
      </c>
      <c r="B175" s="149">
        <v>757</v>
      </c>
      <c r="C175" s="84" t="s">
        <v>44</v>
      </c>
      <c r="D175" s="84" t="s">
        <v>19</v>
      </c>
      <c r="E175" s="84" t="s">
        <v>573</v>
      </c>
      <c r="F175" s="84" t="s">
        <v>171</v>
      </c>
      <c r="G175" s="85"/>
      <c r="H175" s="87">
        <v>0</v>
      </c>
      <c r="I175" s="87">
        <v>0</v>
      </c>
      <c r="J175" s="177"/>
    </row>
    <row r="176" spans="1:10" ht="77.25" hidden="1" customHeight="1">
      <c r="A176" s="143" t="s">
        <v>578</v>
      </c>
      <c r="B176" s="149">
        <v>757</v>
      </c>
      <c r="C176" s="84" t="s">
        <v>44</v>
      </c>
      <c r="D176" s="84" t="s">
        <v>19</v>
      </c>
      <c r="E176" s="84" t="s">
        <v>577</v>
      </c>
      <c r="F176" s="149"/>
      <c r="G176" s="85">
        <f>G177</f>
        <v>0</v>
      </c>
      <c r="H176" s="87">
        <v>0</v>
      </c>
      <c r="I176" s="87">
        <v>0</v>
      </c>
      <c r="J176" s="177"/>
    </row>
    <row r="177" spans="1:10" ht="25.5" hidden="1" customHeight="1">
      <c r="A177" s="82" t="s">
        <v>30</v>
      </c>
      <c r="B177" s="149">
        <v>757</v>
      </c>
      <c r="C177" s="84" t="s">
        <v>44</v>
      </c>
      <c r="D177" s="84" t="s">
        <v>19</v>
      </c>
      <c r="E177" s="84" t="s">
        <v>577</v>
      </c>
      <c r="F177" s="84" t="s">
        <v>31</v>
      </c>
      <c r="G177" s="85">
        <f>G178</f>
        <v>0</v>
      </c>
      <c r="H177" s="85">
        <f>H178</f>
        <v>0</v>
      </c>
      <c r="I177" s="85">
        <f>I178</f>
        <v>0</v>
      </c>
      <c r="J177" s="178"/>
    </row>
    <row r="178" spans="1:10" ht="12.75" hidden="1" customHeight="1">
      <c r="A178" s="82" t="s">
        <v>32</v>
      </c>
      <c r="B178" s="149">
        <v>757</v>
      </c>
      <c r="C178" s="84" t="s">
        <v>44</v>
      </c>
      <c r="D178" s="84" t="s">
        <v>19</v>
      </c>
      <c r="E178" s="84" t="s">
        <v>577</v>
      </c>
      <c r="F178" s="84" t="s">
        <v>33</v>
      </c>
      <c r="G178" s="85"/>
      <c r="H178" s="87">
        <v>0</v>
      </c>
      <c r="I178" s="87">
        <v>0</v>
      </c>
      <c r="J178" s="177"/>
    </row>
    <row r="179" spans="1:10" ht="73.5" hidden="1" customHeight="1">
      <c r="A179" s="143" t="s">
        <v>579</v>
      </c>
      <c r="B179" s="149">
        <v>757</v>
      </c>
      <c r="C179" s="84" t="s">
        <v>44</v>
      </c>
      <c r="D179" s="84" t="s">
        <v>19</v>
      </c>
      <c r="E179" s="84" t="s">
        <v>580</v>
      </c>
      <c r="F179" s="149"/>
      <c r="G179" s="85">
        <f>G180</f>
        <v>0</v>
      </c>
      <c r="H179" s="87">
        <v>0</v>
      </c>
      <c r="I179" s="87">
        <v>0</v>
      </c>
      <c r="J179" s="177"/>
    </row>
    <row r="180" spans="1:10" ht="25.5" hidden="1" customHeight="1">
      <c r="A180" s="82" t="s">
        <v>30</v>
      </c>
      <c r="B180" s="149">
        <v>757</v>
      </c>
      <c r="C180" s="84" t="s">
        <v>44</v>
      </c>
      <c r="D180" s="84" t="s">
        <v>19</v>
      </c>
      <c r="E180" s="84" t="s">
        <v>580</v>
      </c>
      <c r="F180" s="84" t="s">
        <v>31</v>
      </c>
      <c r="G180" s="85">
        <f>G181</f>
        <v>0</v>
      </c>
      <c r="H180" s="85">
        <f>H181</f>
        <v>0</v>
      </c>
      <c r="I180" s="85">
        <f>I181</f>
        <v>0</v>
      </c>
      <c r="J180" s="178"/>
    </row>
    <row r="181" spans="1:10" ht="12.75" hidden="1" customHeight="1">
      <c r="A181" s="82" t="s">
        <v>32</v>
      </c>
      <c r="B181" s="149">
        <v>757</v>
      </c>
      <c r="C181" s="84" t="s">
        <v>44</v>
      </c>
      <c r="D181" s="84" t="s">
        <v>19</v>
      </c>
      <c r="E181" s="84" t="s">
        <v>580</v>
      </c>
      <c r="F181" s="84" t="s">
        <v>33</v>
      </c>
      <c r="G181" s="85"/>
      <c r="H181" s="87">
        <v>0</v>
      </c>
      <c r="I181" s="87">
        <v>0</v>
      </c>
      <c r="J181" s="177"/>
    </row>
    <row r="182" spans="1:10" ht="68.25" hidden="1" customHeight="1">
      <c r="A182" s="143" t="s">
        <v>582</v>
      </c>
      <c r="B182" s="149">
        <v>757</v>
      </c>
      <c r="C182" s="84" t="s">
        <v>44</v>
      </c>
      <c r="D182" s="84" t="s">
        <v>19</v>
      </c>
      <c r="E182" s="84" t="s">
        <v>581</v>
      </c>
      <c r="F182" s="149"/>
      <c r="G182" s="85">
        <f>G188+G183</f>
        <v>0</v>
      </c>
      <c r="H182" s="85">
        <f t="shared" ref="H182:I182" si="41">H188+H183</f>
        <v>0</v>
      </c>
      <c r="I182" s="85">
        <f t="shared" si="41"/>
        <v>0</v>
      </c>
      <c r="J182" s="178"/>
    </row>
    <row r="183" spans="1:10" ht="19.5" hidden="1" customHeight="1">
      <c r="A183" s="276" t="s">
        <v>156</v>
      </c>
      <c r="B183" s="149">
        <v>757</v>
      </c>
      <c r="C183" s="84" t="s">
        <v>44</v>
      </c>
      <c r="D183" s="84" t="s">
        <v>19</v>
      </c>
      <c r="E183" s="84" t="s">
        <v>581</v>
      </c>
      <c r="F183" s="149">
        <v>500</v>
      </c>
      <c r="G183" s="85">
        <f>G185</f>
        <v>0</v>
      </c>
      <c r="H183" s="87"/>
      <c r="I183" s="87"/>
      <c r="J183" s="177"/>
    </row>
    <row r="184" spans="1:10" ht="49.5" hidden="1" customHeight="1">
      <c r="A184" s="82"/>
      <c r="B184" s="149"/>
      <c r="C184" s="84"/>
      <c r="D184" s="84"/>
      <c r="E184" s="84"/>
      <c r="F184" s="84"/>
      <c r="G184" s="85"/>
      <c r="H184" s="85"/>
      <c r="I184" s="85"/>
      <c r="J184" s="178"/>
    </row>
    <row r="185" spans="1:10" ht="21.75" hidden="1" customHeight="1">
      <c r="A185" s="276" t="s">
        <v>178</v>
      </c>
      <c r="B185" s="149">
        <v>757</v>
      </c>
      <c r="C185" s="84" t="s">
        <v>44</v>
      </c>
      <c r="D185" s="84" t="s">
        <v>19</v>
      </c>
      <c r="E185" s="84" t="s">
        <v>581</v>
      </c>
      <c r="F185" s="149">
        <v>520</v>
      </c>
      <c r="G185" s="85"/>
      <c r="H185" s="87"/>
      <c r="I185" s="87"/>
      <c r="J185" s="177"/>
    </row>
    <row r="186" spans="1:10" ht="49.5" hidden="1" customHeight="1">
      <c r="A186" s="82"/>
      <c r="B186" s="149"/>
      <c r="C186" s="84"/>
      <c r="D186" s="84"/>
      <c r="E186" s="84"/>
      <c r="F186" s="84"/>
      <c r="G186" s="85"/>
      <c r="H186" s="85"/>
      <c r="I186" s="85"/>
      <c r="J186" s="178"/>
    </row>
    <row r="187" spans="1:10" ht="12.75" hidden="1" customHeight="1">
      <c r="A187" s="82"/>
      <c r="B187" s="149"/>
      <c r="C187" s="84"/>
      <c r="D187" s="84"/>
      <c r="E187" s="84"/>
      <c r="F187" s="84"/>
      <c r="G187" s="85"/>
      <c r="H187" s="85"/>
      <c r="I187" s="85"/>
      <c r="J187" s="178"/>
    </row>
    <row r="188" spans="1:10" ht="12.75" hidden="1" customHeight="1">
      <c r="A188" s="82" t="s">
        <v>63</v>
      </c>
      <c r="B188" s="149">
        <v>757</v>
      </c>
      <c r="C188" s="84" t="s">
        <v>44</v>
      </c>
      <c r="D188" s="84" t="s">
        <v>19</v>
      </c>
      <c r="E188" s="84" t="s">
        <v>581</v>
      </c>
      <c r="F188" s="84" t="s">
        <v>64</v>
      </c>
      <c r="G188" s="85">
        <f>G189</f>
        <v>0</v>
      </c>
      <c r="H188" s="85">
        <f>H189</f>
        <v>0</v>
      </c>
      <c r="I188" s="85">
        <f>I189</f>
        <v>0</v>
      </c>
      <c r="J188" s="178"/>
    </row>
    <row r="189" spans="1:10" ht="12.75" hidden="1" customHeight="1">
      <c r="A189" s="82" t="s">
        <v>180</v>
      </c>
      <c r="B189" s="149">
        <v>757</v>
      </c>
      <c r="C189" s="84" t="s">
        <v>44</v>
      </c>
      <c r="D189" s="84" t="s">
        <v>19</v>
      </c>
      <c r="E189" s="84" t="s">
        <v>581</v>
      </c>
      <c r="F189" s="84" t="s">
        <v>181</v>
      </c>
      <c r="G189" s="85"/>
      <c r="H189" s="87">
        <v>0</v>
      </c>
      <c r="I189" s="87">
        <v>0</v>
      </c>
      <c r="J189" s="177"/>
    </row>
    <row r="190" spans="1:10" ht="31.5" customHeight="1">
      <c r="A190" s="143" t="s">
        <v>821</v>
      </c>
      <c r="B190" s="149">
        <v>757</v>
      </c>
      <c r="C190" s="84" t="s">
        <v>44</v>
      </c>
      <c r="D190" s="84" t="s">
        <v>19</v>
      </c>
      <c r="E190" s="84" t="s">
        <v>751</v>
      </c>
      <c r="F190" s="149"/>
      <c r="G190" s="85">
        <f>G191</f>
        <v>200000</v>
      </c>
      <c r="H190" s="85">
        <f t="shared" ref="H190:I190" si="42">H191</f>
        <v>0</v>
      </c>
      <c r="I190" s="85">
        <f t="shared" si="42"/>
        <v>0</v>
      </c>
      <c r="J190" s="178"/>
    </row>
    <row r="191" spans="1:10" ht="38.25" customHeight="1">
      <c r="A191" s="82" t="s">
        <v>30</v>
      </c>
      <c r="B191" s="149">
        <v>757</v>
      </c>
      <c r="C191" s="84" t="s">
        <v>44</v>
      </c>
      <c r="D191" s="84" t="s">
        <v>19</v>
      </c>
      <c r="E191" s="84" t="s">
        <v>751</v>
      </c>
      <c r="F191" s="84" t="s">
        <v>31</v>
      </c>
      <c r="G191" s="85">
        <f>G192</f>
        <v>200000</v>
      </c>
      <c r="H191" s="85">
        <f>H192</f>
        <v>0</v>
      </c>
      <c r="I191" s="85">
        <f>I192</f>
        <v>0</v>
      </c>
      <c r="J191" s="178"/>
    </row>
    <row r="192" spans="1:10">
      <c r="A192" s="82" t="s">
        <v>32</v>
      </c>
      <c r="B192" s="149">
        <v>757</v>
      </c>
      <c r="C192" s="84" t="s">
        <v>44</v>
      </c>
      <c r="D192" s="84" t="s">
        <v>19</v>
      </c>
      <c r="E192" s="84" t="s">
        <v>751</v>
      </c>
      <c r="F192" s="84" t="s">
        <v>33</v>
      </c>
      <c r="G192" s="85">
        <v>200000</v>
      </c>
      <c r="H192" s="85"/>
      <c r="I192" s="85"/>
      <c r="J192" s="178"/>
    </row>
    <row r="193" spans="1:18" ht="31.5" hidden="1" customHeight="1">
      <c r="A193" s="143" t="s">
        <v>756</v>
      </c>
      <c r="B193" s="149">
        <v>757</v>
      </c>
      <c r="C193" s="84" t="s">
        <v>44</v>
      </c>
      <c r="D193" s="84" t="s">
        <v>19</v>
      </c>
      <c r="E193" s="84" t="s">
        <v>750</v>
      </c>
      <c r="F193" s="149"/>
      <c r="G193" s="85">
        <f>G194</f>
        <v>0</v>
      </c>
      <c r="H193" s="85">
        <f t="shared" ref="H193:I193" si="43">H194</f>
        <v>0</v>
      </c>
      <c r="I193" s="85">
        <f t="shared" si="43"/>
        <v>0</v>
      </c>
      <c r="J193" s="178"/>
    </row>
    <row r="194" spans="1:18" ht="49.5" hidden="1" customHeight="1">
      <c r="A194" s="82" t="s">
        <v>30</v>
      </c>
      <c r="B194" s="149">
        <v>757</v>
      </c>
      <c r="C194" s="84" t="s">
        <v>44</v>
      </c>
      <c r="D194" s="84" t="s">
        <v>19</v>
      </c>
      <c r="E194" s="84" t="s">
        <v>750</v>
      </c>
      <c r="F194" s="84" t="s">
        <v>31</v>
      </c>
      <c r="G194" s="85">
        <f>G195</f>
        <v>0</v>
      </c>
      <c r="H194" s="85">
        <f>H195</f>
        <v>0</v>
      </c>
      <c r="I194" s="85">
        <f>I195</f>
        <v>0</v>
      </c>
      <c r="J194" s="178"/>
    </row>
    <row r="195" spans="1:18" hidden="1">
      <c r="A195" s="82" t="s">
        <v>32</v>
      </c>
      <c r="B195" s="149">
        <v>757</v>
      </c>
      <c r="C195" s="84" t="s">
        <v>44</v>
      </c>
      <c r="D195" s="84" t="s">
        <v>19</v>
      </c>
      <c r="E195" s="84" t="s">
        <v>750</v>
      </c>
      <c r="F195" s="84" t="s">
        <v>33</v>
      </c>
      <c r="G195" s="85"/>
      <c r="H195" s="85"/>
      <c r="I195" s="85"/>
      <c r="J195" s="178"/>
    </row>
    <row r="196" spans="1:18" ht="38.25" customHeight="1">
      <c r="A196" s="143" t="s">
        <v>755</v>
      </c>
      <c r="B196" s="149">
        <v>757</v>
      </c>
      <c r="C196" s="84" t="s">
        <v>44</v>
      </c>
      <c r="D196" s="84" t="s">
        <v>19</v>
      </c>
      <c r="E196" s="84" t="s">
        <v>754</v>
      </c>
      <c r="F196" s="149"/>
      <c r="G196" s="85">
        <f>G197</f>
        <v>0</v>
      </c>
      <c r="H196" s="85">
        <f t="shared" ref="H196:I196" si="44">H197</f>
        <v>150000</v>
      </c>
      <c r="I196" s="85">
        <f t="shared" si="44"/>
        <v>0</v>
      </c>
      <c r="J196" s="178"/>
    </row>
    <row r="197" spans="1:18" ht="37.5" customHeight="1">
      <c r="A197" s="82" t="s">
        <v>30</v>
      </c>
      <c r="B197" s="149">
        <v>757</v>
      </c>
      <c r="C197" s="84" t="s">
        <v>44</v>
      </c>
      <c r="D197" s="84" t="s">
        <v>19</v>
      </c>
      <c r="E197" s="84" t="s">
        <v>754</v>
      </c>
      <c r="F197" s="84" t="s">
        <v>31</v>
      </c>
      <c r="G197" s="85">
        <f>G198</f>
        <v>0</v>
      </c>
      <c r="H197" s="85">
        <f>H198</f>
        <v>150000</v>
      </c>
      <c r="I197" s="85">
        <f>I198</f>
        <v>0</v>
      </c>
      <c r="J197" s="178"/>
    </row>
    <row r="198" spans="1:18">
      <c r="A198" s="82" t="s">
        <v>32</v>
      </c>
      <c r="B198" s="149">
        <v>757</v>
      </c>
      <c r="C198" s="84" t="s">
        <v>44</v>
      </c>
      <c r="D198" s="84" t="s">
        <v>19</v>
      </c>
      <c r="E198" s="84" t="s">
        <v>754</v>
      </c>
      <c r="F198" s="84" t="s">
        <v>33</v>
      </c>
      <c r="G198" s="85">
        <v>0</v>
      </c>
      <c r="H198" s="85">
        <v>150000</v>
      </c>
      <c r="I198" s="85">
        <v>0</v>
      </c>
      <c r="J198" s="178"/>
    </row>
    <row r="199" spans="1:18" ht="54.75" hidden="1" customHeight="1">
      <c r="A199" s="143" t="s">
        <v>787</v>
      </c>
      <c r="B199" s="149">
        <v>757</v>
      </c>
      <c r="C199" s="84" t="s">
        <v>44</v>
      </c>
      <c r="D199" s="84" t="s">
        <v>19</v>
      </c>
      <c r="E199" s="84" t="s">
        <v>786</v>
      </c>
      <c r="F199" s="149"/>
      <c r="G199" s="85">
        <f>G200</f>
        <v>0</v>
      </c>
      <c r="H199" s="85">
        <f t="shared" ref="H199:I199" si="45">H200</f>
        <v>0</v>
      </c>
      <c r="I199" s="85">
        <f t="shared" si="45"/>
        <v>0</v>
      </c>
      <c r="J199" s="178"/>
    </row>
    <row r="200" spans="1:18" ht="49.5" hidden="1" customHeight="1">
      <c r="A200" s="82" t="s">
        <v>30</v>
      </c>
      <c r="B200" s="149">
        <v>757</v>
      </c>
      <c r="C200" s="84" t="s">
        <v>44</v>
      </c>
      <c r="D200" s="84" t="s">
        <v>19</v>
      </c>
      <c r="E200" s="84" t="s">
        <v>786</v>
      </c>
      <c r="F200" s="84" t="s">
        <v>31</v>
      </c>
      <c r="G200" s="85">
        <f>G201</f>
        <v>0</v>
      </c>
      <c r="H200" s="85">
        <f>H201</f>
        <v>0</v>
      </c>
      <c r="I200" s="85">
        <f>I201</f>
        <v>0</v>
      </c>
      <c r="J200" s="178"/>
    </row>
    <row r="201" spans="1:18" hidden="1">
      <c r="A201" s="82" t="s">
        <v>32</v>
      </c>
      <c r="B201" s="149">
        <v>757</v>
      </c>
      <c r="C201" s="84" t="s">
        <v>44</v>
      </c>
      <c r="D201" s="84" t="s">
        <v>19</v>
      </c>
      <c r="E201" s="84" t="s">
        <v>786</v>
      </c>
      <c r="F201" s="84" t="s">
        <v>33</v>
      </c>
      <c r="G201" s="85"/>
      <c r="H201" s="85"/>
      <c r="I201" s="85"/>
      <c r="J201" s="178"/>
    </row>
    <row r="202" spans="1:18" ht="21" customHeight="1">
      <c r="A202" s="135" t="s">
        <v>979</v>
      </c>
      <c r="B202" s="149">
        <v>757</v>
      </c>
      <c r="C202" s="84" t="s">
        <v>44</v>
      </c>
      <c r="D202" s="84" t="s">
        <v>19</v>
      </c>
      <c r="E202" s="84" t="s">
        <v>978</v>
      </c>
      <c r="F202" s="149"/>
      <c r="G202" s="85">
        <f>G203</f>
        <v>227000</v>
      </c>
      <c r="H202" s="85">
        <f t="shared" ref="H202:I202" si="46">H203</f>
        <v>0</v>
      </c>
      <c r="I202" s="85">
        <f t="shared" si="46"/>
        <v>0</v>
      </c>
      <c r="J202" s="178"/>
    </row>
    <row r="203" spans="1:18" ht="33" customHeight="1">
      <c r="A203" s="82" t="s">
        <v>30</v>
      </c>
      <c r="B203" s="149">
        <v>757</v>
      </c>
      <c r="C203" s="84" t="s">
        <v>44</v>
      </c>
      <c r="D203" s="84" t="s">
        <v>19</v>
      </c>
      <c r="E203" s="84" t="s">
        <v>978</v>
      </c>
      <c r="F203" s="84" t="s">
        <v>31</v>
      </c>
      <c r="G203" s="85">
        <f>G204</f>
        <v>227000</v>
      </c>
      <c r="H203" s="85">
        <f>H204</f>
        <v>0</v>
      </c>
      <c r="I203" s="85">
        <f>I204</f>
        <v>0</v>
      </c>
      <c r="J203" s="178"/>
    </row>
    <row r="204" spans="1:18">
      <c r="A204" s="82" t="s">
        <v>32</v>
      </c>
      <c r="B204" s="149">
        <v>757</v>
      </c>
      <c r="C204" s="84" t="s">
        <v>44</v>
      </c>
      <c r="D204" s="84" t="s">
        <v>19</v>
      </c>
      <c r="E204" s="84" t="s">
        <v>978</v>
      </c>
      <c r="F204" s="84" t="s">
        <v>33</v>
      </c>
      <c r="G204" s="85">
        <f>77000+100000+50000</f>
        <v>227000</v>
      </c>
      <c r="H204" s="85">
        <v>0</v>
      </c>
      <c r="I204" s="85">
        <v>0</v>
      </c>
      <c r="J204" s="178"/>
    </row>
    <row r="205" spans="1:18" s="3" customFormat="1" ht="15" customHeight="1">
      <c r="A205" s="140" t="s">
        <v>48</v>
      </c>
      <c r="B205" s="149">
        <v>757</v>
      </c>
      <c r="C205" s="84" t="s">
        <v>44</v>
      </c>
      <c r="D205" s="84" t="s">
        <v>19</v>
      </c>
      <c r="E205" s="84" t="s">
        <v>200</v>
      </c>
      <c r="F205" s="84"/>
      <c r="G205" s="95">
        <f>G206</f>
        <v>7927812.8600000003</v>
      </c>
      <c r="H205" s="95">
        <f t="shared" ref="G205:I213" si="47">H206</f>
        <v>9186412.2799999993</v>
      </c>
      <c r="I205" s="95">
        <f t="shared" si="47"/>
        <v>9777575.25</v>
      </c>
      <c r="J205" s="179"/>
      <c r="K205" s="199"/>
      <c r="L205" s="199"/>
      <c r="M205" s="199"/>
      <c r="N205" s="199"/>
      <c r="O205" s="199"/>
      <c r="P205" s="199"/>
      <c r="Q205" s="199"/>
      <c r="R205" s="199"/>
    </row>
    <row r="206" spans="1:18" ht="25.5">
      <c r="A206" s="82" t="s">
        <v>30</v>
      </c>
      <c r="B206" s="149">
        <v>757</v>
      </c>
      <c r="C206" s="84" t="s">
        <v>44</v>
      </c>
      <c r="D206" s="84" t="s">
        <v>19</v>
      </c>
      <c r="E206" s="84" t="s">
        <v>200</v>
      </c>
      <c r="F206" s="84" t="s">
        <v>31</v>
      </c>
      <c r="G206" s="85">
        <f t="shared" si="47"/>
        <v>7927812.8600000003</v>
      </c>
      <c r="H206" s="85">
        <f t="shared" si="47"/>
        <v>9186412.2799999993</v>
      </c>
      <c r="I206" s="85">
        <f t="shared" si="47"/>
        <v>9777575.25</v>
      </c>
      <c r="J206" s="178"/>
    </row>
    <row r="207" spans="1:18">
      <c r="A207" s="82" t="s">
        <v>32</v>
      </c>
      <c r="B207" s="149">
        <v>757</v>
      </c>
      <c r="C207" s="84" t="s">
        <v>44</v>
      </c>
      <c r="D207" s="84" t="s">
        <v>19</v>
      </c>
      <c r="E207" s="84" t="s">
        <v>200</v>
      </c>
      <c r="F207" s="84" t="s">
        <v>33</v>
      </c>
      <c r="G207" s="85">
        <v>7927812.8600000003</v>
      </c>
      <c r="H207" s="85">
        <v>9186412.2799999993</v>
      </c>
      <c r="I207" s="85">
        <v>9777575.25</v>
      </c>
      <c r="J207" s="178"/>
    </row>
    <row r="208" spans="1:18" s="3" customFormat="1" ht="49.5" hidden="1" customHeight="1">
      <c r="A208" s="140" t="s">
        <v>891</v>
      </c>
      <c r="B208" s="149">
        <v>757</v>
      </c>
      <c r="C208" s="84" t="s">
        <v>44</v>
      </c>
      <c r="D208" s="84" t="s">
        <v>19</v>
      </c>
      <c r="E208" s="84" t="s">
        <v>890</v>
      </c>
      <c r="F208" s="84"/>
      <c r="G208" s="95">
        <f>G209</f>
        <v>0</v>
      </c>
      <c r="H208" s="95">
        <f t="shared" si="47"/>
        <v>0</v>
      </c>
      <c r="I208" s="95">
        <f t="shared" si="47"/>
        <v>0</v>
      </c>
      <c r="J208" s="179"/>
      <c r="K208" s="199"/>
      <c r="L208" s="199"/>
      <c r="M208" s="199"/>
      <c r="N208" s="199"/>
      <c r="O208" s="199"/>
      <c r="P208" s="199"/>
      <c r="Q208" s="199"/>
      <c r="R208" s="199"/>
    </row>
    <row r="209" spans="1:18" ht="25.5" hidden="1">
      <c r="A209" s="82" t="s">
        <v>30</v>
      </c>
      <c r="B209" s="149">
        <v>757</v>
      </c>
      <c r="C209" s="84" t="s">
        <v>44</v>
      </c>
      <c r="D209" s="84" t="s">
        <v>19</v>
      </c>
      <c r="E209" s="84" t="s">
        <v>890</v>
      </c>
      <c r="F209" s="84" t="s">
        <v>31</v>
      </c>
      <c r="G209" s="85">
        <f t="shared" si="47"/>
        <v>0</v>
      </c>
      <c r="H209" s="85">
        <f t="shared" si="47"/>
        <v>0</v>
      </c>
      <c r="I209" s="85">
        <f t="shared" si="47"/>
        <v>0</v>
      </c>
      <c r="J209" s="178"/>
    </row>
    <row r="210" spans="1:18" hidden="1">
      <c r="A210" s="82" t="s">
        <v>32</v>
      </c>
      <c r="B210" s="149">
        <v>757</v>
      </c>
      <c r="C210" s="84" t="s">
        <v>44</v>
      </c>
      <c r="D210" s="84" t="s">
        <v>19</v>
      </c>
      <c r="E210" s="84" t="s">
        <v>890</v>
      </c>
      <c r="F210" s="84" t="s">
        <v>33</v>
      </c>
      <c r="G210" s="85">
        <v>0</v>
      </c>
      <c r="H210" s="85"/>
      <c r="I210" s="85">
        <v>0</v>
      </c>
      <c r="J210" s="178"/>
    </row>
    <row r="211" spans="1:18" ht="27.75" customHeight="1">
      <c r="A211" s="82" t="s">
        <v>929</v>
      </c>
      <c r="B211" s="149">
        <v>757</v>
      </c>
      <c r="C211" s="84" t="s">
        <v>44</v>
      </c>
      <c r="D211" s="84" t="s">
        <v>19</v>
      </c>
      <c r="E211" s="84" t="s">
        <v>930</v>
      </c>
      <c r="F211" s="84"/>
      <c r="G211" s="85">
        <f>G212</f>
        <v>4682558</v>
      </c>
      <c r="H211" s="85">
        <f t="shared" ref="H211:I211" si="48">H212</f>
        <v>0</v>
      </c>
      <c r="I211" s="85">
        <f t="shared" si="48"/>
        <v>0</v>
      </c>
      <c r="J211" s="178"/>
    </row>
    <row r="212" spans="1:18" s="3" customFormat="1" ht="27.75" customHeight="1">
      <c r="A212" s="140" t="s">
        <v>892</v>
      </c>
      <c r="B212" s="149">
        <v>757</v>
      </c>
      <c r="C212" s="84" t="s">
        <v>44</v>
      </c>
      <c r="D212" s="84" t="s">
        <v>19</v>
      </c>
      <c r="E212" s="84" t="s">
        <v>928</v>
      </c>
      <c r="F212" s="84"/>
      <c r="G212" s="95">
        <f>G213</f>
        <v>4682558</v>
      </c>
      <c r="H212" s="95">
        <f t="shared" si="47"/>
        <v>0</v>
      </c>
      <c r="I212" s="95">
        <f t="shared" si="47"/>
        <v>0</v>
      </c>
      <c r="J212" s="179"/>
      <c r="K212" s="199"/>
      <c r="L212" s="199"/>
      <c r="M212" s="199"/>
      <c r="N212" s="199"/>
      <c r="O212" s="199"/>
      <c r="P212" s="199"/>
      <c r="Q212" s="199"/>
      <c r="R212" s="199"/>
    </row>
    <row r="213" spans="1:18" ht="25.5">
      <c r="A213" s="82" t="s">
        <v>30</v>
      </c>
      <c r="B213" s="149">
        <v>757</v>
      </c>
      <c r="C213" s="84" t="s">
        <v>44</v>
      </c>
      <c r="D213" s="84" t="s">
        <v>19</v>
      </c>
      <c r="E213" s="84" t="s">
        <v>928</v>
      </c>
      <c r="F213" s="84" t="s">
        <v>31</v>
      </c>
      <c r="G213" s="85">
        <f t="shared" si="47"/>
        <v>4682558</v>
      </c>
      <c r="H213" s="85">
        <f t="shared" si="47"/>
        <v>0</v>
      </c>
      <c r="I213" s="85">
        <f t="shared" si="47"/>
        <v>0</v>
      </c>
      <c r="J213" s="178"/>
    </row>
    <row r="214" spans="1:18">
      <c r="A214" s="82" t="s">
        <v>32</v>
      </c>
      <c r="B214" s="149">
        <v>757</v>
      </c>
      <c r="C214" s="84" t="s">
        <v>44</v>
      </c>
      <c r="D214" s="84" t="s">
        <v>19</v>
      </c>
      <c r="E214" s="84" t="s">
        <v>928</v>
      </c>
      <c r="F214" s="84" t="s">
        <v>33</v>
      </c>
      <c r="G214" s="85">
        <v>4682558</v>
      </c>
      <c r="H214" s="85">
        <v>0</v>
      </c>
      <c r="I214" s="85">
        <v>0</v>
      </c>
      <c r="J214" s="178"/>
    </row>
    <row r="215" spans="1:18" s="3" customFormat="1" ht="15" customHeight="1">
      <c r="A215" s="141" t="s">
        <v>49</v>
      </c>
      <c r="B215" s="149">
        <v>757</v>
      </c>
      <c r="C215" s="84" t="s">
        <v>44</v>
      </c>
      <c r="D215" s="84" t="s">
        <v>19</v>
      </c>
      <c r="E215" s="84" t="s">
        <v>201</v>
      </c>
      <c r="F215" s="84"/>
      <c r="G215" s="95">
        <f t="shared" ref="G215:I216" si="49">G216</f>
        <v>40105640.340000004</v>
      </c>
      <c r="H215" s="95">
        <f t="shared" si="49"/>
        <v>45400329.390000001</v>
      </c>
      <c r="I215" s="95">
        <f t="shared" si="49"/>
        <v>45387746.920000002</v>
      </c>
      <c r="J215" s="179"/>
      <c r="K215" s="199"/>
      <c r="L215" s="199"/>
      <c r="M215" s="199"/>
      <c r="N215" s="199"/>
      <c r="O215" s="199"/>
      <c r="P215" s="199"/>
      <c r="Q215" s="199"/>
      <c r="R215" s="199"/>
    </row>
    <row r="216" spans="1:18" ht="25.5">
      <c r="A216" s="82" t="s">
        <v>30</v>
      </c>
      <c r="B216" s="149">
        <v>757</v>
      </c>
      <c r="C216" s="84" t="s">
        <v>44</v>
      </c>
      <c r="D216" s="84" t="s">
        <v>19</v>
      </c>
      <c r="E216" s="84" t="s">
        <v>201</v>
      </c>
      <c r="F216" s="84" t="s">
        <v>31</v>
      </c>
      <c r="G216" s="85">
        <f>G217</f>
        <v>40105640.340000004</v>
      </c>
      <c r="H216" s="85">
        <f t="shared" si="49"/>
        <v>45400329.390000001</v>
      </c>
      <c r="I216" s="85">
        <f t="shared" si="49"/>
        <v>45387746.920000002</v>
      </c>
      <c r="J216" s="178"/>
    </row>
    <row r="217" spans="1:18">
      <c r="A217" s="82" t="s">
        <v>32</v>
      </c>
      <c r="B217" s="149">
        <v>757</v>
      </c>
      <c r="C217" s="84" t="s">
        <v>44</v>
      </c>
      <c r="D217" s="84" t="s">
        <v>19</v>
      </c>
      <c r="E217" s="84" t="s">
        <v>201</v>
      </c>
      <c r="F217" s="84" t="s">
        <v>33</v>
      </c>
      <c r="G217" s="85">
        <v>40105640.340000004</v>
      </c>
      <c r="H217" s="85">
        <f>49664450.6-4264121.21</f>
        <v>45400329.390000001</v>
      </c>
      <c r="I217" s="85">
        <f>52651868.13-7264121.21</f>
        <v>45387746.920000002</v>
      </c>
      <c r="J217" s="178"/>
    </row>
    <row r="218" spans="1:18" ht="36" hidden="1" customHeight="1">
      <c r="A218" s="82" t="s">
        <v>545</v>
      </c>
      <c r="B218" s="149">
        <v>757</v>
      </c>
      <c r="C218" s="84" t="s">
        <v>44</v>
      </c>
      <c r="D218" s="84" t="s">
        <v>19</v>
      </c>
      <c r="E218" s="84" t="s">
        <v>546</v>
      </c>
      <c r="F218" s="84"/>
      <c r="G218" s="87">
        <f>G220</f>
        <v>0</v>
      </c>
      <c r="H218" s="87">
        <v>0</v>
      </c>
      <c r="I218" s="87">
        <v>0</v>
      </c>
      <c r="J218" s="177"/>
    </row>
    <row r="219" spans="1:18" ht="36" hidden="1" customHeight="1">
      <c r="A219" s="82" t="s">
        <v>30</v>
      </c>
      <c r="B219" s="149">
        <v>757</v>
      </c>
      <c r="C219" s="84" t="s">
        <v>44</v>
      </c>
      <c r="D219" s="84" t="s">
        <v>19</v>
      </c>
      <c r="E219" s="84" t="s">
        <v>546</v>
      </c>
      <c r="F219" s="84" t="s">
        <v>31</v>
      </c>
      <c r="G219" s="87">
        <f>G220</f>
        <v>0</v>
      </c>
      <c r="H219" s="87">
        <v>0</v>
      </c>
      <c r="I219" s="87">
        <v>0</v>
      </c>
      <c r="J219" s="177"/>
    </row>
    <row r="220" spans="1:18" ht="19.5" hidden="1" customHeight="1">
      <c r="A220" s="82" t="s">
        <v>32</v>
      </c>
      <c r="B220" s="149">
        <v>757</v>
      </c>
      <c r="C220" s="84" t="s">
        <v>44</v>
      </c>
      <c r="D220" s="84" t="s">
        <v>19</v>
      </c>
      <c r="E220" s="84" t="s">
        <v>546</v>
      </c>
      <c r="F220" s="84" t="s">
        <v>33</v>
      </c>
      <c r="G220" s="87"/>
      <c r="H220" s="87">
        <v>0</v>
      </c>
      <c r="I220" s="87">
        <v>0</v>
      </c>
      <c r="J220" s="177"/>
    </row>
    <row r="221" spans="1:18" ht="76.5" hidden="1">
      <c r="A221" s="82" t="s">
        <v>396</v>
      </c>
      <c r="B221" s="149">
        <v>757</v>
      </c>
      <c r="C221" s="84" t="s">
        <v>44</v>
      </c>
      <c r="D221" s="84" t="s">
        <v>19</v>
      </c>
      <c r="E221" s="84" t="s">
        <v>395</v>
      </c>
      <c r="F221" s="84"/>
      <c r="G221" s="85">
        <f>G222</f>
        <v>0</v>
      </c>
      <c r="H221" s="85">
        <f>H222</f>
        <v>0</v>
      </c>
      <c r="I221" s="85">
        <f>I222</f>
        <v>0</v>
      </c>
      <c r="J221" s="178"/>
    </row>
    <row r="222" spans="1:18" hidden="1">
      <c r="A222" s="82" t="s">
        <v>32</v>
      </c>
      <c r="B222" s="149">
        <v>757</v>
      </c>
      <c r="C222" s="84" t="s">
        <v>44</v>
      </c>
      <c r="D222" s="84" t="s">
        <v>19</v>
      </c>
      <c r="E222" s="84" t="s">
        <v>395</v>
      </c>
      <c r="F222" s="84" t="s">
        <v>33</v>
      </c>
      <c r="G222" s="85"/>
      <c r="H222" s="85"/>
      <c r="I222" s="85"/>
      <c r="J222" s="178"/>
    </row>
    <row r="223" spans="1:18" ht="19.5" hidden="1" customHeight="1">
      <c r="A223" s="82" t="s">
        <v>394</v>
      </c>
      <c r="B223" s="149">
        <v>757</v>
      </c>
      <c r="C223" s="84" t="s">
        <v>44</v>
      </c>
      <c r="D223" s="84" t="s">
        <v>19</v>
      </c>
      <c r="E223" s="84" t="s">
        <v>126</v>
      </c>
      <c r="F223" s="84"/>
      <c r="G223" s="87">
        <f>G224</f>
        <v>0</v>
      </c>
      <c r="H223" s="87">
        <v>0</v>
      </c>
      <c r="I223" s="87">
        <v>0</v>
      </c>
      <c r="J223" s="177"/>
    </row>
    <row r="224" spans="1:18" ht="39.75" hidden="1" customHeight="1">
      <c r="A224" s="82" t="s">
        <v>30</v>
      </c>
      <c r="B224" s="149">
        <v>757</v>
      </c>
      <c r="C224" s="84" t="s">
        <v>44</v>
      </c>
      <c r="D224" s="84" t="s">
        <v>19</v>
      </c>
      <c r="E224" s="84" t="s">
        <v>126</v>
      </c>
      <c r="F224" s="84" t="s">
        <v>31</v>
      </c>
      <c r="G224" s="87">
        <f>G225</f>
        <v>0</v>
      </c>
      <c r="H224" s="87">
        <v>0</v>
      </c>
      <c r="I224" s="87">
        <v>0</v>
      </c>
      <c r="J224" s="177"/>
    </row>
    <row r="225" spans="1:10" ht="20.25" hidden="1" customHeight="1">
      <c r="A225" s="82" t="s">
        <v>32</v>
      </c>
      <c r="B225" s="149">
        <v>757</v>
      </c>
      <c r="C225" s="84" t="s">
        <v>44</v>
      </c>
      <c r="D225" s="84" t="s">
        <v>19</v>
      </c>
      <c r="E225" s="84" t="s">
        <v>126</v>
      </c>
      <c r="F225" s="84" t="s">
        <v>33</v>
      </c>
      <c r="G225" s="87"/>
      <c r="H225" s="87">
        <v>0</v>
      </c>
      <c r="I225" s="87">
        <v>0</v>
      </c>
      <c r="J225" s="177"/>
    </row>
    <row r="226" spans="1:10" ht="39" hidden="1" customHeight="1">
      <c r="A226" s="82" t="s">
        <v>184</v>
      </c>
      <c r="B226" s="149">
        <v>757</v>
      </c>
      <c r="C226" s="84" t="s">
        <v>44</v>
      </c>
      <c r="D226" s="84" t="s">
        <v>19</v>
      </c>
      <c r="E226" s="84" t="s">
        <v>183</v>
      </c>
      <c r="F226" s="84"/>
      <c r="G226" s="87">
        <f>G227</f>
        <v>0</v>
      </c>
      <c r="H226" s="87">
        <f t="shared" ref="H226:I226" si="50">H227</f>
        <v>0</v>
      </c>
      <c r="I226" s="87">
        <f t="shared" si="50"/>
        <v>0</v>
      </c>
      <c r="J226" s="177"/>
    </row>
    <row r="227" spans="1:10" ht="39.75" hidden="1" customHeight="1">
      <c r="A227" s="82" t="s">
        <v>30</v>
      </c>
      <c r="B227" s="149">
        <v>757</v>
      </c>
      <c r="C227" s="84" t="s">
        <v>44</v>
      </c>
      <c r="D227" s="84" t="s">
        <v>19</v>
      </c>
      <c r="E227" s="84" t="s">
        <v>183</v>
      </c>
      <c r="F227" s="84" t="s">
        <v>31</v>
      </c>
      <c r="G227" s="87">
        <f>G228</f>
        <v>0</v>
      </c>
      <c r="H227" s="87">
        <f t="shared" ref="H227:I227" si="51">H228</f>
        <v>0</v>
      </c>
      <c r="I227" s="87">
        <f t="shared" si="51"/>
        <v>0</v>
      </c>
      <c r="J227" s="177"/>
    </row>
    <row r="228" spans="1:10" ht="20.25" hidden="1" customHeight="1">
      <c r="A228" s="82" t="s">
        <v>32</v>
      </c>
      <c r="B228" s="149">
        <v>757</v>
      </c>
      <c r="C228" s="84" t="s">
        <v>44</v>
      </c>
      <c r="D228" s="84" t="s">
        <v>19</v>
      </c>
      <c r="E228" s="84" t="s">
        <v>183</v>
      </c>
      <c r="F228" s="84" t="s">
        <v>33</v>
      </c>
      <c r="G228" s="87">
        <v>0</v>
      </c>
      <c r="H228" s="87"/>
      <c r="I228" s="87">
        <v>0</v>
      </c>
      <c r="J228" s="177"/>
    </row>
    <row r="229" spans="1:10" ht="37.5" customHeight="1">
      <c r="A229" s="82" t="s">
        <v>436</v>
      </c>
      <c r="B229" s="149">
        <v>757</v>
      </c>
      <c r="C229" s="84" t="s">
        <v>44</v>
      </c>
      <c r="D229" s="84" t="s">
        <v>19</v>
      </c>
      <c r="E229" s="84" t="s">
        <v>408</v>
      </c>
      <c r="F229" s="84"/>
      <c r="G229" s="85">
        <f t="shared" ref="G229:I230" si="52">G230</f>
        <v>128051.19999999998</v>
      </c>
      <c r="H229" s="85">
        <f t="shared" si="52"/>
        <v>0</v>
      </c>
      <c r="I229" s="85">
        <f t="shared" si="52"/>
        <v>0</v>
      </c>
      <c r="J229" s="178"/>
    </row>
    <row r="230" spans="1:10" ht="25.5">
      <c r="A230" s="82" t="s">
        <v>30</v>
      </c>
      <c r="B230" s="149">
        <v>757</v>
      </c>
      <c r="C230" s="84" t="s">
        <v>44</v>
      </c>
      <c r="D230" s="84" t="s">
        <v>19</v>
      </c>
      <c r="E230" s="84" t="s">
        <v>408</v>
      </c>
      <c r="F230" s="84" t="s">
        <v>31</v>
      </c>
      <c r="G230" s="85">
        <f t="shared" si="52"/>
        <v>128051.19999999998</v>
      </c>
      <c r="H230" s="85">
        <f t="shared" si="52"/>
        <v>0</v>
      </c>
      <c r="I230" s="85">
        <f t="shared" si="52"/>
        <v>0</v>
      </c>
      <c r="J230" s="178"/>
    </row>
    <row r="231" spans="1:10">
      <c r="A231" s="82" t="s">
        <v>32</v>
      </c>
      <c r="B231" s="149">
        <v>757</v>
      </c>
      <c r="C231" s="84" t="s">
        <v>44</v>
      </c>
      <c r="D231" s="84" t="s">
        <v>19</v>
      </c>
      <c r="E231" s="84" t="s">
        <v>408</v>
      </c>
      <c r="F231" s="84" t="s">
        <v>33</v>
      </c>
      <c r="G231" s="85">
        <f>209082.74-100239.22+19207.68</f>
        <v>128051.19999999998</v>
      </c>
      <c r="H231" s="85">
        <f>100239.22-100239.22</f>
        <v>0</v>
      </c>
      <c r="I231" s="85">
        <f>100239.22-100239.22</f>
        <v>0</v>
      </c>
      <c r="J231" s="178"/>
    </row>
    <row r="232" spans="1:10" hidden="1">
      <c r="A232" s="82" t="s">
        <v>428</v>
      </c>
      <c r="B232" s="149">
        <v>757</v>
      </c>
      <c r="C232" s="84" t="s">
        <v>44</v>
      </c>
      <c r="D232" s="84" t="s">
        <v>19</v>
      </c>
      <c r="E232" s="84" t="s">
        <v>427</v>
      </c>
      <c r="F232" s="84"/>
      <c r="G232" s="85"/>
      <c r="H232" s="85">
        <f>H233</f>
        <v>0</v>
      </c>
      <c r="I232" s="85">
        <f>I233</f>
        <v>0</v>
      </c>
      <c r="J232" s="178"/>
    </row>
    <row r="233" spans="1:10" hidden="1">
      <c r="A233" s="82" t="s">
        <v>273</v>
      </c>
      <c r="B233" s="149">
        <v>757</v>
      </c>
      <c r="C233" s="84" t="s">
        <v>44</v>
      </c>
      <c r="D233" s="84" t="s">
        <v>19</v>
      </c>
      <c r="E233" s="84" t="s">
        <v>571</v>
      </c>
      <c r="F233" s="84"/>
      <c r="G233" s="85">
        <f>G234</f>
        <v>0</v>
      </c>
      <c r="H233" s="85"/>
      <c r="I233" s="85"/>
      <c r="J233" s="178"/>
    </row>
    <row r="234" spans="1:10" hidden="1">
      <c r="A234" s="82" t="s">
        <v>273</v>
      </c>
      <c r="B234" s="149">
        <v>757</v>
      </c>
      <c r="C234" s="84" t="s">
        <v>44</v>
      </c>
      <c r="D234" s="84" t="s">
        <v>19</v>
      </c>
      <c r="E234" s="84" t="s">
        <v>572</v>
      </c>
      <c r="F234" s="84"/>
      <c r="G234" s="85">
        <f t="shared" ref="G234:I235" si="53">G235</f>
        <v>0</v>
      </c>
      <c r="H234" s="85">
        <f t="shared" si="53"/>
        <v>0</v>
      </c>
      <c r="I234" s="85">
        <f t="shared" si="53"/>
        <v>0</v>
      </c>
      <c r="J234" s="178"/>
    </row>
    <row r="235" spans="1:10" ht="25.5" hidden="1">
      <c r="A235" s="82" t="s">
        <v>30</v>
      </c>
      <c r="B235" s="149">
        <v>757</v>
      </c>
      <c r="C235" s="84" t="s">
        <v>44</v>
      </c>
      <c r="D235" s="84" t="s">
        <v>19</v>
      </c>
      <c r="E235" s="84" t="s">
        <v>572</v>
      </c>
      <c r="F235" s="84" t="s">
        <v>31</v>
      </c>
      <c r="G235" s="85">
        <f t="shared" si="53"/>
        <v>0</v>
      </c>
      <c r="H235" s="85">
        <f t="shared" si="53"/>
        <v>0</v>
      </c>
      <c r="I235" s="85">
        <f t="shared" si="53"/>
        <v>0</v>
      </c>
      <c r="J235" s="178"/>
    </row>
    <row r="236" spans="1:10" hidden="1">
      <c r="A236" s="82" t="s">
        <v>32</v>
      </c>
      <c r="B236" s="149">
        <v>757</v>
      </c>
      <c r="C236" s="84" t="s">
        <v>44</v>
      </c>
      <c r="D236" s="84" t="s">
        <v>19</v>
      </c>
      <c r="E236" s="84" t="s">
        <v>572</v>
      </c>
      <c r="F236" s="84" t="s">
        <v>33</v>
      </c>
      <c r="G236" s="85"/>
      <c r="H236" s="85"/>
      <c r="I236" s="85"/>
      <c r="J236" s="178"/>
    </row>
    <row r="237" spans="1:10" ht="25.5" hidden="1">
      <c r="A237" s="82" t="s">
        <v>169</v>
      </c>
      <c r="B237" s="149">
        <v>757</v>
      </c>
      <c r="C237" s="84" t="s">
        <v>44</v>
      </c>
      <c r="D237" s="84" t="s">
        <v>19</v>
      </c>
      <c r="E237" s="84" t="s">
        <v>410</v>
      </c>
      <c r="F237" s="84"/>
      <c r="G237" s="85">
        <f>G239</f>
        <v>0</v>
      </c>
      <c r="H237" s="85">
        <f>H239</f>
        <v>0</v>
      </c>
      <c r="I237" s="85">
        <f>I239</f>
        <v>0</v>
      </c>
      <c r="J237" s="178"/>
    </row>
    <row r="238" spans="1:10" ht="25.5" hidden="1">
      <c r="A238" s="82" t="s">
        <v>169</v>
      </c>
      <c r="B238" s="149">
        <v>757</v>
      </c>
      <c r="C238" s="84" t="s">
        <v>44</v>
      </c>
      <c r="D238" s="84" t="s">
        <v>19</v>
      </c>
      <c r="E238" s="84" t="s">
        <v>409</v>
      </c>
      <c r="F238" s="84"/>
      <c r="G238" s="85">
        <f t="shared" ref="G238:I239" si="54">G239</f>
        <v>0</v>
      </c>
      <c r="H238" s="85">
        <f t="shared" si="54"/>
        <v>0</v>
      </c>
      <c r="I238" s="85">
        <f t="shared" si="54"/>
        <v>0</v>
      </c>
      <c r="J238" s="178"/>
    </row>
    <row r="239" spans="1:10" ht="25.5" hidden="1">
      <c r="A239" s="82" t="s">
        <v>30</v>
      </c>
      <c r="B239" s="149">
        <v>757</v>
      </c>
      <c r="C239" s="84" t="s">
        <v>44</v>
      </c>
      <c r="D239" s="84" t="s">
        <v>19</v>
      </c>
      <c r="E239" s="84" t="s">
        <v>409</v>
      </c>
      <c r="F239" s="84" t="s">
        <v>31</v>
      </c>
      <c r="G239" s="85">
        <f t="shared" si="54"/>
        <v>0</v>
      </c>
      <c r="H239" s="85">
        <f t="shared" si="54"/>
        <v>0</v>
      </c>
      <c r="I239" s="85">
        <f t="shared" si="54"/>
        <v>0</v>
      </c>
      <c r="J239" s="178"/>
    </row>
    <row r="240" spans="1:10" hidden="1">
      <c r="A240" s="82" t="s">
        <v>32</v>
      </c>
      <c r="B240" s="149">
        <v>757</v>
      </c>
      <c r="C240" s="84" t="s">
        <v>44</v>
      </c>
      <c r="D240" s="84" t="s">
        <v>19</v>
      </c>
      <c r="E240" s="84" t="s">
        <v>409</v>
      </c>
      <c r="F240" s="84" t="s">
        <v>33</v>
      </c>
      <c r="G240" s="85"/>
      <c r="H240" s="85"/>
      <c r="I240" s="85"/>
      <c r="J240" s="178"/>
    </row>
    <row r="241" spans="1:18" s="18" customFormat="1" ht="25.5" hidden="1">
      <c r="A241" s="82" t="s">
        <v>475</v>
      </c>
      <c r="B241" s="149">
        <v>757</v>
      </c>
      <c r="C241" s="84" t="s">
        <v>44</v>
      </c>
      <c r="D241" s="84" t="s">
        <v>19</v>
      </c>
      <c r="E241" s="84" t="s">
        <v>263</v>
      </c>
      <c r="F241" s="84"/>
      <c r="G241" s="87">
        <f>G242</f>
        <v>0</v>
      </c>
      <c r="H241" s="87">
        <f t="shared" ref="H241:I241" si="55">H242</f>
        <v>0</v>
      </c>
      <c r="I241" s="87">
        <f t="shared" si="55"/>
        <v>0</v>
      </c>
      <c r="J241" s="177"/>
      <c r="K241" s="200"/>
      <c r="L241" s="200"/>
      <c r="M241" s="200"/>
      <c r="N241" s="200"/>
      <c r="O241" s="200"/>
      <c r="P241" s="200"/>
      <c r="Q241" s="200"/>
      <c r="R241" s="200"/>
    </row>
    <row r="242" spans="1:18" s="18" customFormat="1" ht="61.5" hidden="1" customHeight="1">
      <c r="A242" s="82" t="s">
        <v>597</v>
      </c>
      <c r="B242" s="149">
        <v>757</v>
      </c>
      <c r="C242" s="84" t="s">
        <v>44</v>
      </c>
      <c r="D242" s="84" t="s">
        <v>19</v>
      </c>
      <c r="E242" s="84" t="s">
        <v>596</v>
      </c>
      <c r="F242" s="84"/>
      <c r="G242" s="87">
        <f>G243</f>
        <v>0</v>
      </c>
      <c r="H242" s="87">
        <f t="shared" ref="H242:I243" si="56">H243</f>
        <v>0</v>
      </c>
      <c r="I242" s="87">
        <f t="shared" si="56"/>
        <v>0</v>
      </c>
      <c r="J242" s="177"/>
      <c r="K242" s="200"/>
      <c r="L242" s="200"/>
      <c r="M242" s="200"/>
      <c r="N242" s="200"/>
      <c r="O242" s="200"/>
      <c r="P242" s="200"/>
      <c r="Q242" s="200"/>
      <c r="R242" s="200"/>
    </row>
    <row r="243" spans="1:18" s="18" customFormat="1" ht="25.5" hidden="1">
      <c r="A243" s="82" t="s">
        <v>30</v>
      </c>
      <c r="B243" s="149">
        <v>757</v>
      </c>
      <c r="C243" s="84" t="s">
        <v>44</v>
      </c>
      <c r="D243" s="84" t="s">
        <v>19</v>
      </c>
      <c r="E243" s="84" t="s">
        <v>596</v>
      </c>
      <c r="F243" s="84" t="s">
        <v>31</v>
      </c>
      <c r="G243" s="87">
        <f>G244</f>
        <v>0</v>
      </c>
      <c r="H243" s="87">
        <f t="shared" si="56"/>
        <v>0</v>
      </c>
      <c r="I243" s="87">
        <f t="shared" si="56"/>
        <v>0</v>
      </c>
      <c r="J243" s="177"/>
      <c r="K243" s="200"/>
      <c r="L243" s="200"/>
      <c r="M243" s="200"/>
      <c r="N243" s="200"/>
      <c r="O243" s="200"/>
      <c r="P243" s="200"/>
      <c r="Q243" s="200"/>
      <c r="R243" s="200"/>
    </row>
    <row r="244" spans="1:18" s="18" customFormat="1" hidden="1">
      <c r="A244" s="82" t="s">
        <v>32</v>
      </c>
      <c r="B244" s="149">
        <v>757</v>
      </c>
      <c r="C244" s="84" t="s">
        <v>44</v>
      </c>
      <c r="D244" s="84" t="s">
        <v>19</v>
      </c>
      <c r="E244" s="84" t="s">
        <v>596</v>
      </c>
      <c r="F244" s="84" t="s">
        <v>33</v>
      </c>
      <c r="G244" s="87"/>
      <c r="H244" s="87">
        <v>0</v>
      </c>
      <c r="I244" s="87">
        <v>0</v>
      </c>
      <c r="J244" s="177"/>
      <c r="K244" s="200"/>
      <c r="L244" s="200"/>
      <c r="M244" s="200"/>
      <c r="N244" s="200"/>
      <c r="O244" s="200"/>
      <c r="P244" s="200"/>
      <c r="Q244" s="200"/>
      <c r="R244" s="200"/>
    </row>
    <row r="245" spans="1:18" ht="41.25" hidden="1" customHeight="1">
      <c r="A245" s="82" t="s">
        <v>524</v>
      </c>
      <c r="B245" s="149">
        <v>757</v>
      </c>
      <c r="C245" s="84" t="s">
        <v>44</v>
      </c>
      <c r="D245" s="84" t="s">
        <v>19</v>
      </c>
      <c r="E245" s="84" t="s">
        <v>523</v>
      </c>
      <c r="F245" s="84"/>
      <c r="G245" s="87">
        <f>G246</f>
        <v>0</v>
      </c>
      <c r="H245" s="87">
        <f t="shared" ref="H245:I246" si="57">H246</f>
        <v>0</v>
      </c>
      <c r="I245" s="87">
        <f t="shared" si="57"/>
        <v>0</v>
      </c>
      <c r="J245" s="177"/>
    </row>
    <row r="246" spans="1:18" ht="45" hidden="1" customHeight="1">
      <c r="A246" s="82" t="s">
        <v>30</v>
      </c>
      <c r="B246" s="149">
        <v>757</v>
      </c>
      <c r="C246" s="84" t="s">
        <v>44</v>
      </c>
      <c r="D246" s="84" t="s">
        <v>19</v>
      </c>
      <c r="E246" s="84" t="s">
        <v>523</v>
      </c>
      <c r="F246" s="84" t="s">
        <v>31</v>
      </c>
      <c r="G246" s="87">
        <f>G247</f>
        <v>0</v>
      </c>
      <c r="H246" s="87">
        <f t="shared" si="57"/>
        <v>0</v>
      </c>
      <c r="I246" s="87">
        <f t="shared" si="57"/>
        <v>0</v>
      </c>
      <c r="J246" s="177"/>
      <c r="K246" s="177"/>
      <c r="L246" s="177"/>
    </row>
    <row r="247" spans="1:18" ht="19.5" hidden="1" customHeight="1">
      <c r="A247" s="82" t="s">
        <v>32</v>
      </c>
      <c r="B247" s="149">
        <v>757</v>
      </c>
      <c r="C247" s="84" t="s">
        <v>44</v>
      </c>
      <c r="D247" s="84" t="s">
        <v>19</v>
      </c>
      <c r="E247" s="84" t="s">
        <v>523</v>
      </c>
      <c r="F247" s="84" t="s">
        <v>33</v>
      </c>
      <c r="G247" s="87">
        <v>0</v>
      </c>
      <c r="H247" s="87"/>
      <c r="I247" s="87"/>
      <c r="J247" s="177"/>
    </row>
    <row r="248" spans="1:18" ht="69" customHeight="1">
      <c r="A248" s="82" t="s">
        <v>1054</v>
      </c>
      <c r="B248" s="149">
        <v>757</v>
      </c>
      <c r="C248" s="84" t="s">
        <v>44</v>
      </c>
      <c r="D248" s="84" t="s">
        <v>19</v>
      </c>
      <c r="E248" s="84" t="s">
        <v>1053</v>
      </c>
      <c r="F248" s="84"/>
      <c r="G248" s="85">
        <f t="shared" ref="G248:I249" si="58">G249</f>
        <v>0</v>
      </c>
      <c r="H248" s="85">
        <f t="shared" si="58"/>
        <v>100239.22</v>
      </c>
      <c r="I248" s="85">
        <f t="shared" si="58"/>
        <v>100239.22</v>
      </c>
      <c r="J248" s="178"/>
    </row>
    <row r="249" spans="1:18" ht="25.5">
      <c r="A249" s="82" t="s">
        <v>30</v>
      </c>
      <c r="B249" s="149">
        <v>757</v>
      </c>
      <c r="C249" s="84" t="s">
        <v>44</v>
      </c>
      <c r="D249" s="84" t="s">
        <v>19</v>
      </c>
      <c r="E249" s="84" t="s">
        <v>1053</v>
      </c>
      <c r="F249" s="84" t="s">
        <v>31</v>
      </c>
      <c r="G249" s="85">
        <f t="shared" si="58"/>
        <v>0</v>
      </c>
      <c r="H249" s="85">
        <f t="shared" si="58"/>
        <v>100239.22</v>
      </c>
      <c r="I249" s="85">
        <f t="shared" si="58"/>
        <v>100239.22</v>
      </c>
      <c r="J249" s="178"/>
    </row>
    <row r="250" spans="1:18">
      <c r="A250" s="82" t="s">
        <v>32</v>
      </c>
      <c r="B250" s="149">
        <v>757</v>
      </c>
      <c r="C250" s="84" t="s">
        <v>44</v>
      </c>
      <c r="D250" s="84" t="s">
        <v>19</v>
      </c>
      <c r="E250" s="84" t="s">
        <v>1053</v>
      </c>
      <c r="F250" s="84" t="s">
        <v>33</v>
      </c>
      <c r="G250" s="85"/>
      <c r="H250" s="85">
        <v>100239.22</v>
      </c>
      <c r="I250" s="85">
        <v>100239.22</v>
      </c>
      <c r="J250" s="178"/>
    </row>
    <row r="251" spans="1:18" ht="37.5" customHeight="1">
      <c r="A251" s="82" t="s">
        <v>184</v>
      </c>
      <c r="B251" s="149">
        <v>757</v>
      </c>
      <c r="C251" s="84" t="s">
        <v>44</v>
      </c>
      <c r="D251" s="84" t="s">
        <v>19</v>
      </c>
      <c r="E251" s="84" t="s">
        <v>183</v>
      </c>
      <c r="F251" s="84"/>
      <c r="G251" s="85">
        <f>G252</f>
        <v>0</v>
      </c>
      <c r="H251" s="85">
        <f t="shared" ref="H251:I251" si="59">H252</f>
        <v>1470600</v>
      </c>
      <c r="I251" s="85">
        <f t="shared" si="59"/>
        <v>0</v>
      </c>
      <c r="J251" s="178"/>
    </row>
    <row r="252" spans="1:18" ht="25.5">
      <c r="A252" s="82" t="s">
        <v>30</v>
      </c>
      <c r="B252" s="149">
        <v>757</v>
      </c>
      <c r="C252" s="84" t="s">
        <v>44</v>
      </c>
      <c r="D252" s="84" t="s">
        <v>19</v>
      </c>
      <c r="E252" s="84" t="s">
        <v>183</v>
      </c>
      <c r="F252" s="84" t="s">
        <v>31</v>
      </c>
      <c r="G252" s="85">
        <f>G253</f>
        <v>0</v>
      </c>
      <c r="H252" s="85">
        <f t="shared" ref="H252:I252" si="60">H253</f>
        <v>1470600</v>
      </c>
      <c r="I252" s="85">
        <f t="shared" si="60"/>
        <v>0</v>
      </c>
      <c r="J252" s="178"/>
    </row>
    <row r="253" spans="1:18">
      <c r="A253" s="82" t="s">
        <v>32</v>
      </c>
      <c r="B253" s="149">
        <v>757</v>
      </c>
      <c r="C253" s="84" t="s">
        <v>44</v>
      </c>
      <c r="D253" s="84" t="s">
        <v>19</v>
      </c>
      <c r="E253" s="84" t="s">
        <v>183</v>
      </c>
      <c r="F253" s="84" t="s">
        <v>33</v>
      </c>
      <c r="G253" s="85">
        <v>0</v>
      </c>
      <c r="H253" s="85">
        <f>220600+1250000</f>
        <v>1470600</v>
      </c>
      <c r="I253" s="85">
        <v>0</v>
      </c>
      <c r="J253" s="178"/>
    </row>
    <row r="254" spans="1:18" ht="26.25" customHeight="1">
      <c r="A254" s="82" t="s">
        <v>932</v>
      </c>
      <c r="B254" s="149">
        <v>757</v>
      </c>
      <c r="C254" s="84" t="s">
        <v>44</v>
      </c>
      <c r="D254" s="84" t="s">
        <v>19</v>
      </c>
      <c r="E254" s="84" t="s">
        <v>931</v>
      </c>
      <c r="F254" s="84"/>
      <c r="G254" s="87">
        <f>G255</f>
        <v>12715225.859999999</v>
      </c>
      <c r="H254" s="87">
        <f t="shared" ref="H254:I254" si="61">H255</f>
        <v>0</v>
      </c>
      <c r="I254" s="87">
        <f t="shared" si="61"/>
        <v>0</v>
      </c>
      <c r="J254" s="177"/>
    </row>
    <row r="255" spans="1:18" ht="43.5" customHeight="1">
      <c r="A255" s="82" t="s">
        <v>30</v>
      </c>
      <c r="B255" s="149">
        <v>757</v>
      </c>
      <c r="C255" s="84" t="s">
        <v>44</v>
      </c>
      <c r="D255" s="84" t="s">
        <v>19</v>
      </c>
      <c r="E255" s="84" t="s">
        <v>931</v>
      </c>
      <c r="F255" s="84" t="s">
        <v>31</v>
      </c>
      <c r="G255" s="87">
        <f>G256</f>
        <v>12715225.859999999</v>
      </c>
      <c r="H255" s="87">
        <f t="shared" ref="H255:I255" si="62">H256</f>
        <v>0</v>
      </c>
      <c r="I255" s="87">
        <f t="shared" si="62"/>
        <v>0</v>
      </c>
      <c r="J255" s="177"/>
      <c r="K255" s="177"/>
      <c r="L255" s="177"/>
    </row>
    <row r="256" spans="1:18" ht="20.25" customHeight="1">
      <c r="A256" s="82" t="s">
        <v>32</v>
      </c>
      <c r="B256" s="149">
        <v>757</v>
      </c>
      <c r="C256" s="84" t="s">
        <v>44</v>
      </c>
      <c r="D256" s="84" t="s">
        <v>19</v>
      </c>
      <c r="E256" s="84" t="s">
        <v>931</v>
      </c>
      <c r="F256" s="84" t="s">
        <v>33</v>
      </c>
      <c r="G256" s="87">
        <v>12715225.859999999</v>
      </c>
      <c r="H256" s="87">
        <v>0</v>
      </c>
      <c r="I256" s="87">
        <v>0</v>
      </c>
      <c r="J256" s="177"/>
    </row>
    <row r="257" spans="1:12" ht="65.25" customHeight="1">
      <c r="A257" s="82" t="s">
        <v>692</v>
      </c>
      <c r="B257" s="149">
        <v>757</v>
      </c>
      <c r="C257" s="84" t="s">
        <v>44</v>
      </c>
      <c r="D257" s="84" t="s">
        <v>19</v>
      </c>
      <c r="E257" s="84" t="s">
        <v>691</v>
      </c>
      <c r="F257" s="84"/>
      <c r="G257" s="87">
        <f>G258</f>
        <v>0</v>
      </c>
      <c r="H257" s="87">
        <f t="shared" ref="H257:H268" si="63">H258</f>
        <v>5261649.8699999992</v>
      </c>
      <c r="I257" s="87">
        <f t="shared" ref="I257:I268" si="64">I258</f>
        <v>0</v>
      </c>
      <c r="J257" s="177"/>
    </row>
    <row r="258" spans="1:12" ht="45" customHeight="1">
      <c r="A258" s="82" t="s">
        <v>30</v>
      </c>
      <c r="B258" s="149">
        <v>757</v>
      </c>
      <c r="C258" s="84" t="s">
        <v>44</v>
      </c>
      <c r="D258" s="84" t="s">
        <v>19</v>
      </c>
      <c r="E258" s="84" t="s">
        <v>691</v>
      </c>
      <c r="F258" s="84" t="s">
        <v>31</v>
      </c>
      <c r="G258" s="87">
        <f>G259</f>
        <v>0</v>
      </c>
      <c r="H258" s="87">
        <f t="shared" si="63"/>
        <v>5261649.8699999992</v>
      </c>
      <c r="I258" s="87">
        <f t="shared" si="64"/>
        <v>0</v>
      </c>
      <c r="J258" s="177"/>
      <c r="K258" s="177"/>
      <c r="L258" s="177"/>
    </row>
    <row r="259" spans="1:12" ht="28.5" customHeight="1">
      <c r="A259" s="82" t="s">
        <v>32</v>
      </c>
      <c r="B259" s="149">
        <v>757</v>
      </c>
      <c r="C259" s="84" t="s">
        <v>44</v>
      </c>
      <c r="D259" s="84" t="s">
        <v>19</v>
      </c>
      <c r="E259" s="84" t="s">
        <v>691</v>
      </c>
      <c r="F259" s="84" t="s">
        <v>33</v>
      </c>
      <c r="G259" s="87">
        <v>0</v>
      </c>
      <c r="H259" s="87">
        <f>784764.71+4472402.39+4482.77</f>
        <v>5261649.8699999992</v>
      </c>
      <c r="I259" s="87">
        <v>0</v>
      </c>
      <c r="J259" s="177"/>
    </row>
    <row r="260" spans="1:12" ht="28.5" customHeight="1">
      <c r="A260" s="82" t="s">
        <v>939</v>
      </c>
      <c r="B260" s="149">
        <v>757</v>
      </c>
      <c r="C260" s="84" t="s">
        <v>44</v>
      </c>
      <c r="D260" s="84" t="s">
        <v>19</v>
      </c>
      <c r="E260" s="84" t="s">
        <v>938</v>
      </c>
      <c r="F260" s="84"/>
      <c r="G260" s="87">
        <f>G261</f>
        <v>65359.48</v>
      </c>
      <c r="H260" s="87">
        <f t="shared" ref="H260:I260" si="65">H261</f>
        <v>0</v>
      </c>
      <c r="I260" s="87">
        <f t="shared" si="65"/>
        <v>0</v>
      </c>
      <c r="J260" s="177"/>
    </row>
    <row r="261" spans="1:12" ht="36" customHeight="1">
      <c r="A261" s="82" t="s">
        <v>940</v>
      </c>
      <c r="B261" s="149">
        <v>757</v>
      </c>
      <c r="C261" s="84" t="s">
        <v>44</v>
      </c>
      <c r="D261" s="84" t="s">
        <v>19</v>
      </c>
      <c r="E261" s="84" t="s">
        <v>937</v>
      </c>
      <c r="F261" s="84"/>
      <c r="G261" s="87">
        <f>G262</f>
        <v>65359.48</v>
      </c>
      <c r="H261" s="87">
        <f t="shared" si="63"/>
        <v>0</v>
      </c>
      <c r="I261" s="87">
        <f t="shared" si="64"/>
        <v>0</v>
      </c>
      <c r="J261" s="177"/>
    </row>
    <row r="262" spans="1:12" ht="41.25" customHeight="1">
      <c r="A262" s="82" t="s">
        <v>30</v>
      </c>
      <c r="B262" s="149">
        <v>757</v>
      </c>
      <c r="C262" s="84" t="s">
        <v>44</v>
      </c>
      <c r="D262" s="84" t="s">
        <v>19</v>
      </c>
      <c r="E262" s="84" t="s">
        <v>937</v>
      </c>
      <c r="F262" s="84" t="s">
        <v>31</v>
      </c>
      <c r="G262" s="87">
        <f>G263</f>
        <v>65359.48</v>
      </c>
      <c r="H262" s="87">
        <f t="shared" si="63"/>
        <v>0</v>
      </c>
      <c r="I262" s="87">
        <f t="shared" si="64"/>
        <v>0</v>
      </c>
      <c r="J262" s="177"/>
      <c r="K262" s="177"/>
      <c r="L262" s="177"/>
    </row>
    <row r="263" spans="1:12" ht="22.5" customHeight="1">
      <c r="A263" s="82" t="s">
        <v>32</v>
      </c>
      <c r="B263" s="149">
        <v>757</v>
      </c>
      <c r="C263" s="84" t="s">
        <v>44</v>
      </c>
      <c r="D263" s="84" t="s">
        <v>19</v>
      </c>
      <c r="E263" s="84" t="s">
        <v>937</v>
      </c>
      <c r="F263" s="84" t="s">
        <v>33</v>
      </c>
      <c r="G263" s="87">
        <v>65359.48</v>
      </c>
      <c r="H263" s="87">
        <v>0</v>
      </c>
      <c r="I263" s="87">
        <v>0</v>
      </c>
      <c r="J263" s="177"/>
    </row>
    <row r="264" spans="1:12" ht="48" hidden="1" customHeight="1">
      <c r="A264" s="82" t="s">
        <v>775</v>
      </c>
      <c r="B264" s="149">
        <v>757</v>
      </c>
      <c r="C264" s="84" t="s">
        <v>44</v>
      </c>
      <c r="D264" s="84" t="s">
        <v>19</v>
      </c>
      <c r="E264" s="84" t="s">
        <v>774</v>
      </c>
      <c r="F264" s="84"/>
      <c r="G264" s="87">
        <f>G265</f>
        <v>0</v>
      </c>
      <c r="H264" s="87">
        <f t="shared" si="63"/>
        <v>0</v>
      </c>
      <c r="I264" s="87">
        <f t="shared" si="64"/>
        <v>0</v>
      </c>
      <c r="J264" s="177"/>
    </row>
    <row r="265" spans="1:12" ht="24" hidden="1" customHeight="1">
      <c r="A265" s="82" t="s">
        <v>63</v>
      </c>
      <c r="B265" s="149">
        <v>757</v>
      </c>
      <c r="C265" s="84" t="s">
        <v>44</v>
      </c>
      <c r="D265" s="84" t="s">
        <v>19</v>
      </c>
      <c r="E265" s="84" t="s">
        <v>774</v>
      </c>
      <c r="F265" s="84" t="s">
        <v>64</v>
      </c>
      <c r="G265" s="87">
        <f>G266</f>
        <v>0</v>
      </c>
      <c r="H265" s="87">
        <f t="shared" si="63"/>
        <v>0</v>
      </c>
      <c r="I265" s="87">
        <f t="shared" si="64"/>
        <v>0</v>
      </c>
      <c r="J265" s="177"/>
      <c r="K265" s="177"/>
      <c r="L265" s="177"/>
    </row>
    <row r="266" spans="1:12" ht="29.25" hidden="1" customHeight="1">
      <c r="A266" s="82" t="s">
        <v>180</v>
      </c>
      <c r="B266" s="149">
        <v>757</v>
      </c>
      <c r="C266" s="84" t="s">
        <v>44</v>
      </c>
      <c r="D266" s="84" t="s">
        <v>19</v>
      </c>
      <c r="E266" s="84" t="s">
        <v>774</v>
      </c>
      <c r="F266" s="84" t="s">
        <v>181</v>
      </c>
      <c r="G266" s="87"/>
      <c r="H266" s="87"/>
      <c r="I266" s="87"/>
      <c r="J266" s="177"/>
    </row>
    <row r="267" spans="1:12" ht="30" hidden="1" customHeight="1">
      <c r="A267" s="82" t="s">
        <v>775</v>
      </c>
      <c r="B267" s="149">
        <v>757</v>
      </c>
      <c r="C267" s="84" t="s">
        <v>44</v>
      </c>
      <c r="D267" s="84" t="s">
        <v>19</v>
      </c>
      <c r="E267" s="84" t="s">
        <v>575</v>
      </c>
      <c r="F267" s="84"/>
      <c r="G267" s="87">
        <f>G268</f>
        <v>0</v>
      </c>
      <c r="H267" s="87">
        <f t="shared" si="63"/>
        <v>0</v>
      </c>
      <c r="I267" s="87">
        <f t="shared" si="64"/>
        <v>0</v>
      </c>
      <c r="J267" s="177"/>
    </row>
    <row r="268" spans="1:12" ht="41.25" hidden="1" customHeight="1">
      <c r="A268" s="82" t="s">
        <v>30</v>
      </c>
      <c r="B268" s="149">
        <v>757</v>
      </c>
      <c r="C268" s="84" t="s">
        <v>44</v>
      </c>
      <c r="D268" s="84" t="s">
        <v>19</v>
      </c>
      <c r="E268" s="84" t="s">
        <v>575</v>
      </c>
      <c r="F268" s="84" t="s">
        <v>31</v>
      </c>
      <c r="G268" s="87">
        <f>G269</f>
        <v>0</v>
      </c>
      <c r="H268" s="87">
        <f t="shared" si="63"/>
        <v>0</v>
      </c>
      <c r="I268" s="87">
        <f t="shared" si="64"/>
        <v>0</v>
      </c>
      <c r="J268" s="177"/>
      <c r="K268" s="177"/>
      <c r="L268" s="177"/>
    </row>
    <row r="269" spans="1:12" ht="16.5" hidden="1" customHeight="1">
      <c r="A269" s="82" t="s">
        <v>32</v>
      </c>
      <c r="B269" s="149">
        <v>757</v>
      </c>
      <c r="C269" s="84" t="s">
        <v>44</v>
      </c>
      <c r="D269" s="84" t="s">
        <v>19</v>
      </c>
      <c r="E269" s="84" t="s">
        <v>575</v>
      </c>
      <c r="F269" s="84" t="s">
        <v>33</v>
      </c>
      <c r="G269" s="87"/>
      <c r="H269" s="87"/>
      <c r="I269" s="87"/>
      <c r="J269" s="177"/>
    </row>
    <row r="270" spans="1:12" ht="25.5">
      <c r="A270" s="82" t="s">
        <v>857</v>
      </c>
      <c r="B270" s="149">
        <v>757</v>
      </c>
      <c r="C270" s="84" t="s">
        <v>44</v>
      </c>
      <c r="D270" s="84" t="s">
        <v>19</v>
      </c>
      <c r="E270" s="84" t="s">
        <v>869</v>
      </c>
      <c r="F270" s="84"/>
      <c r="G270" s="87">
        <f>G271</f>
        <v>526840.80000000005</v>
      </c>
      <c r="H270" s="87">
        <f t="shared" ref="H270:I270" si="66">H271</f>
        <v>770400</v>
      </c>
      <c r="I270" s="87">
        <f t="shared" si="66"/>
        <v>770400</v>
      </c>
      <c r="J270" s="177"/>
    </row>
    <row r="271" spans="1:12" ht="25.5">
      <c r="A271" s="82" t="s">
        <v>30</v>
      </c>
      <c r="B271" s="149">
        <v>757</v>
      </c>
      <c r="C271" s="84" t="s">
        <v>44</v>
      </c>
      <c r="D271" s="84" t="s">
        <v>19</v>
      </c>
      <c r="E271" s="84" t="s">
        <v>869</v>
      </c>
      <c r="F271" s="84" t="s">
        <v>31</v>
      </c>
      <c r="G271" s="87">
        <f>G272</f>
        <v>526840.80000000005</v>
      </c>
      <c r="H271" s="87">
        <f>H272</f>
        <v>770400</v>
      </c>
      <c r="I271" s="87">
        <f>I272</f>
        <v>770400</v>
      </c>
      <c r="J271" s="177"/>
    </row>
    <row r="272" spans="1:12" ht="19.5" customHeight="1">
      <c r="A272" s="82" t="s">
        <v>32</v>
      </c>
      <c r="B272" s="149">
        <v>757</v>
      </c>
      <c r="C272" s="84" t="s">
        <v>44</v>
      </c>
      <c r="D272" s="84" t="s">
        <v>19</v>
      </c>
      <c r="E272" s="84" t="s">
        <v>869</v>
      </c>
      <c r="F272" s="84" t="s">
        <v>33</v>
      </c>
      <c r="G272" s="87">
        <v>526840.80000000005</v>
      </c>
      <c r="H272" s="87">
        <f>700400+30000+40000</f>
        <v>770400</v>
      </c>
      <c r="I272" s="87">
        <f>700400+30000+40000</f>
        <v>770400</v>
      </c>
      <c r="J272" s="177"/>
    </row>
    <row r="273" spans="1:10">
      <c r="A273" s="82" t="s">
        <v>859</v>
      </c>
      <c r="B273" s="149">
        <v>757</v>
      </c>
      <c r="C273" s="84" t="s">
        <v>44</v>
      </c>
      <c r="D273" s="84" t="s">
        <v>19</v>
      </c>
      <c r="E273" s="84" t="s">
        <v>858</v>
      </c>
      <c r="F273" s="84"/>
      <c r="G273" s="87">
        <f>G274</f>
        <v>311200</v>
      </c>
      <c r="H273" s="87">
        <f t="shared" ref="H273:I273" si="67">H274</f>
        <v>1053000</v>
      </c>
      <c r="I273" s="87">
        <f t="shared" si="67"/>
        <v>1179000</v>
      </c>
      <c r="J273" s="177"/>
    </row>
    <row r="274" spans="1:10" ht="25.5">
      <c r="A274" s="82" t="s">
        <v>30</v>
      </c>
      <c r="B274" s="149">
        <v>757</v>
      </c>
      <c r="C274" s="84" t="s">
        <v>44</v>
      </c>
      <c r="D274" s="84" t="s">
        <v>19</v>
      </c>
      <c r="E274" s="84" t="s">
        <v>858</v>
      </c>
      <c r="F274" s="84" t="s">
        <v>31</v>
      </c>
      <c r="G274" s="87">
        <f>G275</f>
        <v>311200</v>
      </c>
      <c r="H274" s="87">
        <f>H275</f>
        <v>1053000</v>
      </c>
      <c r="I274" s="87">
        <f>I275</f>
        <v>1179000</v>
      </c>
      <c r="J274" s="177"/>
    </row>
    <row r="275" spans="1:10" ht="19.5" customHeight="1">
      <c r="A275" s="82" t="s">
        <v>32</v>
      </c>
      <c r="B275" s="149">
        <v>757</v>
      </c>
      <c r="C275" s="84" t="s">
        <v>44</v>
      </c>
      <c r="D275" s="84" t="s">
        <v>19</v>
      </c>
      <c r="E275" s="84" t="s">
        <v>858</v>
      </c>
      <c r="F275" s="84" t="s">
        <v>33</v>
      </c>
      <c r="G275" s="87">
        <f>171000+63000+88000-10800</f>
        <v>311200</v>
      </c>
      <c r="H275" s="87">
        <f>486000+36000+531000</f>
        <v>1053000</v>
      </c>
      <c r="I275" s="87">
        <f>486000+90000+603000</f>
        <v>1179000</v>
      </c>
      <c r="J275" s="177"/>
    </row>
    <row r="276" spans="1:10" ht="25.5">
      <c r="A276" s="82" t="s">
        <v>854</v>
      </c>
      <c r="B276" s="149">
        <v>757</v>
      </c>
      <c r="C276" s="84" t="s">
        <v>44</v>
      </c>
      <c r="D276" s="84" t="s">
        <v>19</v>
      </c>
      <c r="E276" s="84" t="s">
        <v>853</v>
      </c>
      <c r="F276" s="84"/>
      <c r="G276" s="87">
        <f>G277</f>
        <v>15000</v>
      </c>
      <c r="H276" s="87">
        <f t="shared" ref="H276:I276" si="68">H277</f>
        <v>15000</v>
      </c>
      <c r="I276" s="87">
        <f t="shared" si="68"/>
        <v>15000</v>
      </c>
      <c r="J276" s="177"/>
    </row>
    <row r="277" spans="1:10" ht="25.5">
      <c r="A277" s="82" t="s">
        <v>30</v>
      </c>
      <c r="B277" s="149">
        <v>757</v>
      </c>
      <c r="C277" s="84" t="s">
        <v>44</v>
      </c>
      <c r="D277" s="84" t="s">
        <v>19</v>
      </c>
      <c r="E277" s="84" t="s">
        <v>853</v>
      </c>
      <c r="F277" s="84" t="s">
        <v>31</v>
      </c>
      <c r="G277" s="87">
        <f>G278</f>
        <v>15000</v>
      </c>
      <c r="H277" s="87">
        <f>H278</f>
        <v>15000</v>
      </c>
      <c r="I277" s="87">
        <f>I278</f>
        <v>15000</v>
      </c>
      <c r="J277" s="177"/>
    </row>
    <row r="278" spans="1:10" ht="19.5" customHeight="1">
      <c r="A278" s="82" t="s">
        <v>32</v>
      </c>
      <c r="B278" s="149">
        <v>757</v>
      </c>
      <c r="C278" s="84" t="s">
        <v>44</v>
      </c>
      <c r="D278" s="84" t="s">
        <v>19</v>
      </c>
      <c r="E278" s="84" t="s">
        <v>853</v>
      </c>
      <c r="F278" s="84" t="s">
        <v>33</v>
      </c>
      <c r="G278" s="87">
        <v>15000</v>
      </c>
      <c r="H278" s="87">
        <v>15000</v>
      </c>
      <c r="I278" s="87">
        <v>15000</v>
      </c>
      <c r="J278" s="177"/>
    </row>
    <row r="279" spans="1:10" ht="38.25">
      <c r="A279" s="82" t="s">
        <v>861</v>
      </c>
      <c r="B279" s="149">
        <v>757</v>
      </c>
      <c r="C279" s="84" t="s">
        <v>44</v>
      </c>
      <c r="D279" s="84" t="s">
        <v>19</v>
      </c>
      <c r="E279" s="84" t="s">
        <v>860</v>
      </c>
      <c r="F279" s="84"/>
      <c r="G279" s="87">
        <f>G280</f>
        <v>184400</v>
      </c>
      <c r="H279" s="87">
        <f t="shared" ref="H279:I279" si="69">H280</f>
        <v>0</v>
      </c>
      <c r="I279" s="87">
        <f t="shared" si="69"/>
        <v>0</v>
      </c>
      <c r="J279" s="177"/>
    </row>
    <row r="280" spans="1:10" ht="25.5">
      <c r="A280" s="82" t="s">
        <v>30</v>
      </c>
      <c r="B280" s="149">
        <v>757</v>
      </c>
      <c r="C280" s="84" t="s">
        <v>44</v>
      </c>
      <c r="D280" s="84" t="s">
        <v>19</v>
      </c>
      <c r="E280" s="84" t="s">
        <v>860</v>
      </c>
      <c r="F280" s="84" t="s">
        <v>31</v>
      </c>
      <c r="G280" s="87">
        <f>G281</f>
        <v>184400</v>
      </c>
      <c r="H280" s="87">
        <f>H281</f>
        <v>0</v>
      </c>
      <c r="I280" s="87">
        <f>I281</f>
        <v>0</v>
      </c>
      <c r="J280" s="177"/>
    </row>
    <row r="281" spans="1:10" ht="19.5" customHeight="1">
      <c r="A281" s="82" t="s">
        <v>32</v>
      </c>
      <c r="B281" s="149">
        <v>757</v>
      </c>
      <c r="C281" s="84" t="s">
        <v>44</v>
      </c>
      <c r="D281" s="84" t="s">
        <v>19</v>
      </c>
      <c r="E281" s="84" t="s">
        <v>860</v>
      </c>
      <c r="F281" s="84" t="s">
        <v>33</v>
      </c>
      <c r="G281" s="87">
        <v>184400</v>
      </c>
      <c r="H281" s="87">
        <v>0</v>
      </c>
      <c r="I281" s="87">
        <v>0</v>
      </c>
      <c r="J281" s="177"/>
    </row>
    <row r="282" spans="1:10" ht="25.5">
      <c r="A282" s="82" t="s">
        <v>863</v>
      </c>
      <c r="B282" s="149">
        <v>757</v>
      </c>
      <c r="C282" s="84" t="s">
        <v>44</v>
      </c>
      <c r="D282" s="84" t="s">
        <v>19</v>
      </c>
      <c r="E282" s="84" t="s">
        <v>862</v>
      </c>
      <c r="F282" s="84"/>
      <c r="G282" s="87">
        <f>G283</f>
        <v>149125</v>
      </c>
      <c r="H282" s="87">
        <f t="shared" ref="H282:I282" si="70">H283</f>
        <v>0</v>
      </c>
      <c r="I282" s="87">
        <f t="shared" si="70"/>
        <v>0</v>
      </c>
      <c r="J282" s="177"/>
    </row>
    <row r="283" spans="1:10" ht="25.5">
      <c r="A283" s="82" t="s">
        <v>30</v>
      </c>
      <c r="B283" s="149">
        <v>757</v>
      </c>
      <c r="C283" s="84" t="s">
        <v>44</v>
      </c>
      <c r="D283" s="84" t="s">
        <v>19</v>
      </c>
      <c r="E283" s="84" t="s">
        <v>862</v>
      </c>
      <c r="F283" s="84" t="s">
        <v>31</v>
      </c>
      <c r="G283" s="87">
        <f>G284</f>
        <v>149125</v>
      </c>
      <c r="H283" s="87">
        <f>H284</f>
        <v>0</v>
      </c>
      <c r="I283" s="87">
        <f>I284</f>
        <v>0</v>
      </c>
      <c r="J283" s="177"/>
    </row>
    <row r="284" spans="1:10" ht="19.5" customHeight="1">
      <c r="A284" s="82" t="s">
        <v>32</v>
      </c>
      <c r="B284" s="149">
        <v>757</v>
      </c>
      <c r="C284" s="84" t="s">
        <v>44</v>
      </c>
      <c r="D284" s="84" t="s">
        <v>19</v>
      </c>
      <c r="E284" s="84" t="s">
        <v>862</v>
      </c>
      <c r="F284" s="84" t="s">
        <v>33</v>
      </c>
      <c r="G284" s="87">
        <v>149125</v>
      </c>
      <c r="H284" s="87">
        <v>0</v>
      </c>
      <c r="I284" s="87">
        <v>0</v>
      </c>
      <c r="J284" s="177"/>
    </row>
    <row r="285" spans="1:10" ht="38.25">
      <c r="A285" s="82" t="s">
        <v>865</v>
      </c>
      <c r="B285" s="149">
        <v>757</v>
      </c>
      <c r="C285" s="84" t="s">
        <v>44</v>
      </c>
      <c r="D285" s="84" t="s">
        <v>19</v>
      </c>
      <c r="E285" s="84" t="s">
        <v>864</v>
      </c>
      <c r="F285" s="84"/>
      <c r="G285" s="87">
        <f>G286</f>
        <v>341866</v>
      </c>
      <c r="H285" s="87">
        <f t="shared" ref="H285:I285" si="71">H286</f>
        <v>0</v>
      </c>
      <c r="I285" s="87">
        <f t="shared" si="71"/>
        <v>0</v>
      </c>
      <c r="J285" s="177"/>
    </row>
    <row r="286" spans="1:10" ht="25.5">
      <c r="A286" s="82" t="s">
        <v>30</v>
      </c>
      <c r="B286" s="149">
        <v>757</v>
      </c>
      <c r="C286" s="84" t="s">
        <v>44</v>
      </c>
      <c r="D286" s="84" t="s">
        <v>19</v>
      </c>
      <c r="E286" s="84" t="s">
        <v>864</v>
      </c>
      <c r="F286" s="84" t="s">
        <v>31</v>
      </c>
      <c r="G286" s="87">
        <f>G287</f>
        <v>341866</v>
      </c>
      <c r="H286" s="87">
        <f>H287</f>
        <v>0</v>
      </c>
      <c r="I286" s="87">
        <f>I287</f>
        <v>0</v>
      </c>
      <c r="J286" s="177"/>
    </row>
    <row r="287" spans="1:10" ht="19.5" customHeight="1">
      <c r="A287" s="82" t="s">
        <v>32</v>
      </c>
      <c r="B287" s="149">
        <v>757</v>
      </c>
      <c r="C287" s="84" t="s">
        <v>44</v>
      </c>
      <c r="D287" s="84" t="s">
        <v>19</v>
      </c>
      <c r="E287" s="84" t="s">
        <v>864</v>
      </c>
      <c r="F287" s="84" t="s">
        <v>33</v>
      </c>
      <c r="G287" s="87">
        <v>341866</v>
      </c>
      <c r="H287" s="87">
        <v>0</v>
      </c>
      <c r="I287" s="87">
        <v>0</v>
      </c>
      <c r="J287" s="177"/>
    </row>
    <row r="288" spans="1:10" ht="38.25">
      <c r="A288" s="82" t="s">
        <v>1043</v>
      </c>
      <c r="B288" s="149">
        <v>757</v>
      </c>
      <c r="C288" s="84" t="s">
        <v>44</v>
      </c>
      <c r="D288" s="84" t="s">
        <v>19</v>
      </c>
      <c r="E288" s="84" t="s">
        <v>866</v>
      </c>
      <c r="F288" s="84"/>
      <c r="G288" s="87">
        <f>G289</f>
        <v>50000</v>
      </c>
      <c r="H288" s="87">
        <f t="shared" ref="H288:I288" si="72">H289</f>
        <v>0</v>
      </c>
      <c r="I288" s="87">
        <f t="shared" si="72"/>
        <v>0</v>
      </c>
      <c r="J288" s="177"/>
    </row>
    <row r="289" spans="1:18" ht="25.5">
      <c r="A289" s="82" t="s">
        <v>30</v>
      </c>
      <c r="B289" s="149">
        <v>757</v>
      </c>
      <c r="C289" s="84" t="s">
        <v>44</v>
      </c>
      <c r="D289" s="84" t="s">
        <v>19</v>
      </c>
      <c r="E289" s="84" t="s">
        <v>866</v>
      </c>
      <c r="F289" s="84" t="s">
        <v>31</v>
      </c>
      <c r="G289" s="87">
        <f>G290</f>
        <v>50000</v>
      </c>
      <c r="H289" s="87">
        <f>H290</f>
        <v>0</v>
      </c>
      <c r="I289" s="87">
        <f>I290</f>
        <v>0</v>
      </c>
      <c r="J289" s="177"/>
    </row>
    <row r="290" spans="1:18" ht="19.5" customHeight="1">
      <c r="A290" s="82" t="s">
        <v>32</v>
      </c>
      <c r="B290" s="149">
        <v>757</v>
      </c>
      <c r="C290" s="84" t="s">
        <v>44</v>
      </c>
      <c r="D290" s="84" t="s">
        <v>19</v>
      </c>
      <c r="E290" s="84" t="s">
        <v>866</v>
      </c>
      <c r="F290" s="84" t="s">
        <v>33</v>
      </c>
      <c r="G290" s="87">
        <f>20000+30000</f>
        <v>50000</v>
      </c>
      <c r="H290" s="87">
        <v>0</v>
      </c>
      <c r="I290" s="87">
        <v>0</v>
      </c>
      <c r="J290" s="177"/>
    </row>
    <row r="291" spans="1:18" ht="25.5">
      <c r="A291" s="82" t="s">
        <v>868</v>
      </c>
      <c r="B291" s="149">
        <v>757</v>
      </c>
      <c r="C291" s="84" t="s">
        <v>44</v>
      </c>
      <c r="D291" s="84" t="s">
        <v>19</v>
      </c>
      <c r="E291" s="84" t="s">
        <v>867</v>
      </c>
      <c r="F291" s="84"/>
      <c r="G291" s="87">
        <f>G292</f>
        <v>0</v>
      </c>
      <c r="H291" s="87">
        <f t="shared" ref="H291:I291" si="73">H292</f>
        <v>8063.23</v>
      </c>
      <c r="I291" s="87">
        <f t="shared" si="73"/>
        <v>12546</v>
      </c>
      <c r="J291" s="177"/>
    </row>
    <row r="292" spans="1:18" ht="25.5">
      <c r="A292" s="82" t="s">
        <v>30</v>
      </c>
      <c r="B292" s="149">
        <v>757</v>
      </c>
      <c r="C292" s="84" t="s">
        <v>44</v>
      </c>
      <c r="D292" s="84" t="s">
        <v>19</v>
      </c>
      <c r="E292" s="84" t="s">
        <v>867</v>
      </c>
      <c r="F292" s="84" t="s">
        <v>31</v>
      </c>
      <c r="G292" s="87">
        <f>G293</f>
        <v>0</v>
      </c>
      <c r="H292" s="87">
        <f>H293</f>
        <v>8063.23</v>
      </c>
      <c r="I292" s="87">
        <f>I293</f>
        <v>12546</v>
      </c>
      <c r="J292" s="177"/>
    </row>
    <row r="293" spans="1:18" ht="19.5" customHeight="1">
      <c r="A293" s="82" t="s">
        <v>32</v>
      </c>
      <c r="B293" s="149">
        <v>757</v>
      </c>
      <c r="C293" s="84" t="s">
        <v>44</v>
      </c>
      <c r="D293" s="84" t="s">
        <v>19</v>
      </c>
      <c r="E293" s="84" t="s">
        <v>867</v>
      </c>
      <c r="F293" s="84" t="s">
        <v>33</v>
      </c>
      <c r="G293" s="87">
        <f>0+0</f>
        <v>0</v>
      </c>
      <c r="H293" s="87">
        <v>8063.23</v>
      </c>
      <c r="I293" s="87">
        <f>8160+4386</f>
        <v>12546</v>
      </c>
      <c r="J293" s="177"/>
    </row>
    <row r="294" spans="1:18">
      <c r="A294" s="82" t="s">
        <v>870</v>
      </c>
      <c r="B294" s="149">
        <v>757</v>
      </c>
      <c r="C294" s="84" t="s">
        <v>44</v>
      </c>
      <c r="D294" s="84" t="s">
        <v>19</v>
      </c>
      <c r="E294" s="84" t="s">
        <v>855</v>
      </c>
      <c r="F294" s="84"/>
      <c r="G294" s="87">
        <f>G295</f>
        <v>100000</v>
      </c>
      <c r="H294" s="87">
        <f t="shared" ref="H294:I294" si="74">H295</f>
        <v>250000</v>
      </c>
      <c r="I294" s="87">
        <f t="shared" si="74"/>
        <v>250000</v>
      </c>
      <c r="J294" s="177"/>
    </row>
    <row r="295" spans="1:18" ht="25.5">
      <c r="A295" s="82" t="s">
        <v>30</v>
      </c>
      <c r="B295" s="149">
        <v>757</v>
      </c>
      <c r="C295" s="84" t="s">
        <v>44</v>
      </c>
      <c r="D295" s="84" t="s">
        <v>19</v>
      </c>
      <c r="E295" s="84" t="s">
        <v>855</v>
      </c>
      <c r="F295" s="84" t="s">
        <v>31</v>
      </c>
      <c r="G295" s="87">
        <f>G296</f>
        <v>100000</v>
      </c>
      <c r="H295" s="87">
        <f>H296</f>
        <v>250000</v>
      </c>
      <c r="I295" s="87">
        <f>I296</f>
        <v>250000</v>
      </c>
      <c r="J295" s="177"/>
    </row>
    <row r="296" spans="1:18" ht="19.5" customHeight="1">
      <c r="A296" s="82" t="s">
        <v>32</v>
      </c>
      <c r="B296" s="149">
        <v>757</v>
      </c>
      <c r="C296" s="84" t="s">
        <v>44</v>
      </c>
      <c r="D296" s="84" t="s">
        <v>19</v>
      </c>
      <c r="E296" s="84" t="s">
        <v>855</v>
      </c>
      <c r="F296" s="84" t="s">
        <v>33</v>
      </c>
      <c r="G296" s="87">
        <v>100000</v>
      </c>
      <c r="H296" s="87">
        <v>250000</v>
      </c>
      <c r="I296" s="87">
        <v>250000</v>
      </c>
      <c r="J296" s="177"/>
    </row>
    <row r="297" spans="1:18" ht="25.5">
      <c r="A297" s="82" t="s">
        <v>872</v>
      </c>
      <c r="B297" s="149">
        <v>757</v>
      </c>
      <c r="C297" s="84" t="s">
        <v>44</v>
      </c>
      <c r="D297" s="84" t="s">
        <v>19</v>
      </c>
      <c r="E297" s="84" t="s">
        <v>871</v>
      </c>
      <c r="F297" s="84"/>
      <c r="G297" s="87">
        <f>G298</f>
        <v>8000</v>
      </c>
      <c r="H297" s="87">
        <f t="shared" ref="H297:I297" si="75">H298</f>
        <v>0</v>
      </c>
      <c r="I297" s="87">
        <f t="shared" si="75"/>
        <v>0</v>
      </c>
      <c r="J297" s="177"/>
    </row>
    <row r="298" spans="1:18" ht="25.5">
      <c r="A298" s="82" t="s">
        <v>30</v>
      </c>
      <c r="B298" s="149">
        <v>757</v>
      </c>
      <c r="C298" s="84" t="s">
        <v>44</v>
      </c>
      <c r="D298" s="84" t="s">
        <v>19</v>
      </c>
      <c r="E298" s="84" t="s">
        <v>871</v>
      </c>
      <c r="F298" s="84" t="s">
        <v>31</v>
      </c>
      <c r="G298" s="87">
        <f>G299</f>
        <v>8000</v>
      </c>
      <c r="H298" s="87">
        <f>H299</f>
        <v>0</v>
      </c>
      <c r="I298" s="87">
        <f>I299</f>
        <v>0</v>
      </c>
      <c r="J298" s="177"/>
    </row>
    <row r="299" spans="1:18" ht="19.5" customHeight="1">
      <c r="A299" s="82" t="s">
        <v>32</v>
      </c>
      <c r="B299" s="149">
        <v>757</v>
      </c>
      <c r="C299" s="84" t="s">
        <v>44</v>
      </c>
      <c r="D299" s="84" t="s">
        <v>19</v>
      </c>
      <c r="E299" s="84" t="s">
        <v>871</v>
      </c>
      <c r="F299" s="84" t="s">
        <v>33</v>
      </c>
      <c r="G299" s="87">
        <v>8000</v>
      </c>
      <c r="H299" s="87">
        <v>0</v>
      </c>
      <c r="I299" s="87">
        <v>0</v>
      </c>
      <c r="J299" s="177"/>
    </row>
    <row r="300" spans="1:18" s="90" customFormat="1" ht="32.25" customHeight="1">
      <c r="A300" s="82" t="s">
        <v>1099</v>
      </c>
      <c r="B300" s="149">
        <v>757</v>
      </c>
      <c r="C300" s="84" t="s">
        <v>44</v>
      </c>
      <c r="D300" s="84" t="s">
        <v>19</v>
      </c>
      <c r="E300" s="84" t="s">
        <v>1098</v>
      </c>
      <c r="F300" s="84"/>
      <c r="G300" s="87">
        <f>G301</f>
        <v>250000</v>
      </c>
      <c r="H300" s="87">
        <f t="shared" ref="H300:I300" si="76">H301</f>
        <v>0</v>
      </c>
      <c r="I300" s="87">
        <f t="shared" si="76"/>
        <v>0</v>
      </c>
      <c r="J300" s="177"/>
      <c r="K300" s="186"/>
      <c r="L300" s="186"/>
      <c r="M300" s="186"/>
      <c r="N300" s="186"/>
      <c r="O300" s="186"/>
      <c r="P300" s="186"/>
      <c r="Q300" s="186"/>
      <c r="R300" s="186"/>
    </row>
    <row r="301" spans="1:18" s="90" customFormat="1" ht="25.5">
      <c r="A301" s="82" t="s">
        <v>30</v>
      </c>
      <c r="B301" s="149">
        <v>757</v>
      </c>
      <c r="C301" s="84" t="s">
        <v>44</v>
      </c>
      <c r="D301" s="84" t="s">
        <v>19</v>
      </c>
      <c r="E301" s="84" t="s">
        <v>1098</v>
      </c>
      <c r="F301" s="84" t="s">
        <v>31</v>
      </c>
      <c r="G301" s="87">
        <f>G302</f>
        <v>250000</v>
      </c>
      <c r="H301" s="87">
        <f>H302</f>
        <v>0</v>
      </c>
      <c r="I301" s="87">
        <f>I302</f>
        <v>0</v>
      </c>
      <c r="J301" s="177"/>
      <c r="K301" s="186"/>
      <c r="L301" s="186"/>
      <c r="M301" s="186"/>
      <c r="N301" s="186"/>
      <c r="O301" s="186"/>
      <c r="P301" s="186"/>
      <c r="Q301" s="186"/>
      <c r="R301" s="186"/>
    </row>
    <row r="302" spans="1:18" s="90" customFormat="1" ht="19.5" customHeight="1">
      <c r="A302" s="82" t="s">
        <v>32</v>
      </c>
      <c r="B302" s="149">
        <v>757</v>
      </c>
      <c r="C302" s="84" t="s">
        <v>44</v>
      </c>
      <c r="D302" s="84" t="s">
        <v>19</v>
      </c>
      <c r="E302" s="84" t="s">
        <v>1098</v>
      </c>
      <c r="F302" s="84" t="s">
        <v>33</v>
      </c>
      <c r="G302" s="87">
        <v>250000</v>
      </c>
      <c r="H302" s="87">
        <v>0</v>
      </c>
      <c r="I302" s="87">
        <v>0</v>
      </c>
      <c r="J302" s="177"/>
      <c r="K302" s="186"/>
      <c r="L302" s="186"/>
      <c r="M302" s="186"/>
      <c r="N302" s="186"/>
      <c r="O302" s="186"/>
      <c r="P302" s="186"/>
      <c r="Q302" s="186"/>
      <c r="R302" s="186"/>
    </row>
    <row r="303" spans="1:18" s="90" customFormat="1" ht="36.75" hidden="1" customHeight="1">
      <c r="A303" s="317" t="s">
        <v>1101</v>
      </c>
      <c r="B303" s="149">
        <v>757</v>
      </c>
      <c r="C303" s="84" t="s">
        <v>44</v>
      </c>
      <c r="D303" s="84" t="s">
        <v>19</v>
      </c>
      <c r="E303" s="84" t="s">
        <v>1100</v>
      </c>
      <c r="F303" s="84"/>
      <c r="G303" s="87">
        <f>G304</f>
        <v>0</v>
      </c>
      <c r="H303" s="87">
        <f t="shared" ref="H303:I303" si="77">H304</f>
        <v>0</v>
      </c>
      <c r="I303" s="87">
        <f t="shared" si="77"/>
        <v>0</v>
      </c>
      <c r="J303" s="177"/>
      <c r="K303" s="186"/>
      <c r="L303" s="186"/>
      <c r="M303" s="186"/>
      <c r="N303" s="186"/>
      <c r="O303" s="186"/>
      <c r="P303" s="186"/>
      <c r="Q303" s="186"/>
      <c r="R303" s="186"/>
    </row>
    <row r="304" spans="1:18" s="90" customFormat="1" ht="25.5" hidden="1">
      <c r="A304" s="82" t="s">
        <v>30</v>
      </c>
      <c r="B304" s="149">
        <v>757</v>
      </c>
      <c r="C304" s="84" t="s">
        <v>44</v>
      </c>
      <c r="D304" s="84" t="s">
        <v>19</v>
      </c>
      <c r="E304" s="84" t="s">
        <v>1100</v>
      </c>
      <c r="F304" s="84" t="s">
        <v>31</v>
      </c>
      <c r="G304" s="87">
        <f>G305</f>
        <v>0</v>
      </c>
      <c r="H304" s="87">
        <f>H305</f>
        <v>0</v>
      </c>
      <c r="I304" s="87">
        <f>I305</f>
        <v>0</v>
      </c>
      <c r="J304" s="177"/>
      <c r="K304" s="186"/>
      <c r="L304" s="186"/>
      <c r="M304" s="186"/>
      <c r="N304" s="186"/>
      <c r="O304" s="186"/>
      <c r="P304" s="186"/>
      <c r="Q304" s="186"/>
      <c r="R304" s="186"/>
    </row>
    <row r="305" spans="1:18" s="90" customFormat="1" ht="19.5" hidden="1" customHeight="1">
      <c r="A305" s="82" t="s">
        <v>32</v>
      </c>
      <c r="B305" s="149">
        <v>757</v>
      </c>
      <c r="C305" s="84" t="s">
        <v>44</v>
      </c>
      <c r="D305" s="84" t="s">
        <v>19</v>
      </c>
      <c r="E305" s="84" t="s">
        <v>1100</v>
      </c>
      <c r="F305" s="84" t="s">
        <v>33</v>
      </c>
      <c r="G305" s="87"/>
      <c r="H305" s="87">
        <v>0</v>
      </c>
      <c r="I305" s="87">
        <v>0</v>
      </c>
      <c r="J305" s="177"/>
      <c r="K305" s="186"/>
      <c r="L305" s="186"/>
      <c r="M305" s="186"/>
      <c r="N305" s="186"/>
      <c r="O305" s="186"/>
      <c r="P305" s="186"/>
      <c r="Q305" s="186"/>
      <c r="R305" s="186"/>
    </row>
    <row r="306" spans="1:18" s="90" customFormat="1" ht="42" hidden="1" customHeight="1">
      <c r="A306" s="317" t="s">
        <v>1108</v>
      </c>
      <c r="B306" s="149">
        <v>757</v>
      </c>
      <c r="C306" s="84" t="s">
        <v>44</v>
      </c>
      <c r="D306" s="84" t="s">
        <v>19</v>
      </c>
      <c r="E306" s="84" t="s">
        <v>1102</v>
      </c>
      <c r="F306" s="84"/>
      <c r="G306" s="87">
        <f>G307</f>
        <v>0</v>
      </c>
      <c r="H306" s="87">
        <f t="shared" ref="H306:I306" si="78">H307</f>
        <v>0</v>
      </c>
      <c r="I306" s="87">
        <f t="shared" si="78"/>
        <v>0</v>
      </c>
      <c r="J306" s="177"/>
      <c r="K306" s="186"/>
      <c r="L306" s="186"/>
      <c r="M306" s="186"/>
      <c r="N306" s="186"/>
      <c r="O306" s="186"/>
      <c r="P306" s="186"/>
      <c r="Q306" s="186"/>
      <c r="R306" s="186"/>
    </row>
    <row r="307" spans="1:18" s="90" customFormat="1" ht="25.5" hidden="1">
      <c r="A307" s="82" t="s">
        <v>30</v>
      </c>
      <c r="B307" s="149">
        <v>757</v>
      </c>
      <c r="C307" s="84" t="s">
        <v>44</v>
      </c>
      <c r="D307" s="84" t="s">
        <v>19</v>
      </c>
      <c r="E307" s="84" t="s">
        <v>1102</v>
      </c>
      <c r="F307" s="84" t="s">
        <v>31</v>
      </c>
      <c r="G307" s="87">
        <f>G308</f>
        <v>0</v>
      </c>
      <c r="H307" s="87">
        <f>H308</f>
        <v>0</v>
      </c>
      <c r="I307" s="87">
        <f>I308</f>
        <v>0</v>
      </c>
      <c r="J307" s="177"/>
      <c r="K307" s="186"/>
      <c r="L307" s="186"/>
      <c r="M307" s="186"/>
      <c r="N307" s="186"/>
      <c r="O307" s="186"/>
      <c r="P307" s="186"/>
      <c r="Q307" s="186"/>
      <c r="R307" s="186"/>
    </row>
    <row r="308" spans="1:18" s="90" customFormat="1" ht="19.5" hidden="1" customHeight="1">
      <c r="A308" s="82" t="s">
        <v>32</v>
      </c>
      <c r="B308" s="149">
        <v>757</v>
      </c>
      <c r="C308" s="84" t="s">
        <v>44</v>
      </c>
      <c r="D308" s="84" t="s">
        <v>19</v>
      </c>
      <c r="E308" s="84" t="s">
        <v>1102</v>
      </c>
      <c r="F308" s="84" t="s">
        <v>33</v>
      </c>
      <c r="G308" s="87"/>
      <c r="H308" s="87">
        <v>0</v>
      </c>
      <c r="I308" s="87">
        <v>0</v>
      </c>
      <c r="J308" s="177"/>
      <c r="K308" s="186"/>
      <c r="L308" s="186"/>
      <c r="M308" s="186"/>
      <c r="N308" s="186"/>
      <c r="O308" s="186"/>
      <c r="P308" s="186"/>
      <c r="Q308" s="186"/>
      <c r="R308" s="186"/>
    </row>
    <row r="309" spans="1:18" s="90" customFormat="1" ht="21.75" customHeight="1">
      <c r="A309" s="82" t="s">
        <v>1104</v>
      </c>
      <c r="B309" s="149">
        <v>757</v>
      </c>
      <c r="C309" s="84" t="s">
        <v>44</v>
      </c>
      <c r="D309" s="84" t="s">
        <v>19</v>
      </c>
      <c r="E309" s="84" t="s">
        <v>1103</v>
      </c>
      <c r="F309" s="84"/>
      <c r="G309" s="87">
        <f>G310</f>
        <v>0</v>
      </c>
      <c r="H309" s="87">
        <f t="shared" ref="H309:I309" si="79">H310</f>
        <v>462570</v>
      </c>
      <c r="I309" s="87">
        <f t="shared" si="79"/>
        <v>0</v>
      </c>
      <c r="J309" s="177"/>
      <c r="K309" s="186"/>
      <c r="L309" s="186"/>
      <c r="M309" s="186"/>
      <c r="N309" s="186"/>
      <c r="O309" s="186"/>
      <c r="P309" s="186"/>
      <c r="Q309" s="186"/>
      <c r="R309" s="186"/>
    </row>
    <row r="310" spans="1:18" s="90" customFormat="1" ht="25.5">
      <c r="A310" s="82" t="s">
        <v>30</v>
      </c>
      <c r="B310" s="149">
        <v>757</v>
      </c>
      <c r="C310" s="84" t="s">
        <v>44</v>
      </c>
      <c r="D310" s="84" t="s">
        <v>19</v>
      </c>
      <c r="E310" s="84" t="s">
        <v>1103</v>
      </c>
      <c r="F310" s="84" t="s">
        <v>31</v>
      </c>
      <c r="G310" s="87">
        <f>G311</f>
        <v>0</v>
      </c>
      <c r="H310" s="87">
        <f>H311</f>
        <v>462570</v>
      </c>
      <c r="I310" s="87">
        <f>I311</f>
        <v>0</v>
      </c>
      <c r="J310" s="177"/>
      <c r="K310" s="186"/>
      <c r="L310" s="186"/>
      <c r="M310" s="186"/>
      <c r="N310" s="186"/>
      <c r="O310" s="186"/>
      <c r="P310" s="186"/>
      <c r="Q310" s="186"/>
      <c r="R310" s="186"/>
    </row>
    <row r="311" spans="1:18" s="90" customFormat="1" ht="19.5" customHeight="1">
      <c r="A311" s="82" t="s">
        <v>32</v>
      </c>
      <c r="B311" s="149">
        <v>757</v>
      </c>
      <c r="C311" s="84" t="s">
        <v>44</v>
      </c>
      <c r="D311" s="84" t="s">
        <v>19</v>
      </c>
      <c r="E311" s="84" t="s">
        <v>1103</v>
      </c>
      <c r="F311" s="84" t="s">
        <v>33</v>
      </c>
      <c r="G311" s="87">
        <v>0</v>
      </c>
      <c r="H311" s="87">
        <v>462570</v>
      </c>
      <c r="I311" s="87"/>
      <c r="J311" s="177"/>
      <c r="K311" s="186"/>
      <c r="L311" s="186"/>
      <c r="M311" s="186"/>
      <c r="N311" s="186"/>
      <c r="O311" s="186"/>
      <c r="P311" s="186"/>
      <c r="Q311" s="186"/>
      <c r="R311" s="186"/>
    </row>
    <row r="312" spans="1:18" s="90" customFormat="1" ht="42" customHeight="1">
      <c r="A312" s="82" t="s">
        <v>1106</v>
      </c>
      <c r="B312" s="149">
        <v>757</v>
      </c>
      <c r="C312" s="84" t="s">
        <v>44</v>
      </c>
      <c r="D312" s="84" t="s">
        <v>19</v>
      </c>
      <c r="E312" s="84" t="s">
        <v>1107</v>
      </c>
      <c r="F312" s="84"/>
      <c r="G312" s="87">
        <f>G313</f>
        <v>64800</v>
      </c>
      <c r="H312" s="87">
        <f t="shared" ref="H312:I312" si="80">H313</f>
        <v>0</v>
      </c>
      <c r="I312" s="87">
        <f t="shared" si="80"/>
        <v>0</v>
      </c>
      <c r="J312" s="177"/>
      <c r="K312" s="186"/>
      <c r="L312" s="186"/>
      <c r="M312" s="186"/>
      <c r="N312" s="186"/>
      <c r="O312" s="186"/>
      <c r="P312" s="186"/>
      <c r="Q312" s="186"/>
      <c r="R312" s="186"/>
    </row>
    <row r="313" spans="1:18" s="90" customFormat="1" ht="25.5">
      <c r="A313" s="82" t="s">
        <v>30</v>
      </c>
      <c r="B313" s="149">
        <v>757</v>
      </c>
      <c r="C313" s="84" t="s">
        <v>44</v>
      </c>
      <c r="D313" s="84" t="s">
        <v>19</v>
      </c>
      <c r="E313" s="84" t="s">
        <v>1107</v>
      </c>
      <c r="F313" s="84" t="s">
        <v>31</v>
      </c>
      <c r="G313" s="87">
        <f>G314</f>
        <v>64800</v>
      </c>
      <c r="H313" s="87">
        <f>H314</f>
        <v>0</v>
      </c>
      <c r="I313" s="87">
        <f>I314</f>
        <v>0</v>
      </c>
      <c r="J313" s="177"/>
      <c r="K313" s="186"/>
      <c r="L313" s="186"/>
      <c r="M313" s="186"/>
      <c r="N313" s="186"/>
      <c r="O313" s="186"/>
      <c r="P313" s="186"/>
      <c r="Q313" s="186"/>
      <c r="R313" s="186"/>
    </row>
    <row r="314" spans="1:18" s="90" customFormat="1" ht="19.5" customHeight="1">
      <c r="A314" s="82" t="s">
        <v>32</v>
      </c>
      <c r="B314" s="149">
        <v>757</v>
      </c>
      <c r="C314" s="84" t="s">
        <v>44</v>
      </c>
      <c r="D314" s="84" t="s">
        <v>19</v>
      </c>
      <c r="E314" s="84" t="s">
        <v>1107</v>
      </c>
      <c r="F314" s="84" t="s">
        <v>33</v>
      </c>
      <c r="G314" s="87">
        <v>64800</v>
      </c>
      <c r="H314" s="87"/>
      <c r="I314" s="87"/>
      <c r="J314" s="177"/>
      <c r="K314" s="186"/>
      <c r="L314" s="186"/>
      <c r="M314" s="186"/>
      <c r="N314" s="186"/>
      <c r="O314" s="186"/>
      <c r="P314" s="186"/>
      <c r="Q314" s="186"/>
      <c r="R314" s="186"/>
    </row>
    <row r="315" spans="1:18" s="90" customFormat="1" ht="79.5" customHeight="1">
      <c r="A315" s="82" t="s">
        <v>576</v>
      </c>
      <c r="B315" s="149">
        <v>757</v>
      </c>
      <c r="C315" s="84" t="s">
        <v>44</v>
      </c>
      <c r="D315" s="84" t="s">
        <v>19</v>
      </c>
      <c r="E315" s="84" t="s">
        <v>1018</v>
      </c>
      <c r="F315" s="84"/>
      <c r="G315" s="87">
        <f>G316</f>
        <v>4562610.8899999997</v>
      </c>
      <c r="H315" s="87">
        <f t="shared" ref="H315:I315" si="81">H316</f>
        <v>0</v>
      </c>
      <c r="I315" s="87">
        <f t="shared" si="81"/>
        <v>0</v>
      </c>
      <c r="J315" s="177"/>
      <c r="K315" s="186"/>
      <c r="L315" s="186"/>
      <c r="M315" s="186"/>
      <c r="N315" s="186"/>
      <c r="O315" s="186"/>
      <c r="P315" s="186"/>
      <c r="Q315" s="186"/>
      <c r="R315" s="186"/>
    </row>
    <row r="316" spans="1:18" s="90" customFormat="1" ht="25.5">
      <c r="A316" s="82" t="s">
        <v>30</v>
      </c>
      <c r="B316" s="149">
        <v>757</v>
      </c>
      <c r="C316" s="84" t="s">
        <v>44</v>
      </c>
      <c r="D316" s="84" t="s">
        <v>19</v>
      </c>
      <c r="E316" s="84" t="s">
        <v>1018</v>
      </c>
      <c r="F316" s="84" t="s">
        <v>31</v>
      </c>
      <c r="G316" s="87">
        <f>G317</f>
        <v>4562610.8899999997</v>
      </c>
      <c r="H316" s="87">
        <f>H317</f>
        <v>0</v>
      </c>
      <c r="I316" s="87">
        <f>I317</f>
        <v>0</v>
      </c>
      <c r="J316" s="177"/>
      <c r="K316" s="186"/>
      <c r="L316" s="186"/>
      <c r="M316" s="186"/>
      <c r="N316" s="186"/>
      <c r="O316" s="186"/>
      <c r="P316" s="186"/>
      <c r="Q316" s="186"/>
      <c r="R316" s="186"/>
    </row>
    <row r="317" spans="1:18" s="90" customFormat="1" ht="19.5" customHeight="1">
      <c r="A317" s="82" t="s">
        <v>32</v>
      </c>
      <c r="B317" s="149">
        <v>757</v>
      </c>
      <c r="C317" s="84" t="s">
        <v>44</v>
      </c>
      <c r="D317" s="84" t="s">
        <v>19</v>
      </c>
      <c r="E317" s="84" t="s">
        <v>1018</v>
      </c>
      <c r="F317" s="84" t="s">
        <v>33</v>
      </c>
      <c r="G317" s="87">
        <v>4562610.8899999997</v>
      </c>
      <c r="H317" s="87">
        <v>0</v>
      </c>
      <c r="I317" s="87">
        <v>0</v>
      </c>
      <c r="J317" s="177"/>
      <c r="K317" s="186"/>
      <c r="L317" s="186"/>
      <c r="M317" s="186"/>
      <c r="N317" s="186"/>
      <c r="O317" s="186"/>
      <c r="P317" s="186"/>
      <c r="Q317" s="186"/>
      <c r="R317" s="186"/>
    </row>
    <row r="318" spans="1:18" s="90" customFormat="1" ht="71.25" customHeight="1">
      <c r="A318" s="82" t="s">
        <v>970</v>
      </c>
      <c r="B318" s="149">
        <v>757</v>
      </c>
      <c r="C318" s="84" t="s">
        <v>44</v>
      </c>
      <c r="D318" s="84" t="s">
        <v>19</v>
      </c>
      <c r="E318" s="84" t="s">
        <v>969</v>
      </c>
      <c r="F318" s="84"/>
      <c r="G318" s="87">
        <f>G319</f>
        <v>40000</v>
      </c>
      <c r="H318" s="87">
        <f t="shared" ref="H318:I318" si="82">H319</f>
        <v>0</v>
      </c>
      <c r="I318" s="87">
        <f t="shared" si="82"/>
        <v>0</v>
      </c>
      <c r="J318" s="177"/>
      <c r="K318" s="186"/>
      <c r="L318" s="186"/>
      <c r="M318" s="186"/>
      <c r="N318" s="186"/>
      <c r="O318" s="186"/>
      <c r="P318" s="186"/>
      <c r="Q318" s="186"/>
      <c r="R318" s="186"/>
    </row>
    <row r="319" spans="1:18" s="90" customFormat="1" ht="25.5">
      <c r="A319" s="82" t="s">
        <v>30</v>
      </c>
      <c r="B319" s="149">
        <v>757</v>
      </c>
      <c r="C319" s="84" t="s">
        <v>44</v>
      </c>
      <c r="D319" s="84" t="s">
        <v>19</v>
      </c>
      <c r="E319" s="84" t="s">
        <v>969</v>
      </c>
      <c r="F319" s="84" t="s">
        <v>31</v>
      </c>
      <c r="G319" s="87">
        <f>G320</f>
        <v>40000</v>
      </c>
      <c r="H319" s="87">
        <f>H320</f>
        <v>0</v>
      </c>
      <c r="I319" s="87">
        <f>I320</f>
        <v>0</v>
      </c>
      <c r="J319" s="177"/>
      <c r="K319" s="186"/>
      <c r="L319" s="186"/>
      <c r="M319" s="186"/>
      <c r="N319" s="186"/>
      <c r="O319" s="186"/>
      <c r="P319" s="186"/>
      <c r="Q319" s="186"/>
      <c r="R319" s="186"/>
    </row>
    <row r="320" spans="1:18" s="90" customFormat="1" ht="19.5" customHeight="1">
      <c r="A320" s="82" t="s">
        <v>32</v>
      </c>
      <c r="B320" s="149">
        <v>757</v>
      </c>
      <c r="C320" s="84" t="s">
        <v>44</v>
      </c>
      <c r="D320" s="84" t="s">
        <v>19</v>
      </c>
      <c r="E320" s="84" t="s">
        <v>969</v>
      </c>
      <c r="F320" s="84" t="s">
        <v>33</v>
      </c>
      <c r="G320" s="87">
        <v>40000</v>
      </c>
      <c r="H320" s="87">
        <v>0</v>
      </c>
      <c r="I320" s="87">
        <v>0</v>
      </c>
      <c r="J320" s="177"/>
      <c r="K320" s="186"/>
      <c r="L320" s="186"/>
      <c r="M320" s="186"/>
      <c r="N320" s="186"/>
      <c r="O320" s="186"/>
      <c r="P320" s="186"/>
      <c r="Q320" s="186"/>
      <c r="R320" s="186"/>
    </row>
    <row r="321" spans="1:20" s="90" customFormat="1" ht="42" customHeight="1">
      <c r="A321" s="82" t="s">
        <v>1049</v>
      </c>
      <c r="B321" s="149">
        <v>757</v>
      </c>
      <c r="C321" s="84" t="s">
        <v>44</v>
      </c>
      <c r="D321" s="84" t="s">
        <v>19</v>
      </c>
      <c r="E321" s="84" t="s">
        <v>873</v>
      </c>
      <c r="F321" s="84"/>
      <c r="G321" s="87">
        <f>G322</f>
        <v>0</v>
      </c>
      <c r="H321" s="87">
        <f t="shared" ref="H321:I321" si="83">H322</f>
        <v>0</v>
      </c>
      <c r="I321" s="87">
        <f t="shared" si="83"/>
        <v>0</v>
      </c>
      <c r="J321" s="177"/>
      <c r="K321" s="186"/>
      <c r="L321" s="186"/>
      <c r="M321" s="186"/>
      <c r="N321" s="186"/>
      <c r="O321" s="186"/>
      <c r="P321" s="186"/>
      <c r="Q321" s="186"/>
      <c r="R321" s="186"/>
    </row>
    <row r="322" spans="1:20" s="90" customFormat="1" ht="25.5">
      <c r="A322" s="82" t="s">
        <v>30</v>
      </c>
      <c r="B322" s="149">
        <v>757</v>
      </c>
      <c r="C322" s="84" t="s">
        <v>44</v>
      </c>
      <c r="D322" s="84" t="s">
        <v>19</v>
      </c>
      <c r="E322" s="84" t="s">
        <v>873</v>
      </c>
      <c r="F322" s="84" t="s">
        <v>31</v>
      </c>
      <c r="G322" s="87">
        <f>G323</f>
        <v>0</v>
      </c>
      <c r="H322" s="87">
        <f>H323</f>
        <v>0</v>
      </c>
      <c r="I322" s="87">
        <f>I323</f>
        <v>0</v>
      </c>
      <c r="J322" s="177"/>
      <c r="K322" s="186"/>
      <c r="L322" s="186"/>
      <c r="M322" s="186"/>
      <c r="N322" s="186"/>
      <c r="O322" s="186"/>
      <c r="P322" s="186"/>
      <c r="Q322" s="186"/>
      <c r="R322" s="186"/>
    </row>
    <row r="323" spans="1:20" s="90" customFormat="1" ht="19.5" customHeight="1">
      <c r="A323" s="82" t="s">
        <v>32</v>
      </c>
      <c r="B323" s="149">
        <v>757</v>
      </c>
      <c r="C323" s="84" t="s">
        <v>44</v>
      </c>
      <c r="D323" s="84" t="s">
        <v>19</v>
      </c>
      <c r="E323" s="84" t="s">
        <v>873</v>
      </c>
      <c r="F323" s="84" t="s">
        <v>33</v>
      </c>
      <c r="G323" s="87"/>
      <c r="H323" s="87">
        <v>0</v>
      </c>
      <c r="I323" s="87">
        <v>0</v>
      </c>
      <c r="J323" s="177"/>
      <c r="K323" s="186"/>
      <c r="L323" s="186"/>
      <c r="M323" s="186"/>
      <c r="N323" s="186"/>
      <c r="O323" s="186"/>
      <c r="P323" s="186"/>
      <c r="Q323" s="186"/>
      <c r="R323" s="186"/>
    </row>
    <row r="324" spans="1:20" s="90" customFormat="1" ht="39.75" customHeight="1">
      <c r="A324" s="143" t="s">
        <v>755</v>
      </c>
      <c r="B324" s="149">
        <v>757</v>
      </c>
      <c r="C324" s="84" t="s">
        <v>44</v>
      </c>
      <c r="D324" s="84" t="s">
        <v>19</v>
      </c>
      <c r="E324" s="84" t="s">
        <v>1050</v>
      </c>
      <c r="F324" s="149"/>
      <c r="G324" s="85">
        <f>G325</f>
        <v>155000</v>
      </c>
      <c r="H324" s="85">
        <f t="shared" ref="H324:I324" si="84">H325</f>
        <v>0</v>
      </c>
      <c r="I324" s="85">
        <f t="shared" si="84"/>
        <v>0</v>
      </c>
      <c r="P324" s="126"/>
      <c r="Q324" s="126"/>
      <c r="R324" s="126"/>
      <c r="S324" s="126"/>
      <c r="T324" s="126"/>
    </row>
    <row r="325" spans="1:20" ht="49.5" customHeight="1">
      <c r="A325" s="82" t="s">
        <v>30</v>
      </c>
      <c r="B325" s="149">
        <v>757</v>
      </c>
      <c r="C325" s="84" t="s">
        <v>44</v>
      </c>
      <c r="D325" s="84" t="s">
        <v>19</v>
      </c>
      <c r="E325" s="84" t="s">
        <v>1050</v>
      </c>
      <c r="F325" s="84" t="s">
        <v>31</v>
      </c>
      <c r="G325" s="85">
        <f>G326</f>
        <v>155000</v>
      </c>
      <c r="H325" s="85">
        <f>H326</f>
        <v>0</v>
      </c>
      <c r="I325" s="85">
        <f>I326</f>
        <v>0</v>
      </c>
      <c r="J325" s="90"/>
      <c r="K325" s="1"/>
      <c r="L325" s="1"/>
      <c r="M325" s="1"/>
      <c r="N325" s="1"/>
      <c r="O325" s="1"/>
      <c r="P325" s="2"/>
      <c r="Q325" s="2"/>
      <c r="R325" s="2"/>
      <c r="S325" s="2"/>
      <c r="T325" s="2"/>
    </row>
    <row r="326" spans="1:20">
      <c r="A326" s="82" t="s">
        <v>32</v>
      </c>
      <c r="B326" s="149">
        <v>757</v>
      </c>
      <c r="C326" s="84" t="s">
        <v>44</v>
      </c>
      <c r="D326" s="84" t="s">
        <v>19</v>
      </c>
      <c r="E326" s="84" t="s">
        <v>1050</v>
      </c>
      <c r="F326" s="84" t="s">
        <v>33</v>
      </c>
      <c r="G326" s="85">
        <v>155000</v>
      </c>
      <c r="H326" s="85">
        <v>0</v>
      </c>
      <c r="I326" s="85">
        <v>0</v>
      </c>
      <c r="J326" s="90"/>
      <c r="K326" s="1"/>
      <c r="L326" s="1"/>
      <c r="M326" s="1"/>
      <c r="N326" s="1"/>
      <c r="O326" s="1"/>
      <c r="P326" s="2"/>
      <c r="Q326" s="2"/>
      <c r="R326" s="2"/>
      <c r="S326" s="2"/>
      <c r="T326" s="2"/>
    </row>
    <row r="327" spans="1:20" s="165" customFormat="1" ht="30.75" hidden="1" customHeight="1">
      <c r="A327" s="139" t="s">
        <v>273</v>
      </c>
      <c r="B327" s="149">
        <v>757</v>
      </c>
      <c r="C327" s="84" t="s">
        <v>44</v>
      </c>
      <c r="D327" s="84" t="s">
        <v>19</v>
      </c>
      <c r="E327" s="84" t="s">
        <v>571</v>
      </c>
      <c r="F327" s="84"/>
      <c r="G327" s="87">
        <f>G328</f>
        <v>0</v>
      </c>
      <c r="H327" s="274">
        <v>0</v>
      </c>
      <c r="I327" s="274">
        <v>0</v>
      </c>
      <c r="J327" s="193"/>
      <c r="K327" s="206"/>
      <c r="L327" s="206"/>
      <c r="M327" s="206"/>
      <c r="N327" s="206"/>
      <c r="O327" s="206"/>
      <c r="P327" s="206"/>
      <c r="Q327" s="206"/>
      <c r="R327" s="206"/>
    </row>
    <row r="328" spans="1:20" ht="30.75" hidden="1" customHeight="1">
      <c r="A328" s="82" t="s">
        <v>273</v>
      </c>
      <c r="B328" s="149">
        <v>757</v>
      </c>
      <c r="C328" s="84" t="s">
        <v>44</v>
      </c>
      <c r="D328" s="84" t="s">
        <v>19</v>
      </c>
      <c r="E328" s="84" t="s">
        <v>572</v>
      </c>
      <c r="F328" s="84"/>
      <c r="G328" s="87">
        <f>G335</f>
        <v>0</v>
      </c>
      <c r="H328" s="87">
        <v>0</v>
      </c>
      <c r="I328" s="87">
        <v>0</v>
      </c>
      <c r="J328" s="177"/>
    </row>
    <row r="329" spans="1:20" ht="30.75" hidden="1" customHeight="1">
      <c r="A329" s="82" t="s">
        <v>36</v>
      </c>
      <c r="B329" s="83">
        <v>757</v>
      </c>
      <c r="C329" s="84" t="s">
        <v>173</v>
      </c>
      <c r="D329" s="84" t="s">
        <v>28</v>
      </c>
      <c r="E329" s="84" t="s">
        <v>572</v>
      </c>
      <c r="F329" s="84" t="s">
        <v>37</v>
      </c>
      <c r="G329" s="87">
        <f>G330</f>
        <v>0</v>
      </c>
      <c r="H329" s="87">
        <v>0</v>
      </c>
      <c r="I329" s="87">
        <v>0</v>
      </c>
      <c r="J329" s="177"/>
    </row>
    <row r="330" spans="1:20" ht="30.75" hidden="1" customHeight="1">
      <c r="A330" s="82" t="s">
        <v>38</v>
      </c>
      <c r="B330" s="83">
        <v>757</v>
      </c>
      <c r="C330" s="84" t="s">
        <v>173</v>
      </c>
      <c r="D330" s="84" t="s">
        <v>28</v>
      </c>
      <c r="E330" s="84" t="s">
        <v>572</v>
      </c>
      <c r="F330" s="84" t="s">
        <v>39</v>
      </c>
      <c r="G330" s="87">
        <f>'прил 5,'!G739</f>
        <v>0</v>
      </c>
      <c r="H330" s="87">
        <v>0</v>
      </c>
      <c r="I330" s="87">
        <v>0</v>
      </c>
      <c r="J330" s="177"/>
    </row>
    <row r="331" spans="1:20" ht="23.25" hidden="1" customHeight="1">
      <c r="A331" s="82" t="s">
        <v>148</v>
      </c>
      <c r="B331" s="149">
        <v>757</v>
      </c>
      <c r="C331" s="84" t="s">
        <v>70</v>
      </c>
      <c r="D331" s="84" t="s">
        <v>123</v>
      </c>
      <c r="E331" s="84" t="s">
        <v>572</v>
      </c>
      <c r="F331" s="84" t="s">
        <v>149</v>
      </c>
      <c r="G331" s="87">
        <f>G332</f>
        <v>0</v>
      </c>
      <c r="H331" s="87">
        <v>0</v>
      </c>
      <c r="I331" s="87">
        <v>0</v>
      </c>
      <c r="J331" s="177"/>
    </row>
    <row r="332" spans="1:20" ht="30.75" hidden="1" customHeight="1">
      <c r="A332" s="82" t="s">
        <v>150</v>
      </c>
      <c r="B332" s="149">
        <v>757</v>
      </c>
      <c r="C332" s="84" t="s">
        <v>70</v>
      </c>
      <c r="D332" s="84" t="s">
        <v>123</v>
      </c>
      <c r="E332" s="84" t="s">
        <v>572</v>
      </c>
      <c r="F332" s="84" t="s">
        <v>151</v>
      </c>
      <c r="G332" s="87"/>
      <c r="H332" s="87">
        <v>0</v>
      </c>
      <c r="I332" s="87">
        <v>0</v>
      </c>
      <c r="J332" s="177"/>
    </row>
    <row r="333" spans="1:20" ht="21.75" hidden="1" customHeight="1">
      <c r="A333" s="82" t="s">
        <v>156</v>
      </c>
      <c r="B333" s="149">
        <v>757</v>
      </c>
      <c r="C333" s="84" t="s">
        <v>173</v>
      </c>
      <c r="D333" s="84" t="s">
        <v>70</v>
      </c>
      <c r="E333" s="84" t="s">
        <v>572</v>
      </c>
      <c r="F333" s="84" t="s">
        <v>157</v>
      </c>
      <c r="G333" s="87">
        <f>G334</f>
        <v>0</v>
      </c>
      <c r="H333" s="87">
        <v>0</v>
      </c>
      <c r="I333" s="87">
        <v>0</v>
      </c>
      <c r="J333" s="177"/>
    </row>
    <row r="334" spans="1:20" ht="22.5" hidden="1" customHeight="1">
      <c r="A334" s="82" t="s">
        <v>178</v>
      </c>
      <c r="B334" s="149">
        <v>757</v>
      </c>
      <c r="C334" s="84" t="s">
        <v>173</v>
      </c>
      <c r="D334" s="84" t="s">
        <v>70</v>
      </c>
      <c r="E334" s="84" t="s">
        <v>572</v>
      </c>
      <c r="F334" s="84" t="s">
        <v>179</v>
      </c>
      <c r="G334" s="87"/>
      <c r="H334" s="87">
        <v>0</v>
      </c>
      <c r="I334" s="87">
        <v>0</v>
      </c>
      <c r="J334" s="177"/>
    </row>
    <row r="335" spans="1:20" ht="25.5" hidden="1">
      <c r="A335" s="82" t="s">
        <v>30</v>
      </c>
      <c r="B335" s="149">
        <v>757</v>
      </c>
      <c r="C335" s="84" t="s">
        <v>44</v>
      </c>
      <c r="D335" s="84" t="s">
        <v>19</v>
      </c>
      <c r="E335" s="84" t="s">
        <v>572</v>
      </c>
      <c r="F335" s="84" t="s">
        <v>31</v>
      </c>
      <c r="G335" s="85">
        <f t="shared" ref="G335:I335" si="85">G336</f>
        <v>0</v>
      </c>
      <c r="H335" s="85">
        <f t="shared" si="85"/>
        <v>0</v>
      </c>
      <c r="I335" s="85">
        <f t="shared" si="85"/>
        <v>0</v>
      </c>
      <c r="J335" s="178"/>
    </row>
    <row r="336" spans="1:20" hidden="1">
      <c r="A336" s="82" t="s">
        <v>32</v>
      </c>
      <c r="B336" s="149">
        <v>757</v>
      </c>
      <c r="C336" s="84" t="s">
        <v>44</v>
      </c>
      <c r="D336" s="84" t="s">
        <v>19</v>
      </c>
      <c r="E336" s="84" t="s">
        <v>572</v>
      </c>
      <c r="F336" s="84" t="s">
        <v>33</v>
      </c>
      <c r="G336" s="85"/>
      <c r="H336" s="85"/>
      <c r="I336" s="85"/>
      <c r="J336" s="178"/>
    </row>
    <row r="337" spans="1:18" s="169" customFormat="1" ht="34.5" hidden="1" customHeight="1">
      <c r="A337" s="139" t="s">
        <v>169</v>
      </c>
      <c r="B337" s="149">
        <v>757</v>
      </c>
      <c r="C337" s="84" t="s">
        <v>44</v>
      </c>
      <c r="D337" s="84" t="s">
        <v>19</v>
      </c>
      <c r="E337" s="84" t="s">
        <v>234</v>
      </c>
      <c r="F337" s="168"/>
      <c r="G337" s="87">
        <f>G338</f>
        <v>0</v>
      </c>
      <c r="H337" s="87">
        <f t="shared" ref="H337:I338" si="86">H338</f>
        <v>0</v>
      </c>
      <c r="I337" s="87">
        <f t="shared" si="86"/>
        <v>0</v>
      </c>
      <c r="J337" s="177"/>
      <c r="K337" s="210"/>
      <c r="L337" s="204"/>
      <c r="M337" s="204"/>
      <c r="N337" s="204"/>
      <c r="O337" s="204"/>
      <c r="P337" s="204"/>
      <c r="Q337" s="204"/>
      <c r="R337" s="204"/>
    </row>
    <row r="338" spans="1:18" s="90" customFormat="1" ht="25.5" hidden="1">
      <c r="A338" s="139" t="s">
        <v>169</v>
      </c>
      <c r="B338" s="149">
        <v>757</v>
      </c>
      <c r="C338" s="84" t="s">
        <v>44</v>
      </c>
      <c r="D338" s="84" t="s">
        <v>19</v>
      </c>
      <c r="E338" s="84" t="s">
        <v>276</v>
      </c>
      <c r="F338" s="149"/>
      <c r="G338" s="87">
        <f>G339</f>
        <v>0</v>
      </c>
      <c r="H338" s="87">
        <f t="shared" si="86"/>
        <v>0</v>
      </c>
      <c r="I338" s="87">
        <f t="shared" si="86"/>
        <v>0</v>
      </c>
      <c r="J338" s="177"/>
      <c r="K338" s="209"/>
      <c r="L338" s="186"/>
      <c r="M338" s="186"/>
      <c r="N338" s="186"/>
      <c r="O338" s="186"/>
      <c r="P338" s="186"/>
      <c r="Q338" s="186"/>
      <c r="R338" s="186"/>
    </row>
    <row r="339" spans="1:18" ht="24" hidden="1" customHeight="1">
      <c r="A339" s="82" t="s">
        <v>30</v>
      </c>
      <c r="B339" s="149">
        <v>757</v>
      </c>
      <c r="C339" s="84" t="s">
        <v>44</v>
      </c>
      <c r="D339" s="84" t="s">
        <v>19</v>
      </c>
      <c r="E339" s="84" t="s">
        <v>276</v>
      </c>
      <c r="F339" s="84" t="s">
        <v>31</v>
      </c>
      <c r="G339" s="87">
        <f>G340</f>
        <v>0</v>
      </c>
      <c r="H339" s="87">
        <f>H340</f>
        <v>0</v>
      </c>
      <c r="I339" s="87">
        <f>I340</f>
        <v>0</v>
      </c>
      <c r="J339" s="177"/>
    </row>
    <row r="340" spans="1:18" ht="18" hidden="1" customHeight="1">
      <c r="A340" s="82" t="s">
        <v>32</v>
      </c>
      <c r="B340" s="149">
        <v>757</v>
      </c>
      <c r="C340" s="84" t="s">
        <v>44</v>
      </c>
      <c r="D340" s="84" t="s">
        <v>19</v>
      </c>
      <c r="E340" s="84" t="s">
        <v>276</v>
      </c>
      <c r="F340" s="84" t="s">
        <v>33</v>
      </c>
      <c r="G340" s="87"/>
      <c r="H340" s="87"/>
      <c r="I340" s="87"/>
      <c r="J340" s="177"/>
    </row>
    <row r="341" spans="1:18" ht="34.9" customHeight="1">
      <c r="A341" s="139" t="s">
        <v>169</v>
      </c>
      <c r="B341" s="149">
        <v>757</v>
      </c>
      <c r="C341" s="84" t="s">
        <v>44</v>
      </c>
      <c r="D341" s="84" t="s">
        <v>19</v>
      </c>
      <c r="E341" s="84" t="s">
        <v>234</v>
      </c>
      <c r="F341" s="168"/>
      <c r="G341" s="87">
        <f>G342</f>
        <v>174496</v>
      </c>
      <c r="H341" s="87"/>
      <c r="I341" s="87"/>
      <c r="J341" s="177"/>
    </row>
    <row r="342" spans="1:18" ht="30.6" customHeight="1">
      <c r="A342" s="82" t="s">
        <v>30</v>
      </c>
      <c r="B342" s="149">
        <v>757</v>
      </c>
      <c r="C342" s="84" t="s">
        <v>44</v>
      </c>
      <c r="D342" s="84" t="s">
        <v>19</v>
      </c>
      <c r="E342" s="84" t="s">
        <v>276</v>
      </c>
      <c r="F342" s="149"/>
      <c r="G342" s="87">
        <f>G343</f>
        <v>174496</v>
      </c>
      <c r="H342" s="87"/>
      <c r="I342" s="87"/>
      <c r="J342" s="177"/>
    </row>
    <row r="343" spans="1:18" ht="18" customHeight="1">
      <c r="A343" s="82" t="s">
        <v>32</v>
      </c>
      <c r="B343" s="149">
        <v>757</v>
      </c>
      <c r="C343" s="84" t="s">
        <v>44</v>
      </c>
      <c r="D343" s="84" t="s">
        <v>19</v>
      </c>
      <c r="E343" s="84" t="s">
        <v>276</v>
      </c>
      <c r="F343" s="84" t="s">
        <v>33</v>
      </c>
      <c r="G343" s="87">
        <v>174496</v>
      </c>
      <c r="H343" s="87"/>
      <c r="I343" s="87"/>
      <c r="J343" s="177"/>
    </row>
    <row r="344" spans="1:18" s="28" customFormat="1" ht="22.5" customHeight="1">
      <c r="A344" s="135" t="s">
        <v>53</v>
      </c>
      <c r="B344" s="149">
        <v>757</v>
      </c>
      <c r="C344" s="84" t="s">
        <v>44</v>
      </c>
      <c r="D344" s="84" t="s">
        <v>54</v>
      </c>
      <c r="E344" s="84"/>
      <c r="F344" s="84"/>
      <c r="G344" s="94">
        <f t="shared" ref="G344:I345" si="87">G345</f>
        <v>5335539</v>
      </c>
      <c r="H344" s="94">
        <f t="shared" si="87"/>
        <v>5399005</v>
      </c>
      <c r="I344" s="94">
        <f t="shared" si="87"/>
        <v>5449713</v>
      </c>
      <c r="J344" s="194"/>
      <c r="K344" s="204"/>
      <c r="L344" s="204"/>
      <c r="M344" s="204"/>
      <c r="N344" s="204"/>
      <c r="O344" s="204"/>
      <c r="P344" s="204"/>
      <c r="Q344" s="204"/>
      <c r="R344" s="204"/>
    </row>
    <row r="345" spans="1:18" ht="25.5">
      <c r="A345" s="82" t="s">
        <v>488</v>
      </c>
      <c r="B345" s="149">
        <v>757</v>
      </c>
      <c r="C345" s="84" t="s">
        <v>44</v>
      </c>
      <c r="D345" s="84" t="s">
        <v>54</v>
      </c>
      <c r="E345" s="84" t="s">
        <v>193</v>
      </c>
      <c r="F345" s="84"/>
      <c r="G345" s="93">
        <f t="shared" si="87"/>
        <v>5335539</v>
      </c>
      <c r="H345" s="93">
        <f t="shared" si="87"/>
        <v>5399005</v>
      </c>
      <c r="I345" s="93">
        <f t="shared" si="87"/>
        <v>5449713</v>
      </c>
      <c r="J345" s="195"/>
    </row>
    <row r="346" spans="1:18" s="28" customFormat="1" ht="25.5">
      <c r="A346" s="135" t="s">
        <v>76</v>
      </c>
      <c r="B346" s="149">
        <v>757</v>
      </c>
      <c r="C346" s="84" t="s">
        <v>44</v>
      </c>
      <c r="D346" s="84" t="s">
        <v>54</v>
      </c>
      <c r="E346" s="84" t="s">
        <v>204</v>
      </c>
      <c r="F346" s="84"/>
      <c r="G346" s="93">
        <f>G347+G349+G351</f>
        <v>5335539</v>
      </c>
      <c r="H346" s="93">
        <f>H347+H349+H351</f>
        <v>5399005</v>
      </c>
      <c r="I346" s="93">
        <f>I347+I349+I351</f>
        <v>5449713</v>
      </c>
      <c r="J346" s="195"/>
      <c r="K346" s="204"/>
      <c r="L346" s="204"/>
      <c r="M346" s="204"/>
      <c r="N346" s="204"/>
      <c r="O346" s="204"/>
      <c r="P346" s="204"/>
      <c r="Q346" s="204"/>
      <c r="R346" s="204"/>
    </row>
    <row r="347" spans="1:18" s="32" customFormat="1" ht="63.75">
      <c r="A347" s="82" t="s">
        <v>55</v>
      </c>
      <c r="B347" s="149">
        <v>757</v>
      </c>
      <c r="C347" s="84" t="s">
        <v>44</v>
      </c>
      <c r="D347" s="84" t="s">
        <v>54</v>
      </c>
      <c r="E347" s="84" t="s">
        <v>204</v>
      </c>
      <c r="F347" s="84" t="s">
        <v>58</v>
      </c>
      <c r="G347" s="87">
        <f>G348</f>
        <v>5165255</v>
      </c>
      <c r="H347" s="87">
        <f>H348</f>
        <v>5215460</v>
      </c>
      <c r="I347" s="87">
        <f>I348</f>
        <v>5266168</v>
      </c>
      <c r="J347" s="177"/>
      <c r="K347" s="203"/>
      <c r="L347" s="203"/>
      <c r="M347" s="203"/>
      <c r="N347" s="203"/>
      <c r="O347" s="203"/>
      <c r="P347" s="203"/>
      <c r="Q347" s="203"/>
      <c r="R347" s="203"/>
    </row>
    <row r="348" spans="1:18" s="32" customFormat="1" ht="25.5">
      <c r="A348" s="82" t="s">
        <v>56</v>
      </c>
      <c r="B348" s="149">
        <v>757</v>
      </c>
      <c r="C348" s="84" t="s">
        <v>44</v>
      </c>
      <c r="D348" s="84" t="s">
        <v>54</v>
      </c>
      <c r="E348" s="84" t="s">
        <v>204</v>
      </c>
      <c r="F348" s="84" t="s">
        <v>59</v>
      </c>
      <c r="G348" s="87">
        <v>5165255</v>
      </c>
      <c r="H348" s="87">
        <v>5215460</v>
      </c>
      <c r="I348" s="87">
        <v>5266168</v>
      </c>
      <c r="J348" s="177"/>
      <c r="K348" s="203"/>
      <c r="L348" s="203"/>
      <c r="M348" s="203"/>
      <c r="N348" s="203"/>
      <c r="O348" s="203"/>
      <c r="P348" s="203"/>
      <c r="Q348" s="203"/>
      <c r="R348" s="203"/>
    </row>
    <row r="349" spans="1:18" s="32" customFormat="1" ht="28.5" customHeight="1">
      <c r="A349" s="82" t="s">
        <v>36</v>
      </c>
      <c r="B349" s="149">
        <v>757</v>
      </c>
      <c r="C349" s="84" t="s">
        <v>44</v>
      </c>
      <c r="D349" s="84" t="s">
        <v>54</v>
      </c>
      <c r="E349" s="84" t="s">
        <v>204</v>
      </c>
      <c r="F349" s="84" t="s">
        <v>37</v>
      </c>
      <c r="G349" s="87">
        <f>G350</f>
        <v>169984</v>
      </c>
      <c r="H349" s="87">
        <f>H350</f>
        <v>183245</v>
      </c>
      <c r="I349" s="87">
        <f>I350</f>
        <v>183245</v>
      </c>
      <c r="J349" s="177"/>
      <c r="K349" s="203"/>
      <c r="L349" s="203"/>
      <c r="M349" s="203"/>
      <c r="N349" s="203"/>
      <c r="O349" s="203"/>
      <c r="P349" s="203"/>
      <c r="Q349" s="203"/>
      <c r="R349" s="203"/>
    </row>
    <row r="350" spans="1:18" s="32" customFormat="1" ht="25.5">
      <c r="A350" s="82" t="s">
        <v>38</v>
      </c>
      <c r="B350" s="149">
        <v>757</v>
      </c>
      <c r="C350" s="84" t="s">
        <v>44</v>
      </c>
      <c r="D350" s="84" t="s">
        <v>54</v>
      </c>
      <c r="E350" s="84" t="s">
        <v>204</v>
      </c>
      <c r="F350" s="84" t="s">
        <v>39</v>
      </c>
      <c r="G350" s="87">
        <f>183245-13261</f>
        <v>169984</v>
      </c>
      <c r="H350" s="87">
        <v>183245</v>
      </c>
      <c r="I350" s="87">
        <v>183245</v>
      </c>
      <c r="J350" s="177"/>
      <c r="K350" s="203"/>
      <c r="L350" s="203"/>
      <c r="M350" s="203"/>
      <c r="N350" s="203"/>
      <c r="O350" s="203"/>
      <c r="P350" s="203"/>
      <c r="Q350" s="203"/>
      <c r="R350" s="203"/>
    </row>
    <row r="351" spans="1:18">
      <c r="A351" s="82" t="s">
        <v>63</v>
      </c>
      <c r="B351" s="149">
        <v>757</v>
      </c>
      <c r="C351" s="84" t="s">
        <v>44</v>
      </c>
      <c r="D351" s="84" t="s">
        <v>54</v>
      </c>
      <c r="E351" s="84" t="s">
        <v>204</v>
      </c>
      <c r="F351" s="84" t="s">
        <v>64</v>
      </c>
      <c r="G351" s="94">
        <f>G352</f>
        <v>300</v>
      </c>
      <c r="H351" s="94">
        <f>H352</f>
        <v>300</v>
      </c>
      <c r="I351" s="94">
        <f>I352</f>
        <v>300</v>
      </c>
      <c r="J351" s="194"/>
    </row>
    <row r="352" spans="1:18">
      <c r="A352" s="82" t="s">
        <v>66</v>
      </c>
      <c r="B352" s="149">
        <v>757</v>
      </c>
      <c r="C352" s="84" t="s">
        <v>44</v>
      </c>
      <c r="D352" s="84" t="s">
        <v>54</v>
      </c>
      <c r="E352" s="84" t="s">
        <v>204</v>
      </c>
      <c r="F352" s="84" t="s">
        <v>67</v>
      </c>
      <c r="G352" s="94">
        <v>300</v>
      </c>
      <c r="H352" s="94">
        <v>300</v>
      </c>
      <c r="I352" s="94">
        <v>300</v>
      </c>
      <c r="J352" s="194"/>
    </row>
    <row r="353" spans="1:18" ht="33" hidden="1" customHeight="1">
      <c r="A353" s="82" t="s">
        <v>825</v>
      </c>
      <c r="B353" s="149">
        <v>757</v>
      </c>
      <c r="C353" s="84" t="s">
        <v>69</v>
      </c>
      <c r="D353" s="84" t="s">
        <v>54</v>
      </c>
      <c r="E353" s="84" t="s">
        <v>824</v>
      </c>
      <c r="F353" s="84"/>
      <c r="G353" s="87">
        <f t="shared" ref="G353:I354" si="88">G354</f>
        <v>0</v>
      </c>
      <c r="H353" s="87">
        <f t="shared" si="88"/>
        <v>0</v>
      </c>
      <c r="I353" s="87">
        <f t="shared" si="88"/>
        <v>0</v>
      </c>
      <c r="J353" s="177"/>
    </row>
    <row r="354" spans="1:18" ht="33" hidden="1" customHeight="1">
      <c r="A354" s="82" t="s">
        <v>148</v>
      </c>
      <c r="B354" s="149">
        <v>757</v>
      </c>
      <c r="C354" s="84" t="s">
        <v>69</v>
      </c>
      <c r="D354" s="84" t="s">
        <v>54</v>
      </c>
      <c r="E354" s="84" t="s">
        <v>824</v>
      </c>
      <c r="F354" s="84" t="s">
        <v>149</v>
      </c>
      <c r="G354" s="87">
        <f t="shared" si="88"/>
        <v>0</v>
      </c>
      <c r="H354" s="87">
        <f t="shared" si="88"/>
        <v>0</v>
      </c>
      <c r="I354" s="87">
        <f t="shared" si="88"/>
        <v>0</v>
      </c>
      <c r="J354" s="177"/>
    </row>
    <row r="355" spans="1:18" ht="33" hidden="1" customHeight="1">
      <c r="A355" s="82" t="s">
        <v>150</v>
      </c>
      <c r="B355" s="149">
        <v>757</v>
      </c>
      <c r="C355" s="84" t="s">
        <v>69</v>
      </c>
      <c r="D355" s="84" t="s">
        <v>54</v>
      </c>
      <c r="E355" s="84" t="s">
        <v>824</v>
      </c>
      <c r="F355" s="84" t="s">
        <v>151</v>
      </c>
      <c r="G355" s="87">
        <v>0</v>
      </c>
      <c r="H355" s="87">
        <v>0</v>
      </c>
      <c r="I355" s="87">
        <v>0</v>
      </c>
      <c r="J355" s="177"/>
    </row>
    <row r="356" spans="1:18" ht="82.5" hidden="1" customHeight="1">
      <c r="A356" s="133" t="s">
        <v>413</v>
      </c>
      <c r="B356" s="149">
        <v>757</v>
      </c>
      <c r="C356" s="84" t="s">
        <v>69</v>
      </c>
      <c r="D356" s="84" t="s">
        <v>54</v>
      </c>
      <c r="E356" s="84" t="s">
        <v>412</v>
      </c>
      <c r="F356" s="84"/>
      <c r="G356" s="87">
        <f t="shared" ref="G356:I357" si="89">G357</f>
        <v>0</v>
      </c>
      <c r="H356" s="87">
        <f t="shared" si="89"/>
        <v>0</v>
      </c>
      <c r="I356" s="87">
        <f t="shared" si="89"/>
        <v>0</v>
      </c>
      <c r="J356" s="177"/>
    </row>
    <row r="357" spans="1:18" ht="33" hidden="1" customHeight="1">
      <c r="A357" s="82" t="s">
        <v>148</v>
      </c>
      <c r="B357" s="149">
        <v>757</v>
      </c>
      <c r="C357" s="84" t="s">
        <v>69</v>
      </c>
      <c r="D357" s="84" t="s">
        <v>54</v>
      </c>
      <c r="E357" s="84" t="s">
        <v>412</v>
      </c>
      <c r="F357" s="84" t="s">
        <v>149</v>
      </c>
      <c r="G357" s="87">
        <f t="shared" si="89"/>
        <v>0</v>
      </c>
      <c r="H357" s="87">
        <f t="shared" si="89"/>
        <v>0</v>
      </c>
      <c r="I357" s="87">
        <f t="shared" si="89"/>
        <v>0</v>
      </c>
      <c r="J357" s="177"/>
    </row>
    <row r="358" spans="1:18" ht="33" hidden="1" customHeight="1">
      <c r="A358" s="82" t="s">
        <v>150</v>
      </c>
      <c r="B358" s="149">
        <v>757</v>
      </c>
      <c r="C358" s="84" t="s">
        <v>69</v>
      </c>
      <c r="D358" s="84" t="s">
        <v>54</v>
      </c>
      <c r="E358" s="84" t="s">
        <v>412</v>
      </c>
      <c r="F358" s="84" t="s">
        <v>151</v>
      </c>
      <c r="G358" s="87"/>
      <c r="H358" s="87"/>
      <c r="I358" s="87"/>
      <c r="J358" s="177"/>
    </row>
    <row r="359" spans="1:18" s="32" customFormat="1" ht="17.25" hidden="1" customHeight="1">
      <c r="A359" s="277" t="s">
        <v>361</v>
      </c>
      <c r="B359" s="155">
        <v>757</v>
      </c>
      <c r="C359" s="156" t="s">
        <v>72</v>
      </c>
      <c r="D359" s="156"/>
      <c r="E359" s="156"/>
      <c r="F359" s="156"/>
      <c r="G359" s="157">
        <f>G375+G360</f>
        <v>0</v>
      </c>
      <c r="H359" s="157">
        <f>H375+H360</f>
        <v>0</v>
      </c>
      <c r="I359" s="157">
        <f>I375+I360</f>
        <v>0</v>
      </c>
      <c r="J359" s="196"/>
      <c r="K359" s="203"/>
      <c r="L359" s="203"/>
      <c r="M359" s="203"/>
      <c r="N359" s="203"/>
      <c r="O359" s="203"/>
      <c r="P359" s="203"/>
      <c r="Q359" s="203"/>
      <c r="R359" s="203"/>
    </row>
    <row r="360" spans="1:18" s="32" customFormat="1" ht="17.25" hidden="1" customHeight="1">
      <c r="A360" s="278" t="s">
        <v>496</v>
      </c>
      <c r="B360" s="149">
        <v>757</v>
      </c>
      <c r="C360" s="84" t="s">
        <v>72</v>
      </c>
      <c r="D360" s="84" t="s">
        <v>19</v>
      </c>
      <c r="E360" s="156"/>
      <c r="F360" s="156"/>
      <c r="G360" s="157">
        <f>G361+G371</f>
        <v>0</v>
      </c>
      <c r="H360" s="157">
        <f>H361+H371</f>
        <v>0</v>
      </c>
      <c r="I360" s="157">
        <f>I361+I371</f>
        <v>0</v>
      </c>
      <c r="J360" s="196"/>
      <c r="K360" s="203"/>
      <c r="L360" s="203"/>
      <c r="M360" s="203"/>
      <c r="N360" s="203"/>
      <c r="O360" s="203"/>
      <c r="P360" s="203"/>
      <c r="Q360" s="203"/>
      <c r="R360" s="203"/>
    </row>
    <row r="361" spans="1:18" ht="27.75" hidden="1" customHeight="1">
      <c r="A361" s="139" t="s">
        <v>485</v>
      </c>
      <c r="B361" s="149">
        <v>757</v>
      </c>
      <c r="C361" s="84" t="s">
        <v>72</v>
      </c>
      <c r="D361" s="84" t="s">
        <v>19</v>
      </c>
      <c r="E361" s="84" t="s">
        <v>195</v>
      </c>
      <c r="F361" s="84"/>
      <c r="G361" s="87">
        <f>G363+G366+G368</f>
        <v>0</v>
      </c>
      <c r="H361" s="87">
        <f>H363+H366+H368</f>
        <v>0</v>
      </c>
      <c r="I361" s="87">
        <f>I363+I366+I368</f>
        <v>0</v>
      </c>
      <c r="J361" s="177"/>
    </row>
    <row r="362" spans="1:18" ht="19.5" hidden="1" customHeight="1">
      <c r="A362" s="82" t="s">
        <v>32</v>
      </c>
      <c r="B362" s="149">
        <v>757</v>
      </c>
      <c r="C362" s="84" t="s">
        <v>72</v>
      </c>
      <c r="D362" s="84" t="s">
        <v>19</v>
      </c>
      <c r="E362" s="84" t="s">
        <v>40</v>
      </c>
      <c r="F362" s="84" t="s">
        <v>33</v>
      </c>
      <c r="G362" s="87"/>
      <c r="H362" s="87"/>
      <c r="I362" s="87"/>
      <c r="J362" s="177"/>
    </row>
    <row r="363" spans="1:18" ht="39" hidden="1" customHeight="1">
      <c r="A363" s="82" t="s">
        <v>112</v>
      </c>
      <c r="B363" s="149">
        <v>757</v>
      </c>
      <c r="C363" s="84" t="s">
        <v>72</v>
      </c>
      <c r="D363" s="84" t="s">
        <v>19</v>
      </c>
      <c r="E363" s="84" t="s">
        <v>196</v>
      </c>
      <c r="F363" s="84"/>
      <c r="G363" s="87">
        <f>G364</f>
        <v>0</v>
      </c>
      <c r="H363" s="87">
        <f t="shared" ref="H363:I363" si="90">H364</f>
        <v>0</v>
      </c>
      <c r="I363" s="87">
        <f t="shared" si="90"/>
        <v>0</v>
      </c>
      <c r="J363" s="177"/>
    </row>
    <row r="364" spans="1:18" ht="25.5" hidden="1">
      <c r="A364" s="82" t="s">
        <v>30</v>
      </c>
      <c r="B364" s="149">
        <v>757</v>
      </c>
      <c r="C364" s="84" t="s">
        <v>72</v>
      </c>
      <c r="D364" s="84" t="s">
        <v>19</v>
      </c>
      <c r="E364" s="84" t="s">
        <v>196</v>
      </c>
      <c r="F364" s="84" t="s">
        <v>31</v>
      </c>
      <c r="G364" s="87">
        <f>G365</f>
        <v>0</v>
      </c>
      <c r="H364" s="87">
        <f>H365</f>
        <v>0</v>
      </c>
      <c r="I364" s="87">
        <f>I365</f>
        <v>0</v>
      </c>
      <c r="J364" s="177"/>
    </row>
    <row r="365" spans="1:18" ht="19.5" hidden="1" customHeight="1">
      <c r="A365" s="82" t="s">
        <v>32</v>
      </c>
      <c r="B365" s="149">
        <v>757</v>
      </c>
      <c r="C365" s="84" t="s">
        <v>72</v>
      </c>
      <c r="D365" s="84" t="s">
        <v>19</v>
      </c>
      <c r="E365" s="84" t="s">
        <v>196</v>
      </c>
      <c r="F365" s="84" t="s">
        <v>33</v>
      </c>
      <c r="G365" s="87"/>
      <c r="H365" s="87"/>
      <c r="I365" s="87"/>
      <c r="J365" s="177"/>
    </row>
    <row r="366" spans="1:18" s="32" customFormat="1" ht="25.5" hidden="1" customHeight="1">
      <c r="A366" s="82" t="s">
        <v>30</v>
      </c>
      <c r="B366" s="149">
        <v>757</v>
      </c>
      <c r="C366" s="84" t="s">
        <v>72</v>
      </c>
      <c r="D366" s="84" t="s">
        <v>19</v>
      </c>
      <c r="E366" s="84" t="s">
        <v>547</v>
      </c>
      <c r="F366" s="84" t="s">
        <v>31</v>
      </c>
      <c r="G366" s="87">
        <f>G367</f>
        <v>0</v>
      </c>
      <c r="H366" s="87">
        <v>0</v>
      </c>
      <c r="I366" s="87">
        <v>0</v>
      </c>
      <c r="J366" s="177"/>
      <c r="K366" s="203"/>
      <c r="L366" s="203"/>
      <c r="M366" s="203"/>
      <c r="N366" s="203"/>
      <c r="O366" s="203"/>
      <c r="P366" s="203"/>
      <c r="Q366" s="203"/>
      <c r="R366" s="203"/>
    </row>
    <row r="367" spans="1:18" s="32" customFormat="1" ht="17.25" hidden="1" customHeight="1">
      <c r="A367" s="82" t="s">
        <v>32</v>
      </c>
      <c r="B367" s="149">
        <v>757</v>
      </c>
      <c r="C367" s="84" t="s">
        <v>72</v>
      </c>
      <c r="D367" s="84" t="s">
        <v>19</v>
      </c>
      <c r="E367" s="84" t="s">
        <v>547</v>
      </c>
      <c r="F367" s="84" t="s">
        <v>33</v>
      </c>
      <c r="G367" s="87"/>
      <c r="H367" s="87">
        <v>0</v>
      </c>
      <c r="I367" s="87">
        <v>0</v>
      </c>
      <c r="J367" s="177"/>
      <c r="K367" s="203"/>
      <c r="L367" s="203"/>
      <c r="M367" s="203"/>
      <c r="N367" s="203"/>
      <c r="O367" s="203"/>
      <c r="P367" s="203"/>
      <c r="Q367" s="203"/>
      <c r="R367" s="203"/>
    </row>
    <row r="368" spans="1:18" s="32" customFormat="1" ht="65.25" hidden="1" customHeight="1">
      <c r="A368" s="82" t="s">
        <v>616</v>
      </c>
      <c r="B368" s="149">
        <v>757</v>
      </c>
      <c r="C368" s="84" t="s">
        <v>72</v>
      </c>
      <c r="D368" s="84" t="s">
        <v>19</v>
      </c>
      <c r="E368" s="84" t="s">
        <v>615</v>
      </c>
      <c r="F368" s="84"/>
      <c r="G368" s="87">
        <f>G369</f>
        <v>0</v>
      </c>
      <c r="H368" s="87">
        <f t="shared" ref="H368:I368" si="91">H369</f>
        <v>0</v>
      </c>
      <c r="I368" s="87">
        <f t="shared" si="91"/>
        <v>0</v>
      </c>
      <c r="J368" s="177"/>
      <c r="K368" s="203"/>
      <c r="L368" s="203"/>
      <c r="M368" s="203"/>
      <c r="N368" s="203"/>
      <c r="O368" s="203"/>
      <c r="P368" s="203"/>
      <c r="Q368" s="203"/>
      <c r="R368" s="203"/>
    </row>
    <row r="369" spans="1:18" s="32" customFormat="1" ht="25.5" hidden="1" customHeight="1">
      <c r="A369" s="82" t="s">
        <v>30</v>
      </c>
      <c r="B369" s="149">
        <v>757</v>
      </c>
      <c r="C369" s="84" t="s">
        <v>72</v>
      </c>
      <c r="D369" s="84" t="s">
        <v>19</v>
      </c>
      <c r="E369" s="84" t="s">
        <v>615</v>
      </c>
      <c r="F369" s="84" t="s">
        <v>31</v>
      </c>
      <c r="G369" s="87">
        <f>G370</f>
        <v>0</v>
      </c>
      <c r="H369" s="87">
        <v>0</v>
      </c>
      <c r="I369" s="87">
        <v>0</v>
      </c>
      <c r="J369" s="177"/>
      <c r="K369" s="203"/>
      <c r="L369" s="203"/>
      <c r="M369" s="203"/>
      <c r="N369" s="203"/>
      <c r="O369" s="203"/>
      <c r="P369" s="203"/>
      <c r="Q369" s="203"/>
      <c r="R369" s="203"/>
    </row>
    <row r="370" spans="1:18" s="32" customFormat="1" ht="17.25" hidden="1" customHeight="1">
      <c r="A370" s="82" t="s">
        <v>32</v>
      </c>
      <c r="B370" s="149">
        <v>757</v>
      </c>
      <c r="C370" s="84" t="s">
        <v>72</v>
      </c>
      <c r="D370" s="84" t="s">
        <v>19</v>
      </c>
      <c r="E370" s="84" t="s">
        <v>615</v>
      </c>
      <c r="F370" s="84" t="s">
        <v>33</v>
      </c>
      <c r="G370" s="87"/>
      <c r="H370" s="87">
        <v>0</v>
      </c>
      <c r="I370" s="87">
        <v>0</v>
      </c>
      <c r="J370" s="177"/>
      <c r="K370" s="203"/>
      <c r="L370" s="203"/>
      <c r="M370" s="203"/>
      <c r="N370" s="203"/>
      <c r="O370" s="203"/>
      <c r="P370" s="203"/>
      <c r="Q370" s="203"/>
      <c r="R370" s="203"/>
    </row>
    <row r="371" spans="1:18" s="18" customFormat="1" ht="25.5" hidden="1">
      <c r="A371" s="82" t="s">
        <v>475</v>
      </c>
      <c r="B371" s="149">
        <v>757</v>
      </c>
      <c r="C371" s="84" t="s">
        <v>72</v>
      </c>
      <c r="D371" s="84" t="s">
        <v>19</v>
      </c>
      <c r="E371" s="84" t="s">
        <v>263</v>
      </c>
      <c r="F371" s="84"/>
      <c r="G371" s="87">
        <f>G372</f>
        <v>0</v>
      </c>
      <c r="H371" s="87">
        <f t="shared" ref="H371:I373" si="92">H372</f>
        <v>0</v>
      </c>
      <c r="I371" s="87">
        <f t="shared" si="92"/>
        <v>0</v>
      </c>
      <c r="J371" s="177"/>
      <c r="K371" s="200"/>
      <c r="L371" s="200"/>
      <c r="M371" s="200"/>
      <c r="N371" s="200"/>
      <c r="O371" s="200"/>
      <c r="P371" s="200"/>
      <c r="Q371" s="200"/>
      <c r="R371" s="200"/>
    </row>
    <row r="372" spans="1:18" s="18" customFormat="1" ht="25.5" hidden="1">
      <c r="A372" s="82" t="s">
        <v>474</v>
      </c>
      <c r="B372" s="149">
        <v>757</v>
      </c>
      <c r="C372" s="84" t="s">
        <v>72</v>
      </c>
      <c r="D372" s="84" t="s">
        <v>19</v>
      </c>
      <c r="E372" s="84" t="s">
        <v>446</v>
      </c>
      <c r="F372" s="84"/>
      <c r="G372" s="87">
        <f>G373</f>
        <v>0</v>
      </c>
      <c r="H372" s="87">
        <f t="shared" si="92"/>
        <v>0</v>
      </c>
      <c r="I372" s="87">
        <f t="shared" si="92"/>
        <v>0</v>
      </c>
      <c r="J372" s="177"/>
      <c r="K372" s="200"/>
      <c r="L372" s="200"/>
      <c r="M372" s="200"/>
      <c r="N372" s="200"/>
      <c r="O372" s="200"/>
      <c r="P372" s="200"/>
      <c r="Q372" s="200"/>
      <c r="R372" s="200"/>
    </row>
    <row r="373" spans="1:18" s="18" customFormat="1" ht="25.5" hidden="1">
      <c r="A373" s="82" t="s">
        <v>96</v>
      </c>
      <c r="B373" s="149">
        <v>757</v>
      </c>
      <c r="C373" s="84" t="s">
        <v>72</v>
      </c>
      <c r="D373" s="84" t="s">
        <v>19</v>
      </c>
      <c r="E373" s="84" t="s">
        <v>446</v>
      </c>
      <c r="F373" s="84" t="s">
        <v>349</v>
      </c>
      <c r="G373" s="87">
        <f>G374</f>
        <v>0</v>
      </c>
      <c r="H373" s="87">
        <f t="shared" si="92"/>
        <v>0</v>
      </c>
      <c r="I373" s="87">
        <f t="shared" si="92"/>
        <v>0</v>
      </c>
      <c r="J373" s="177"/>
      <c r="K373" s="200"/>
      <c r="L373" s="200"/>
      <c r="M373" s="200"/>
      <c r="N373" s="200"/>
      <c r="O373" s="200"/>
      <c r="P373" s="200"/>
      <c r="Q373" s="200"/>
      <c r="R373" s="200"/>
    </row>
    <row r="374" spans="1:18" s="18" customFormat="1" ht="89.25" hidden="1">
      <c r="A374" s="133" t="s">
        <v>421</v>
      </c>
      <c r="B374" s="149">
        <v>757</v>
      </c>
      <c r="C374" s="84" t="s">
        <v>72</v>
      </c>
      <c r="D374" s="84" t="s">
        <v>19</v>
      </c>
      <c r="E374" s="84" t="s">
        <v>446</v>
      </c>
      <c r="F374" s="84" t="s">
        <v>420</v>
      </c>
      <c r="G374" s="87">
        <f>50000-50000</f>
        <v>0</v>
      </c>
      <c r="H374" s="87"/>
      <c r="I374" s="87"/>
      <c r="J374" s="177"/>
      <c r="K374" s="200"/>
      <c r="L374" s="200"/>
      <c r="M374" s="200"/>
      <c r="N374" s="200"/>
      <c r="O374" s="200"/>
      <c r="P374" s="200"/>
      <c r="Q374" s="200"/>
      <c r="R374" s="200"/>
    </row>
    <row r="375" spans="1:18" s="33" customFormat="1" ht="15" hidden="1" customHeight="1">
      <c r="A375" s="82" t="s">
        <v>71</v>
      </c>
      <c r="B375" s="149">
        <v>757</v>
      </c>
      <c r="C375" s="84" t="s">
        <v>72</v>
      </c>
      <c r="D375" s="84" t="s">
        <v>28</v>
      </c>
      <c r="E375" s="168"/>
      <c r="F375" s="168"/>
      <c r="G375" s="93">
        <f>G376</f>
        <v>0</v>
      </c>
      <c r="H375" s="93">
        <f>H376+H114</f>
        <v>0</v>
      </c>
      <c r="I375" s="93">
        <f>I376+I114</f>
        <v>0</v>
      </c>
      <c r="J375" s="195"/>
      <c r="K375" s="211"/>
      <c r="L375" s="211"/>
      <c r="M375" s="211"/>
      <c r="N375" s="211"/>
      <c r="O375" s="211"/>
      <c r="P375" s="211"/>
      <c r="Q375" s="211"/>
      <c r="R375" s="211"/>
    </row>
    <row r="376" spans="1:18" s="28" customFormat="1" ht="28.5" hidden="1" customHeight="1">
      <c r="A376" s="139" t="s">
        <v>485</v>
      </c>
      <c r="B376" s="149">
        <v>757</v>
      </c>
      <c r="C376" s="84" t="s">
        <v>72</v>
      </c>
      <c r="D376" s="84" t="s">
        <v>28</v>
      </c>
      <c r="E376" s="84" t="s">
        <v>195</v>
      </c>
      <c r="F376" s="84"/>
      <c r="G376" s="87">
        <f>G377</f>
        <v>0</v>
      </c>
      <c r="H376" s="87">
        <f>H377</f>
        <v>0</v>
      </c>
      <c r="I376" s="87">
        <f>I377</f>
        <v>0</v>
      </c>
      <c r="J376" s="177"/>
      <c r="K376" s="204"/>
      <c r="L376" s="204"/>
      <c r="M376" s="204"/>
      <c r="N376" s="204"/>
      <c r="O376" s="204"/>
      <c r="P376" s="204"/>
      <c r="Q376" s="204"/>
      <c r="R376" s="204"/>
    </row>
    <row r="377" spans="1:18" s="28" customFormat="1" ht="27.75" hidden="1" customHeight="1">
      <c r="A377" s="139" t="s">
        <v>73</v>
      </c>
      <c r="B377" s="149">
        <v>757</v>
      </c>
      <c r="C377" s="84" t="s">
        <v>72</v>
      </c>
      <c r="D377" s="84" t="s">
        <v>28</v>
      </c>
      <c r="E377" s="84" t="s">
        <v>206</v>
      </c>
      <c r="F377" s="84"/>
      <c r="G377" s="87">
        <f>G378</f>
        <v>0</v>
      </c>
      <c r="H377" s="87">
        <f t="shared" ref="H377:I377" si="93">H378</f>
        <v>0</v>
      </c>
      <c r="I377" s="87">
        <f t="shared" si="93"/>
        <v>0</v>
      </c>
      <c r="J377" s="177"/>
      <c r="K377" s="204"/>
      <c r="L377" s="204"/>
      <c r="M377" s="204"/>
      <c r="N377" s="204"/>
      <c r="O377" s="204"/>
      <c r="P377" s="204"/>
      <c r="Q377" s="204"/>
      <c r="R377" s="204"/>
    </row>
    <row r="378" spans="1:18" s="32" customFormat="1" ht="28.5" hidden="1" customHeight="1">
      <c r="A378" s="82" t="s">
        <v>36</v>
      </c>
      <c r="B378" s="149">
        <v>757</v>
      </c>
      <c r="C378" s="84" t="s">
        <v>72</v>
      </c>
      <c r="D378" s="84" t="s">
        <v>28</v>
      </c>
      <c r="E378" s="84" t="s">
        <v>206</v>
      </c>
      <c r="F378" s="84" t="s">
        <v>37</v>
      </c>
      <c r="G378" s="87">
        <f>G379</f>
        <v>0</v>
      </c>
      <c r="H378" s="87">
        <f>H379</f>
        <v>0</v>
      </c>
      <c r="I378" s="87">
        <f>I379</f>
        <v>0</v>
      </c>
      <c r="J378" s="177"/>
      <c r="K378" s="203"/>
      <c r="L378" s="203"/>
      <c r="M378" s="203"/>
      <c r="N378" s="203"/>
      <c r="O378" s="203"/>
      <c r="P378" s="203"/>
      <c r="Q378" s="203"/>
      <c r="R378" s="203"/>
    </row>
    <row r="379" spans="1:18" s="32" customFormat="1" ht="25.5" hidden="1">
      <c r="A379" s="82" t="s">
        <v>38</v>
      </c>
      <c r="B379" s="149">
        <v>757</v>
      </c>
      <c r="C379" s="84" t="s">
        <v>72</v>
      </c>
      <c r="D379" s="84" t="s">
        <v>28</v>
      </c>
      <c r="E379" s="84" t="s">
        <v>206</v>
      </c>
      <c r="F379" s="84" t="s">
        <v>39</v>
      </c>
      <c r="G379" s="87"/>
      <c r="H379" s="87"/>
      <c r="I379" s="87"/>
      <c r="J379" s="177"/>
      <c r="K379" s="205"/>
      <c r="L379" s="203"/>
      <c r="M379" s="203"/>
      <c r="N379" s="203"/>
      <c r="O379" s="203"/>
      <c r="P379" s="203"/>
      <c r="Q379" s="203"/>
      <c r="R379" s="203"/>
    </row>
    <row r="380" spans="1:18" s="124" customFormat="1">
      <c r="A380" s="138" t="s">
        <v>74</v>
      </c>
      <c r="B380" s="275"/>
      <c r="C380" s="162"/>
      <c r="D380" s="162"/>
      <c r="E380" s="162"/>
      <c r="F380" s="162"/>
      <c r="G380" s="96">
        <f>G19+G30+G129+G1717+G359</f>
        <v>186680445.32999998</v>
      </c>
      <c r="H380" s="96">
        <f>H30+H129+H359+H1717+H19</f>
        <v>171680871.13</v>
      </c>
      <c r="I380" s="96">
        <f>I30+I129+I359+I1717+I19</f>
        <v>166920448.11000001</v>
      </c>
      <c r="J380" s="192"/>
      <c r="K380" s="208"/>
      <c r="L380" s="207"/>
      <c r="M380" s="207"/>
      <c r="N380" s="207"/>
      <c r="O380" s="207"/>
      <c r="P380" s="207"/>
      <c r="Q380" s="207"/>
      <c r="R380" s="207"/>
    </row>
    <row r="381" spans="1:18" s="124" customFormat="1" hidden="1">
      <c r="A381" s="138"/>
      <c r="B381" s="275"/>
      <c r="C381" s="162"/>
      <c r="D381" s="162"/>
      <c r="E381" s="162"/>
      <c r="F381" s="162"/>
      <c r="G381" s="96"/>
      <c r="H381" s="96"/>
      <c r="I381" s="96"/>
      <c r="J381" s="192"/>
      <c r="K381" s="208"/>
      <c r="L381" s="207"/>
      <c r="M381" s="207"/>
      <c r="N381" s="207"/>
      <c r="O381" s="207"/>
      <c r="P381" s="207"/>
      <c r="Q381" s="207"/>
      <c r="R381" s="207"/>
    </row>
    <row r="382" spans="1:18" s="124" customFormat="1" hidden="1">
      <c r="A382" s="138"/>
      <c r="B382" s="275"/>
      <c r="C382" s="162"/>
      <c r="D382" s="162"/>
      <c r="E382" s="162"/>
      <c r="F382" s="162"/>
      <c r="G382" s="96"/>
      <c r="H382" s="96"/>
      <c r="I382" s="96"/>
      <c r="J382" s="192"/>
      <c r="K382" s="208"/>
      <c r="L382" s="207"/>
      <c r="M382" s="207"/>
      <c r="N382" s="207"/>
      <c r="O382" s="207"/>
      <c r="P382" s="207"/>
      <c r="Q382" s="207"/>
      <c r="R382" s="207"/>
    </row>
    <row r="383" spans="1:18" s="124" customFormat="1" hidden="1">
      <c r="A383" s="138"/>
      <c r="B383" s="275"/>
      <c r="C383" s="162"/>
      <c r="D383" s="162"/>
      <c r="E383" s="162"/>
      <c r="F383" s="162"/>
      <c r="G383" s="96"/>
      <c r="H383" s="96"/>
      <c r="I383" s="96"/>
      <c r="J383" s="192"/>
      <c r="K383" s="208"/>
      <c r="L383" s="207"/>
      <c r="M383" s="207"/>
      <c r="N383" s="207"/>
      <c r="O383" s="207"/>
      <c r="P383" s="207"/>
      <c r="Q383" s="207"/>
      <c r="R383" s="207"/>
    </row>
    <row r="384" spans="1:18" s="122" customFormat="1" ht="38.25">
      <c r="A384" s="279" t="s">
        <v>987</v>
      </c>
      <c r="B384" s="280">
        <v>763</v>
      </c>
      <c r="C384" s="281"/>
      <c r="D384" s="281"/>
      <c r="E384" s="281"/>
      <c r="F384" s="281"/>
      <c r="G384" s="282"/>
      <c r="H384" s="282"/>
      <c r="I384" s="282"/>
      <c r="J384" s="197"/>
      <c r="K384" s="212"/>
      <c r="L384" s="212"/>
      <c r="M384" s="212"/>
      <c r="N384" s="212"/>
      <c r="O384" s="212"/>
      <c r="P384" s="212"/>
      <c r="Q384" s="212"/>
      <c r="R384" s="212"/>
    </row>
    <row r="385" spans="1:18">
      <c r="A385" s="277" t="s">
        <v>18</v>
      </c>
      <c r="B385" s="271">
        <v>763</v>
      </c>
      <c r="C385" s="272" t="s">
        <v>19</v>
      </c>
      <c r="D385" s="272"/>
      <c r="E385" s="272"/>
      <c r="F385" s="272"/>
      <c r="G385" s="269">
        <f>G386+G395</f>
        <v>12752813</v>
      </c>
      <c r="H385" s="269">
        <f>H386+H395</f>
        <v>12527275</v>
      </c>
      <c r="I385" s="269">
        <f>I386+I395</f>
        <v>12642404</v>
      </c>
      <c r="J385" s="191"/>
    </row>
    <row r="386" spans="1:18" s="33" customFormat="1" ht="51">
      <c r="A386" s="82" t="s">
        <v>75</v>
      </c>
      <c r="B386" s="149">
        <v>763</v>
      </c>
      <c r="C386" s="84" t="s">
        <v>19</v>
      </c>
      <c r="D386" s="84" t="s">
        <v>54</v>
      </c>
      <c r="E386" s="84"/>
      <c r="F386" s="168"/>
      <c r="G386" s="87">
        <f>SUM(G387)</f>
        <v>12183285</v>
      </c>
      <c r="H386" s="87">
        <f>SUM(H387)</f>
        <v>12297275</v>
      </c>
      <c r="I386" s="87">
        <f>SUM(I387)</f>
        <v>12412404</v>
      </c>
      <c r="J386" s="177"/>
      <c r="K386" s="211"/>
      <c r="L386" s="211"/>
      <c r="M386" s="211"/>
      <c r="N386" s="211"/>
      <c r="O386" s="211"/>
      <c r="P386" s="211"/>
      <c r="Q386" s="211"/>
      <c r="R386" s="211"/>
    </row>
    <row r="387" spans="1:18" s="33" customFormat="1" ht="38.25">
      <c r="A387" s="82" t="s">
        <v>441</v>
      </c>
      <c r="B387" s="149">
        <v>763</v>
      </c>
      <c r="C387" s="84" t="s">
        <v>19</v>
      </c>
      <c r="D387" s="84" t="s">
        <v>54</v>
      </c>
      <c r="E387" s="84" t="s">
        <v>207</v>
      </c>
      <c r="F387" s="168"/>
      <c r="G387" s="87">
        <f>G388</f>
        <v>12183285</v>
      </c>
      <c r="H387" s="87">
        <f>H388</f>
        <v>12297275</v>
      </c>
      <c r="I387" s="87">
        <f>I388</f>
        <v>12412404</v>
      </c>
      <c r="J387" s="177"/>
      <c r="K387" s="211"/>
      <c r="L387" s="211"/>
      <c r="M387" s="211"/>
      <c r="N387" s="211"/>
      <c r="O387" s="211"/>
      <c r="P387" s="211"/>
      <c r="Q387" s="211"/>
      <c r="R387" s="211"/>
    </row>
    <row r="388" spans="1:18" s="33" customFormat="1" ht="25.5">
      <c r="A388" s="82" t="s">
        <v>76</v>
      </c>
      <c r="B388" s="149">
        <v>763</v>
      </c>
      <c r="C388" s="84" t="s">
        <v>19</v>
      </c>
      <c r="D388" s="84" t="s">
        <v>54</v>
      </c>
      <c r="E388" s="84" t="s">
        <v>208</v>
      </c>
      <c r="F388" s="168"/>
      <c r="G388" s="87">
        <f>SUM(G389+G391+G394)</f>
        <v>12183285</v>
      </c>
      <c r="H388" s="87">
        <f>SUM(H389+H391+H394)</f>
        <v>12297275</v>
      </c>
      <c r="I388" s="87">
        <f>SUM(I389+I391+I394)</f>
        <v>12412404</v>
      </c>
      <c r="J388" s="177"/>
      <c r="K388" s="211"/>
      <c r="L388" s="211"/>
      <c r="M388" s="211"/>
      <c r="N388" s="211"/>
      <c r="O388" s="211"/>
      <c r="P388" s="211"/>
      <c r="Q388" s="211"/>
      <c r="R388" s="211"/>
    </row>
    <row r="389" spans="1:18" ht="63.75">
      <c r="A389" s="82" t="s">
        <v>55</v>
      </c>
      <c r="B389" s="149">
        <v>763</v>
      </c>
      <c r="C389" s="84" t="s">
        <v>19</v>
      </c>
      <c r="D389" s="84" t="s">
        <v>54</v>
      </c>
      <c r="E389" s="84" t="s">
        <v>208</v>
      </c>
      <c r="F389" s="84" t="s">
        <v>58</v>
      </c>
      <c r="G389" s="87">
        <f>SUM(G390)</f>
        <v>11480921</v>
      </c>
      <c r="H389" s="87">
        <f>SUM(H390)</f>
        <v>11598911</v>
      </c>
      <c r="I389" s="87">
        <f>SUM(I390)</f>
        <v>11714040</v>
      </c>
      <c r="J389" s="177"/>
    </row>
    <row r="390" spans="1:18" ht="25.5">
      <c r="A390" s="82" t="s">
        <v>56</v>
      </c>
      <c r="B390" s="149">
        <v>763</v>
      </c>
      <c r="C390" s="84" t="s">
        <v>19</v>
      </c>
      <c r="D390" s="84" t="s">
        <v>54</v>
      </c>
      <c r="E390" s="84" t="s">
        <v>208</v>
      </c>
      <c r="F390" s="84" t="s">
        <v>59</v>
      </c>
      <c r="G390" s="87">
        <f>10077748+1403173</f>
        <v>11480921</v>
      </c>
      <c r="H390" s="87">
        <f>10181707+1417204</f>
        <v>11598911</v>
      </c>
      <c r="I390" s="87">
        <f>10282664+1431376</f>
        <v>11714040</v>
      </c>
      <c r="J390" s="177"/>
    </row>
    <row r="391" spans="1:18" ht="25.5">
      <c r="A391" s="82" t="s">
        <v>36</v>
      </c>
      <c r="B391" s="149">
        <v>763</v>
      </c>
      <c r="C391" s="84" t="s">
        <v>19</v>
      </c>
      <c r="D391" s="84" t="s">
        <v>54</v>
      </c>
      <c r="E391" s="84" t="s">
        <v>208</v>
      </c>
      <c r="F391" s="84" t="s">
        <v>37</v>
      </c>
      <c r="G391" s="87">
        <f>SUM(G392)</f>
        <v>680364</v>
      </c>
      <c r="H391" s="87">
        <f>SUM(H392)</f>
        <v>680364</v>
      </c>
      <c r="I391" s="87">
        <f>SUM(I392)</f>
        <v>680364</v>
      </c>
      <c r="J391" s="177"/>
    </row>
    <row r="392" spans="1:18" ht="25.5">
      <c r="A392" s="82" t="s">
        <v>38</v>
      </c>
      <c r="B392" s="149">
        <v>763</v>
      </c>
      <c r="C392" s="84" t="s">
        <v>19</v>
      </c>
      <c r="D392" s="84" t="s">
        <v>54</v>
      </c>
      <c r="E392" s="84" t="s">
        <v>208</v>
      </c>
      <c r="F392" s="84" t="s">
        <v>39</v>
      </c>
      <c r="G392" s="87">
        <f>582364+98000</f>
        <v>680364</v>
      </c>
      <c r="H392" s="87">
        <f>582364+98000</f>
        <v>680364</v>
      </c>
      <c r="I392" s="87">
        <f>582364+98000</f>
        <v>680364</v>
      </c>
      <c r="J392" s="177"/>
    </row>
    <row r="393" spans="1:18" ht="19.5" customHeight="1">
      <c r="A393" s="136" t="s">
        <v>63</v>
      </c>
      <c r="B393" s="149">
        <v>763</v>
      </c>
      <c r="C393" s="84" t="s">
        <v>19</v>
      </c>
      <c r="D393" s="84" t="s">
        <v>54</v>
      </c>
      <c r="E393" s="84" t="s">
        <v>208</v>
      </c>
      <c r="F393" s="84" t="s">
        <v>64</v>
      </c>
      <c r="G393" s="87">
        <f>G394</f>
        <v>22000</v>
      </c>
      <c r="H393" s="87">
        <f>H394</f>
        <v>18000</v>
      </c>
      <c r="I393" s="87">
        <f>I394</f>
        <v>18000</v>
      </c>
      <c r="J393" s="177"/>
    </row>
    <row r="394" spans="1:18" ht="16.5" customHeight="1">
      <c r="A394" s="136" t="s">
        <v>144</v>
      </c>
      <c r="B394" s="149">
        <v>763</v>
      </c>
      <c r="C394" s="84" t="s">
        <v>19</v>
      </c>
      <c r="D394" s="84" t="s">
        <v>54</v>
      </c>
      <c r="E394" s="84" t="s">
        <v>208</v>
      </c>
      <c r="F394" s="84" t="s">
        <v>67</v>
      </c>
      <c r="G394" s="87">
        <v>22000</v>
      </c>
      <c r="H394" s="87">
        <v>18000</v>
      </c>
      <c r="I394" s="87">
        <v>18000</v>
      </c>
      <c r="J394" s="177"/>
    </row>
    <row r="395" spans="1:18" ht="18.75" customHeight="1">
      <c r="A395" s="137" t="s">
        <v>22</v>
      </c>
      <c r="B395" s="149">
        <v>763</v>
      </c>
      <c r="C395" s="84" t="s">
        <v>19</v>
      </c>
      <c r="D395" s="84" t="s">
        <v>23</v>
      </c>
      <c r="E395" s="84"/>
      <c r="F395" s="84"/>
      <c r="G395" s="87">
        <f>G396+G402</f>
        <v>569528</v>
      </c>
      <c r="H395" s="87">
        <f>H396</f>
        <v>230000</v>
      </c>
      <c r="I395" s="87">
        <f>I396</f>
        <v>230000</v>
      </c>
      <c r="J395" s="177"/>
    </row>
    <row r="396" spans="1:18" ht="39.75" customHeight="1">
      <c r="A396" s="82" t="s">
        <v>441</v>
      </c>
      <c r="B396" s="149">
        <v>763</v>
      </c>
      <c r="C396" s="84" t="s">
        <v>19</v>
      </c>
      <c r="D396" s="84" t="s">
        <v>23</v>
      </c>
      <c r="E396" s="84" t="s">
        <v>207</v>
      </c>
      <c r="F396" s="84"/>
      <c r="G396" s="87">
        <f>G397</f>
        <v>339000</v>
      </c>
      <c r="H396" s="87">
        <f t="shared" ref="H396:I396" si="94">H397</f>
        <v>230000</v>
      </c>
      <c r="I396" s="87">
        <f t="shared" si="94"/>
        <v>230000</v>
      </c>
      <c r="J396" s="177"/>
    </row>
    <row r="397" spans="1:18" ht="41.25" customHeight="1">
      <c r="A397" s="82" t="s">
        <v>839</v>
      </c>
      <c r="B397" s="149">
        <v>763</v>
      </c>
      <c r="C397" s="84" t="s">
        <v>19</v>
      </c>
      <c r="D397" s="84" t="s">
        <v>23</v>
      </c>
      <c r="E397" s="84" t="s">
        <v>209</v>
      </c>
      <c r="F397" s="84"/>
      <c r="G397" s="87">
        <f>G398+G400</f>
        <v>339000</v>
      </c>
      <c r="H397" s="87">
        <f t="shared" ref="H397:I397" si="95">H398+H400</f>
        <v>230000</v>
      </c>
      <c r="I397" s="87">
        <f t="shared" si="95"/>
        <v>230000</v>
      </c>
      <c r="J397" s="177"/>
      <c r="P397" s="224"/>
    </row>
    <row r="398" spans="1:18" ht="27.75" customHeight="1">
      <c r="A398" s="82" t="s">
        <v>36</v>
      </c>
      <c r="B398" s="149">
        <v>763</v>
      </c>
      <c r="C398" s="84" t="s">
        <v>19</v>
      </c>
      <c r="D398" s="84" t="s">
        <v>23</v>
      </c>
      <c r="E398" s="84" t="s">
        <v>209</v>
      </c>
      <c r="F398" s="84" t="s">
        <v>37</v>
      </c>
      <c r="G398" s="87">
        <f t="shared" ref="G398:I398" si="96">G399</f>
        <v>329600</v>
      </c>
      <c r="H398" s="87">
        <f t="shared" si="96"/>
        <v>230000</v>
      </c>
      <c r="I398" s="87">
        <f t="shared" si="96"/>
        <v>230000</v>
      </c>
      <c r="J398" s="177"/>
    </row>
    <row r="399" spans="1:18" ht="28.5" customHeight="1">
      <c r="A399" s="82" t="s">
        <v>38</v>
      </c>
      <c r="B399" s="149">
        <v>763</v>
      </c>
      <c r="C399" s="84" t="s">
        <v>19</v>
      </c>
      <c r="D399" s="84" t="s">
        <v>23</v>
      </c>
      <c r="E399" s="84" t="s">
        <v>209</v>
      </c>
      <c r="F399" s="84" t="s">
        <v>39</v>
      </c>
      <c r="G399" s="87">
        <f>150000+1230000-1150000-9400+95000+14000</f>
        <v>329600</v>
      </c>
      <c r="H399" s="87">
        <f t="shared" ref="H399:I399" si="97">150000+1230000-1150000</f>
        <v>230000</v>
      </c>
      <c r="I399" s="87">
        <f t="shared" si="97"/>
        <v>230000</v>
      </c>
      <c r="J399" s="177"/>
    </row>
    <row r="400" spans="1:18">
      <c r="A400" s="82" t="s">
        <v>63</v>
      </c>
      <c r="B400" s="149">
        <v>763</v>
      </c>
      <c r="C400" s="84" t="s">
        <v>19</v>
      </c>
      <c r="D400" s="84" t="s">
        <v>23</v>
      </c>
      <c r="E400" s="84" t="s">
        <v>209</v>
      </c>
      <c r="F400" s="84" t="s">
        <v>64</v>
      </c>
      <c r="G400" s="87">
        <f>G401</f>
        <v>9400</v>
      </c>
      <c r="H400" s="87">
        <v>0</v>
      </c>
      <c r="I400" s="87">
        <v>0</v>
      </c>
      <c r="J400" s="177"/>
      <c r="K400" s="209"/>
    </row>
    <row r="401" spans="1:11" ht="15" customHeight="1">
      <c r="A401" s="82" t="s">
        <v>144</v>
      </c>
      <c r="B401" s="149">
        <v>763</v>
      </c>
      <c r="C401" s="84" t="s">
        <v>19</v>
      </c>
      <c r="D401" s="84" t="s">
        <v>23</v>
      </c>
      <c r="E401" s="84" t="s">
        <v>209</v>
      </c>
      <c r="F401" s="84" t="s">
        <v>67</v>
      </c>
      <c r="G401" s="87">
        <v>9400</v>
      </c>
      <c r="H401" s="87">
        <v>0</v>
      </c>
      <c r="I401" s="87">
        <v>0</v>
      </c>
      <c r="J401" s="177"/>
      <c r="K401" s="209"/>
    </row>
    <row r="402" spans="1:11" ht="28.5" customHeight="1">
      <c r="A402" s="82" t="s">
        <v>169</v>
      </c>
      <c r="B402" s="149">
        <v>763</v>
      </c>
      <c r="C402" s="84" t="s">
        <v>19</v>
      </c>
      <c r="D402" s="84" t="s">
        <v>23</v>
      </c>
      <c r="E402" s="84" t="s">
        <v>1082</v>
      </c>
      <c r="F402" s="84"/>
      <c r="G402" s="87">
        <f>G403</f>
        <v>230528</v>
      </c>
      <c r="H402" s="87">
        <f t="shared" ref="H402:I402" si="98">H403</f>
        <v>0</v>
      </c>
      <c r="I402" s="87">
        <f t="shared" si="98"/>
        <v>0</v>
      </c>
      <c r="J402" s="177"/>
    </row>
    <row r="403" spans="1:11" ht="28.5" customHeight="1">
      <c r="A403" s="82" t="s">
        <v>169</v>
      </c>
      <c r="B403" s="149">
        <v>763</v>
      </c>
      <c r="C403" s="84" t="s">
        <v>19</v>
      </c>
      <c r="D403" s="84" t="s">
        <v>23</v>
      </c>
      <c r="E403" s="84" t="s">
        <v>276</v>
      </c>
      <c r="F403" s="84"/>
      <c r="G403" s="87">
        <f>G404</f>
        <v>230528</v>
      </c>
      <c r="H403" s="87"/>
      <c r="I403" s="87"/>
      <c r="J403" s="177"/>
    </row>
    <row r="404" spans="1:11" ht="27.75" customHeight="1">
      <c r="A404" s="82" t="s">
        <v>36</v>
      </c>
      <c r="B404" s="149">
        <v>763</v>
      </c>
      <c r="C404" s="84" t="s">
        <v>19</v>
      </c>
      <c r="D404" s="84" t="s">
        <v>23</v>
      </c>
      <c r="E404" s="84" t="s">
        <v>276</v>
      </c>
      <c r="F404" s="84" t="s">
        <v>37</v>
      </c>
      <c r="G404" s="87">
        <f t="shared" ref="G404:I404" si="99">G405</f>
        <v>230528</v>
      </c>
      <c r="H404" s="87">
        <f t="shared" si="99"/>
        <v>0</v>
      </c>
      <c r="I404" s="87">
        <f t="shared" si="99"/>
        <v>0</v>
      </c>
      <c r="J404" s="177"/>
    </row>
    <row r="405" spans="1:11" ht="28.5" customHeight="1">
      <c r="A405" s="82" t="s">
        <v>38</v>
      </c>
      <c r="B405" s="149">
        <v>763</v>
      </c>
      <c r="C405" s="84" t="s">
        <v>19</v>
      </c>
      <c r="D405" s="84" t="s">
        <v>23</v>
      </c>
      <c r="E405" s="84" t="s">
        <v>276</v>
      </c>
      <c r="F405" s="84" t="s">
        <v>39</v>
      </c>
      <c r="G405" s="87">
        <v>230528</v>
      </c>
      <c r="H405" s="87"/>
      <c r="I405" s="87"/>
      <c r="J405" s="177"/>
    </row>
    <row r="406" spans="1:11">
      <c r="A406" s="270" t="s">
        <v>86</v>
      </c>
      <c r="B406" s="271">
        <v>763</v>
      </c>
      <c r="C406" s="272" t="s">
        <v>54</v>
      </c>
      <c r="D406" s="272"/>
      <c r="E406" s="272"/>
      <c r="F406" s="272"/>
      <c r="G406" s="269">
        <f>SUM(G412)+G407</f>
        <v>1346000</v>
      </c>
      <c r="H406" s="269">
        <f>SUM(H412)</f>
        <v>560000</v>
      </c>
      <c r="I406" s="269">
        <f>SUM(I412)</f>
        <v>560000</v>
      </c>
      <c r="J406" s="191"/>
    </row>
    <row r="407" spans="1:11" hidden="1">
      <c r="A407" s="283" t="s">
        <v>791</v>
      </c>
      <c r="B407" s="149">
        <v>763</v>
      </c>
      <c r="C407" s="147" t="s">
        <v>54</v>
      </c>
      <c r="D407" s="147" t="s">
        <v>173</v>
      </c>
      <c r="E407" s="272"/>
      <c r="F407" s="272"/>
      <c r="G407" s="93">
        <f>G409</f>
        <v>0</v>
      </c>
      <c r="H407" s="93">
        <f t="shared" ref="H407:I407" si="100">H409</f>
        <v>0</v>
      </c>
      <c r="I407" s="93">
        <f t="shared" si="100"/>
        <v>0</v>
      </c>
      <c r="J407" s="195"/>
    </row>
    <row r="408" spans="1:11" ht="53.25" hidden="1" customHeight="1">
      <c r="A408" s="82" t="s">
        <v>441</v>
      </c>
      <c r="B408" s="149">
        <v>763</v>
      </c>
      <c r="C408" s="84" t="s">
        <v>54</v>
      </c>
      <c r="D408" s="84" t="s">
        <v>173</v>
      </c>
      <c r="E408" s="149" t="s">
        <v>207</v>
      </c>
      <c r="F408" s="149"/>
      <c r="G408" s="87">
        <f>G409</f>
        <v>0</v>
      </c>
      <c r="H408" s="87">
        <f t="shared" ref="H408:I408" si="101">H409</f>
        <v>0</v>
      </c>
      <c r="I408" s="87">
        <f t="shared" si="101"/>
        <v>0</v>
      </c>
      <c r="J408" s="177"/>
    </row>
    <row r="409" spans="1:11" ht="40.5" hidden="1" customHeight="1">
      <c r="A409" s="82" t="s">
        <v>790</v>
      </c>
      <c r="B409" s="149">
        <v>763</v>
      </c>
      <c r="C409" s="84" t="s">
        <v>54</v>
      </c>
      <c r="D409" s="84" t="s">
        <v>173</v>
      </c>
      <c r="E409" s="149" t="s">
        <v>801</v>
      </c>
      <c r="F409" s="149"/>
      <c r="G409" s="87">
        <f>G410</f>
        <v>0</v>
      </c>
      <c r="H409" s="87">
        <f>H411</f>
        <v>0</v>
      </c>
      <c r="I409" s="87">
        <f>I411</f>
        <v>0</v>
      </c>
      <c r="J409" s="177"/>
    </row>
    <row r="410" spans="1:11" ht="25.5" hidden="1">
      <c r="A410" s="82" t="s">
        <v>36</v>
      </c>
      <c r="B410" s="149">
        <v>763</v>
      </c>
      <c r="C410" s="84" t="s">
        <v>54</v>
      </c>
      <c r="D410" s="84" t="s">
        <v>173</v>
      </c>
      <c r="E410" s="149" t="s">
        <v>801</v>
      </c>
      <c r="F410" s="149">
        <v>200</v>
      </c>
      <c r="G410" s="87">
        <f t="shared" ref="G410:I410" si="102">G411</f>
        <v>0</v>
      </c>
      <c r="H410" s="87">
        <f t="shared" si="102"/>
        <v>0</v>
      </c>
      <c r="I410" s="87">
        <f t="shared" si="102"/>
        <v>0</v>
      </c>
      <c r="J410" s="177"/>
    </row>
    <row r="411" spans="1:11" ht="48" hidden="1" customHeight="1">
      <c r="A411" s="82" t="s">
        <v>38</v>
      </c>
      <c r="B411" s="149">
        <v>763</v>
      </c>
      <c r="C411" s="84" t="s">
        <v>54</v>
      </c>
      <c r="D411" s="84" t="s">
        <v>173</v>
      </c>
      <c r="E411" s="149" t="s">
        <v>801</v>
      </c>
      <c r="F411" s="149">
        <v>240</v>
      </c>
      <c r="G411" s="87"/>
      <c r="H411" s="85"/>
      <c r="I411" s="85"/>
      <c r="J411" s="178"/>
    </row>
    <row r="412" spans="1:11">
      <c r="A412" s="82" t="s">
        <v>87</v>
      </c>
      <c r="B412" s="149">
        <v>763</v>
      </c>
      <c r="C412" s="84" t="s">
        <v>54</v>
      </c>
      <c r="D412" s="84" t="s">
        <v>88</v>
      </c>
      <c r="E412" s="84"/>
      <c r="F412" s="84"/>
      <c r="G412" s="87">
        <f>G413</f>
        <v>1346000</v>
      </c>
      <c r="H412" s="87">
        <f>H413</f>
        <v>560000</v>
      </c>
      <c r="I412" s="87">
        <f>I413</f>
        <v>560000</v>
      </c>
      <c r="J412" s="177"/>
    </row>
    <row r="413" spans="1:11" ht="38.25">
      <c r="A413" s="82" t="s">
        <v>441</v>
      </c>
      <c r="B413" s="149">
        <v>763</v>
      </c>
      <c r="C413" s="84" t="s">
        <v>54</v>
      </c>
      <c r="D413" s="84" t="s">
        <v>88</v>
      </c>
      <c r="E413" s="84" t="s">
        <v>207</v>
      </c>
      <c r="F413" s="84"/>
      <c r="G413" s="87">
        <f>G414+G417+G420+G423++G426+G429+G432+G435+G438</f>
        <v>1346000</v>
      </c>
      <c r="H413" s="87">
        <f>H414+H417+H429</f>
        <v>560000</v>
      </c>
      <c r="I413" s="87">
        <f>I414+I417+I429</f>
        <v>560000</v>
      </c>
      <c r="J413" s="177"/>
    </row>
    <row r="414" spans="1:11" ht="116.25" customHeight="1">
      <c r="A414" s="82" t="s">
        <v>280</v>
      </c>
      <c r="B414" s="149">
        <v>763</v>
      </c>
      <c r="C414" s="84" t="s">
        <v>54</v>
      </c>
      <c r="D414" s="84" t="s">
        <v>88</v>
      </c>
      <c r="E414" s="84" t="s">
        <v>212</v>
      </c>
      <c r="F414" s="84"/>
      <c r="G414" s="87">
        <f>G415</f>
        <v>1076000</v>
      </c>
      <c r="H414" s="87">
        <f t="shared" ref="H414:I414" si="103">H415</f>
        <v>250000</v>
      </c>
      <c r="I414" s="87">
        <f t="shared" si="103"/>
        <v>250000</v>
      </c>
      <c r="J414" s="177"/>
    </row>
    <row r="415" spans="1:11" ht="25.5">
      <c r="A415" s="82" t="s">
        <v>36</v>
      </c>
      <c r="B415" s="149">
        <v>763</v>
      </c>
      <c r="C415" s="84" t="s">
        <v>54</v>
      </c>
      <c r="D415" s="84" t="s">
        <v>88</v>
      </c>
      <c r="E415" s="84" t="s">
        <v>212</v>
      </c>
      <c r="F415" s="84" t="s">
        <v>37</v>
      </c>
      <c r="G415" s="87">
        <f>SUM(G416)</f>
        <v>1076000</v>
      </c>
      <c r="H415" s="87">
        <f>SUM(H416)</f>
        <v>250000</v>
      </c>
      <c r="I415" s="87">
        <f>SUM(I416)</f>
        <v>250000</v>
      </c>
      <c r="J415" s="177"/>
    </row>
    <row r="416" spans="1:11" ht="30.75" customHeight="1">
      <c r="A416" s="82" t="s">
        <v>38</v>
      </c>
      <c r="B416" s="149">
        <v>763</v>
      </c>
      <c r="C416" s="84" t="s">
        <v>54</v>
      </c>
      <c r="D416" s="84" t="s">
        <v>88</v>
      </c>
      <c r="E416" s="84" t="s">
        <v>212</v>
      </c>
      <c r="F416" s="84" t="s">
        <v>39</v>
      </c>
      <c r="G416" s="87">
        <f>250000+800000+26000</f>
        <v>1076000</v>
      </c>
      <c r="H416" s="87">
        <v>250000</v>
      </c>
      <c r="I416" s="87">
        <v>250000</v>
      </c>
      <c r="J416" s="177"/>
    </row>
    <row r="417" spans="1:10" ht="107.25" customHeight="1">
      <c r="A417" s="136" t="s">
        <v>645</v>
      </c>
      <c r="B417" s="149">
        <v>763</v>
      </c>
      <c r="C417" s="84" t="s">
        <v>54</v>
      </c>
      <c r="D417" s="84" t="s">
        <v>88</v>
      </c>
      <c r="E417" s="84" t="s">
        <v>213</v>
      </c>
      <c r="F417" s="84"/>
      <c r="G417" s="87">
        <f>G418</f>
        <v>270000</v>
      </c>
      <c r="H417" s="87">
        <f t="shared" ref="H417:I417" si="104">H418</f>
        <v>270000</v>
      </c>
      <c r="I417" s="87">
        <f t="shared" si="104"/>
        <v>270000</v>
      </c>
      <c r="J417" s="177"/>
    </row>
    <row r="418" spans="1:10" ht="25.5">
      <c r="A418" s="82" t="s">
        <v>36</v>
      </c>
      <c r="B418" s="149">
        <v>763</v>
      </c>
      <c r="C418" s="84" t="s">
        <v>54</v>
      </c>
      <c r="D418" s="84" t="s">
        <v>88</v>
      </c>
      <c r="E418" s="84" t="s">
        <v>213</v>
      </c>
      <c r="F418" s="84" t="s">
        <v>37</v>
      </c>
      <c r="G418" s="87">
        <f>SUM(G419)</f>
        <v>270000</v>
      </c>
      <c r="H418" s="87">
        <f>SUM(H419)</f>
        <v>270000</v>
      </c>
      <c r="I418" s="87">
        <f>SUM(I419)</f>
        <v>270000</v>
      </c>
      <c r="J418" s="177"/>
    </row>
    <row r="419" spans="1:10" ht="25.5" customHeight="1">
      <c r="A419" s="82" t="s">
        <v>38</v>
      </c>
      <c r="B419" s="149">
        <v>763</v>
      </c>
      <c r="C419" s="84" t="s">
        <v>54</v>
      </c>
      <c r="D419" s="84" t="s">
        <v>88</v>
      </c>
      <c r="E419" s="84" t="s">
        <v>213</v>
      </c>
      <c r="F419" s="84" t="s">
        <v>39</v>
      </c>
      <c r="G419" s="87">
        <v>270000</v>
      </c>
      <c r="H419" s="87">
        <v>270000</v>
      </c>
      <c r="I419" s="87">
        <v>270000</v>
      </c>
      <c r="J419" s="177"/>
    </row>
    <row r="420" spans="1:10" ht="78" hidden="1" customHeight="1">
      <c r="A420" s="136" t="s">
        <v>598</v>
      </c>
      <c r="B420" s="149">
        <v>763</v>
      </c>
      <c r="C420" s="84" t="s">
        <v>54</v>
      </c>
      <c r="D420" s="84" t="s">
        <v>88</v>
      </c>
      <c r="E420" s="84" t="s">
        <v>566</v>
      </c>
      <c r="F420" s="84"/>
      <c r="G420" s="87">
        <f>G421</f>
        <v>0</v>
      </c>
      <c r="H420" s="87">
        <v>0</v>
      </c>
      <c r="I420" s="87">
        <v>0</v>
      </c>
      <c r="J420" s="177"/>
    </row>
    <row r="421" spans="1:10" ht="25.5" hidden="1">
      <c r="A421" s="82" t="s">
        <v>36</v>
      </c>
      <c r="B421" s="149">
        <v>763</v>
      </c>
      <c r="C421" s="84" t="s">
        <v>54</v>
      </c>
      <c r="D421" s="84" t="s">
        <v>88</v>
      </c>
      <c r="E421" s="84" t="s">
        <v>566</v>
      </c>
      <c r="F421" s="84" t="s">
        <v>37</v>
      </c>
      <c r="G421" s="87">
        <f>SUM(G422)</f>
        <v>0</v>
      </c>
      <c r="H421" s="87">
        <f>SUM(H422)</f>
        <v>0</v>
      </c>
      <c r="I421" s="87">
        <f>SUM(I422)</f>
        <v>0</v>
      </c>
      <c r="J421" s="177"/>
    </row>
    <row r="422" spans="1:10" ht="25.5" hidden="1" customHeight="1">
      <c r="A422" s="82" t="s">
        <v>38</v>
      </c>
      <c r="B422" s="149">
        <v>763</v>
      </c>
      <c r="C422" s="84" t="s">
        <v>54</v>
      </c>
      <c r="D422" s="84" t="s">
        <v>88</v>
      </c>
      <c r="E422" s="84" t="s">
        <v>566</v>
      </c>
      <c r="F422" s="84" t="s">
        <v>39</v>
      </c>
      <c r="G422" s="87"/>
      <c r="H422" s="87">
        <v>0</v>
      </c>
      <c r="I422" s="87">
        <v>0</v>
      </c>
      <c r="J422" s="177"/>
    </row>
    <row r="423" spans="1:10" ht="23.25" hidden="1" customHeight="1">
      <c r="A423" s="284" t="s">
        <v>568</v>
      </c>
      <c r="B423" s="149">
        <v>763</v>
      </c>
      <c r="C423" s="84" t="s">
        <v>54</v>
      </c>
      <c r="D423" s="84" t="s">
        <v>88</v>
      </c>
      <c r="E423" s="84" t="s">
        <v>567</v>
      </c>
      <c r="F423" s="84"/>
      <c r="G423" s="87">
        <f>G424</f>
        <v>0</v>
      </c>
      <c r="H423" s="87">
        <v>0</v>
      </c>
      <c r="I423" s="87">
        <v>0</v>
      </c>
      <c r="J423" s="177"/>
    </row>
    <row r="424" spans="1:10" ht="25.5" hidden="1">
      <c r="A424" s="82" t="s">
        <v>36</v>
      </c>
      <c r="B424" s="149">
        <v>763</v>
      </c>
      <c r="C424" s="84" t="s">
        <v>54</v>
      </c>
      <c r="D424" s="84" t="s">
        <v>88</v>
      </c>
      <c r="E424" s="84" t="s">
        <v>567</v>
      </c>
      <c r="F424" s="84" t="s">
        <v>37</v>
      </c>
      <c r="G424" s="87">
        <f>SUM(G425)</f>
        <v>0</v>
      </c>
      <c r="H424" s="87">
        <f>SUM(H425)</f>
        <v>0</v>
      </c>
      <c r="I424" s="87">
        <f>SUM(I425)</f>
        <v>0</v>
      </c>
      <c r="J424" s="177"/>
    </row>
    <row r="425" spans="1:10" ht="25.5" hidden="1" customHeight="1">
      <c r="A425" s="82" t="s">
        <v>38</v>
      </c>
      <c r="B425" s="149">
        <v>763</v>
      </c>
      <c r="C425" s="84" t="s">
        <v>54</v>
      </c>
      <c r="D425" s="84" t="s">
        <v>88</v>
      </c>
      <c r="E425" s="84" t="s">
        <v>567</v>
      </c>
      <c r="F425" s="84" t="s">
        <v>39</v>
      </c>
      <c r="G425" s="87"/>
      <c r="H425" s="87">
        <v>0</v>
      </c>
      <c r="I425" s="87">
        <v>0</v>
      </c>
      <c r="J425" s="177"/>
    </row>
    <row r="426" spans="1:10" ht="23.25" hidden="1" customHeight="1">
      <c r="A426" s="284" t="s">
        <v>570</v>
      </c>
      <c r="B426" s="149">
        <v>763</v>
      </c>
      <c r="C426" s="84" t="s">
        <v>54</v>
      </c>
      <c r="D426" s="84" t="s">
        <v>88</v>
      </c>
      <c r="E426" s="84" t="s">
        <v>569</v>
      </c>
      <c r="F426" s="84"/>
      <c r="G426" s="87">
        <f>G427</f>
        <v>0</v>
      </c>
      <c r="H426" s="87">
        <v>0</v>
      </c>
      <c r="I426" s="87">
        <v>0</v>
      </c>
      <c r="J426" s="177"/>
    </row>
    <row r="427" spans="1:10" ht="25.5" hidden="1">
      <c r="A427" s="82" t="s">
        <v>36</v>
      </c>
      <c r="B427" s="149">
        <v>763</v>
      </c>
      <c r="C427" s="84" t="s">
        <v>54</v>
      </c>
      <c r="D427" s="84" t="s">
        <v>88</v>
      </c>
      <c r="E427" s="84" t="s">
        <v>569</v>
      </c>
      <c r="F427" s="84" t="s">
        <v>37</v>
      </c>
      <c r="G427" s="87">
        <f>SUM(G428)</f>
        <v>0</v>
      </c>
      <c r="H427" s="87">
        <f>SUM(H428)</f>
        <v>0</v>
      </c>
      <c r="I427" s="87">
        <f>SUM(I428)</f>
        <v>0</v>
      </c>
      <c r="J427" s="177"/>
    </row>
    <row r="428" spans="1:10" ht="25.5" hidden="1" customHeight="1">
      <c r="A428" s="82" t="s">
        <v>38</v>
      </c>
      <c r="B428" s="149">
        <v>763</v>
      </c>
      <c r="C428" s="84" t="s">
        <v>54</v>
      </c>
      <c r="D428" s="84" t="s">
        <v>88</v>
      </c>
      <c r="E428" s="84" t="s">
        <v>569</v>
      </c>
      <c r="F428" s="84" t="s">
        <v>39</v>
      </c>
      <c r="G428" s="87"/>
      <c r="H428" s="87">
        <v>0</v>
      </c>
      <c r="I428" s="87">
        <v>0</v>
      </c>
      <c r="J428" s="177"/>
    </row>
    <row r="429" spans="1:10" ht="34.5" customHeight="1">
      <c r="A429" s="82" t="s">
        <v>584</v>
      </c>
      <c r="B429" s="149">
        <v>763</v>
      </c>
      <c r="C429" s="84" t="s">
        <v>54</v>
      </c>
      <c r="D429" s="84" t="s">
        <v>88</v>
      </c>
      <c r="E429" s="84" t="s">
        <v>583</v>
      </c>
      <c r="F429" s="84"/>
      <c r="G429" s="87">
        <f>G430</f>
        <v>0</v>
      </c>
      <c r="H429" s="87">
        <f>SUM(H430)</f>
        <v>40000</v>
      </c>
      <c r="I429" s="87">
        <f>SUM(I430)</f>
        <v>40000</v>
      </c>
      <c r="J429" s="177"/>
    </row>
    <row r="430" spans="1:10" ht="25.5">
      <c r="A430" s="82" t="s">
        <v>36</v>
      </c>
      <c r="B430" s="149">
        <v>763</v>
      </c>
      <c r="C430" s="84" t="s">
        <v>54</v>
      </c>
      <c r="D430" s="84" t="s">
        <v>88</v>
      </c>
      <c r="E430" s="84" t="s">
        <v>583</v>
      </c>
      <c r="F430" s="84" t="s">
        <v>37</v>
      </c>
      <c r="G430" s="87">
        <f>SUM(G431)</f>
        <v>0</v>
      </c>
      <c r="H430" s="87">
        <f>SUM(H431)</f>
        <v>40000</v>
      </c>
      <c r="I430" s="87">
        <f>SUM(I431)</f>
        <v>40000</v>
      </c>
      <c r="J430" s="177"/>
    </row>
    <row r="431" spans="1:10" ht="30.75" customHeight="1">
      <c r="A431" s="82" t="s">
        <v>38</v>
      </c>
      <c r="B431" s="149">
        <v>763</v>
      </c>
      <c r="C431" s="84" t="s">
        <v>54</v>
      </c>
      <c r="D431" s="84" t="s">
        <v>88</v>
      </c>
      <c r="E431" s="84" t="s">
        <v>583</v>
      </c>
      <c r="F431" s="84" t="s">
        <v>39</v>
      </c>
      <c r="G431" s="87">
        <f>40000-40000</f>
        <v>0</v>
      </c>
      <c r="H431" s="87">
        <v>40000</v>
      </c>
      <c r="I431" s="87">
        <v>40000</v>
      </c>
      <c r="J431" s="177"/>
    </row>
    <row r="432" spans="1:10" ht="34.5" hidden="1" customHeight="1">
      <c r="A432" s="82" t="s">
        <v>793</v>
      </c>
      <c r="B432" s="149">
        <v>763</v>
      </c>
      <c r="C432" s="84" t="s">
        <v>54</v>
      </c>
      <c r="D432" s="84" t="s">
        <v>88</v>
      </c>
      <c r="E432" s="84" t="s">
        <v>792</v>
      </c>
      <c r="F432" s="84"/>
      <c r="G432" s="87">
        <f>G433</f>
        <v>0</v>
      </c>
      <c r="H432" s="87">
        <f>SUM(H433)</f>
        <v>0</v>
      </c>
      <c r="I432" s="87">
        <f>SUM(I433)</f>
        <v>0</v>
      </c>
      <c r="J432" s="177"/>
    </row>
    <row r="433" spans="1:18" ht="25.5" hidden="1">
      <c r="A433" s="82" t="s">
        <v>36</v>
      </c>
      <c r="B433" s="149">
        <v>763</v>
      </c>
      <c r="C433" s="84" t="s">
        <v>54</v>
      </c>
      <c r="D433" s="84" t="s">
        <v>88</v>
      </c>
      <c r="E433" s="84" t="s">
        <v>792</v>
      </c>
      <c r="F433" s="84" t="s">
        <v>37</v>
      </c>
      <c r="G433" s="87">
        <f>SUM(G434)</f>
        <v>0</v>
      </c>
      <c r="H433" s="87">
        <f>SUM(H434)</f>
        <v>0</v>
      </c>
      <c r="I433" s="87">
        <f>SUM(I434)</f>
        <v>0</v>
      </c>
      <c r="J433" s="177"/>
    </row>
    <row r="434" spans="1:18" ht="30.75" hidden="1" customHeight="1">
      <c r="A434" s="82" t="s">
        <v>38</v>
      </c>
      <c r="B434" s="149">
        <v>763</v>
      </c>
      <c r="C434" s="84" t="s">
        <v>54</v>
      </c>
      <c r="D434" s="84" t="s">
        <v>88</v>
      </c>
      <c r="E434" s="84" t="s">
        <v>792</v>
      </c>
      <c r="F434" s="84" t="s">
        <v>39</v>
      </c>
      <c r="G434" s="87">
        <v>0</v>
      </c>
      <c r="H434" s="87">
        <v>0</v>
      </c>
      <c r="I434" s="87">
        <v>0</v>
      </c>
      <c r="J434" s="177"/>
    </row>
    <row r="435" spans="1:18" ht="34.5" hidden="1" customHeight="1">
      <c r="A435" s="82" t="s">
        <v>803</v>
      </c>
      <c r="B435" s="149">
        <v>763</v>
      </c>
      <c r="C435" s="84" t="s">
        <v>54</v>
      </c>
      <c r="D435" s="84" t="s">
        <v>88</v>
      </c>
      <c r="E435" s="84" t="s">
        <v>802</v>
      </c>
      <c r="F435" s="84"/>
      <c r="G435" s="87">
        <f>G436</f>
        <v>0</v>
      </c>
      <c r="H435" s="87">
        <f>SUM(H436)</f>
        <v>0</v>
      </c>
      <c r="I435" s="87">
        <f>SUM(I436)</f>
        <v>0</v>
      </c>
      <c r="J435" s="177"/>
    </row>
    <row r="436" spans="1:18" ht="25.5" hidden="1">
      <c r="A436" s="82" t="s">
        <v>36</v>
      </c>
      <c r="B436" s="149">
        <v>763</v>
      </c>
      <c r="C436" s="84" t="s">
        <v>54</v>
      </c>
      <c r="D436" s="84" t="s">
        <v>88</v>
      </c>
      <c r="E436" s="84" t="s">
        <v>802</v>
      </c>
      <c r="F436" s="84" t="s">
        <v>37</v>
      </c>
      <c r="G436" s="87">
        <f>SUM(G437)</f>
        <v>0</v>
      </c>
      <c r="H436" s="87">
        <f>SUM(H437)</f>
        <v>0</v>
      </c>
      <c r="I436" s="87">
        <f>SUM(I437)</f>
        <v>0</v>
      </c>
      <c r="J436" s="177"/>
    </row>
    <row r="437" spans="1:18" ht="30.75" hidden="1" customHeight="1">
      <c r="A437" s="82" t="s">
        <v>38</v>
      </c>
      <c r="B437" s="149">
        <v>763</v>
      </c>
      <c r="C437" s="84" t="s">
        <v>54</v>
      </c>
      <c r="D437" s="84" t="s">
        <v>88</v>
      </c>
      <c r="E437" s="84" t="s">
        <v>802</v>
      </c>
      <c r="F437" s="84" t="s">
        <v>39</v>
      </c>
      <c r="G437" s="87"/>
      <c r="H437" s="87"/>
      <c r="I437" s="87"/>
      <c r="J437" s="177"/>
    </row>
    <row r="438" spans="1:18" ht="34.5" hidden="1" customHeight="1">
      <c r="A438" s="82" t="s">
        <v>806</v>
      </c>
      <c r="B438" s="149">
        <v>763</v>
      </c>
      <c r="C438" s="84" t="s">
        <v>54</v>
      </c>
      <c r="D438" s="84" t="s">
        <v>88</v>
      </c>
      <c r="E438" s="84" t="s">
        <v>805</v>
      </c>
      <c r="F438" s="84"/>
      <c r="G438" s="87">
        <f>G439</f>
        <v>0</v>
      </c>
      <c r="H438" s="87">
        <f>SUM(H439)</f>
        <v>0</v>
      </c>
      <c r="I438" s="87">
        <f>SUM(I439)</f>
        <v>0</v>
      </c>
      <c r="J438" s="177"/>
    </row>
    <row r="439" spans="1:18" ht="25.5" hidden="1">
      <c r="A439" s="82" t="s">
        <v>36</v>
      </c>
      <c r="B439" s="149">
        <v>763</v>
      </c>
      <c r="C439" s="84" t="s">
        <v>54</v>
      </c>
      <c r="D439" s="84" t="s">
        <v>88</v>
      </c>
      <c r="E439" s="84" t="s">
        <v>805</v>
      </c>
      <c r="F439" s="84" t="s">
        <v>37</v>
      </c>
      <c r="G439" s="87">
        <f>SUM(G440)</f>
        <v>0</v>
      </c>
      <c r="H439" s="87">
        <f>SUM(H440)</f>
        <v>0</v>
      </c>
      <c r="I439" s="87">
        <f>SUM(I440)</f>
        <v>0</v>
      </c>
      <c r="J439" s="177"/>
    </row>
    <row r="440" spans="1:18" ht="30.75" hidden="1" customHeight="1">
      <c r="A440" s="82" t="s">
        <v>38</v>
      </c>
      <c r="B440" s="149">
        <v>763</v>
      </c>
      <c r="C440" s="84" t="s">
        <v>54</v>
      </c>
      <c r="D440" s="84" t="s">
        <v>88</v>
      </c>
      <c r="E440" s="84" t="s">
        <v>805</v>
      </c>
      <c r="F440" s="84" t="s">
        <v>39</v>
      </c>
      <c r="G440" s="87"/>
      <c r="H440" s="87">
        <v>0</v>
      </c>
      <c r="I440" s="87">
        <v>0</v>
      </c>
      <c r="J440" s="177"/>
    </row>
    <row r="441" spans="1:18">
      <c r="A441" s="134" t="s">
        <v>347</v>
      </c>
      <c r="B441" s="155">
        <v>763</v>
      </c>
      <c r="C441" s="272" t="s">
        <v>173</v>
      </c>
      <c r="D441" s="272"/>
      <c r="E441" s="272"/>
      <c r="F441" s="272"/>
      <c r="G441" s="269">
        <f>G442</f>
        <v>2636000</v>
      </c>
      <c r="H441" s="269">
        <f t="shared" ref="H441:I441" si="105">H442</f>
        <v>2836000</v>
      </c>
      <c r="I441" s="269">
        <f t="shared" si="105"/>
        <v>2836000</v>
      </c>
      <c r="J441" s="191"/>
      <c r="P441" s="209"/>
      <c r="Q441" s="209"/>
    </row>
    <row r="442" spans="1:18">
      <c r="A442" s="132" t="s">
        <v>174</v>
      </c>
      <c r="B442" s="149">
        <v>763</v>
      </c>
      <c r="C442" s="153" t="s">
        <v>173</v>
      </c>
      <c r="D442" s="153" t="s">
        <v>19</v>
      </c>
      <c r="E442" s="272"/>
      <c r="F442" s="272"/>
      <c r="G442" s="94">
        <f>G443+G457</f>
        <v>2636000</v>
      </c>
      <c r="H442" s="94">
        <f t="shared" ref="H442:I442" si="106">H443+H457</f>
        <v>2836000</v>
      </c>
      <c r="I442" s="94">
        <f t="shared" si="106"/>
        <v>2836000</v>
      </c>
      <c r="J442" s="194"/>
      <c r="K442" s="194"/>
      <c r="L442" s="194"/>
      <c r="M442" s="194"/>
      <c r="N442" s="194"/>
      <c r="O442" s="194"/>
    </row>
    <row r="443" spans="1:18" ht="51">
      <c r="A443" s="82" t="s">
        <v>495</v>
      </c>
      <c r="B443" s="149">
        <v>763</v>
      </c>
      <c r="C443" s="84" t="s">
        <v>173</v>
      </c>
      <c r="D443" s="84" t="s">
        <v>19</v>
      </c>
      <c r="E443" s="84" t="s">
        <v>296</v>
      </c>
      <c r="F443" s="84"/>
      <c r="G443" s="87">
        <f>G446+G450+G453+G456</f>
        <v>2636000</v>
      </c>
      <c r="H443" s="87">
        <f t="shared" ref="H443:I443" si="107">H446+H450+H453+H456</f>
        <v>2836000</v>
      </c>
      <c r="I443" s="87">
        <f t="shared" si="107"/>
        <v>2836000</v>
      </c>
      <c r="J443" s="177"/>
    </row>
    <row r="444" spans="1:18" s="18" customFormat="1" ht="20.25" customHeight="1">
      <c r="A444" s="82" t="s">
        <v>85</v>
      </c>
      <c r="B444" s="149">
        <v>763</v>
      </c>
      <c r="C444" s="84" t="s">
        <v>173</v>
      </c>
      <c r="D444" s="84" t="s">
        <v>19</v>
      </c>
      <c r="E444" s="84" t="s">
        <v>84</v>
      </c>
      <c r="F444" s="84"/>
      <c r="G444" s="87">
        <f t="shared" ref="G444:I445" si="108">G445</f>
        <v>456000</v>
      </c>
      <c r="H444" s="87">
        <f t="shared" si="108"/>
        <v>656000</v>
      </c>
      <c r="I444" s="87">
        <f t="shared" si="108"/>
        <v>656000</v>
      </c>
      <c r="J444" s="177"/>
      <c r="K444" s="200"/>
      <c r="L444" s="200"/>
      <c r="M444" s="200"/>
      <c r="N444" s="200"/>
      <c r="O444" s="200"/>
      <c r="P444" s="200"/>
      <c r="Q444" s="200"/>
      <c r="R444" s="200"/>
    </row>
    <row r="445" spans="1:18" ht="30.75" customHeight="1">
      <c r="A445" s="82" t="s">
        <v>36</v>
      </c>
      <c r="B445" s="149">
        <v>763</v>
      </c>
      <c r="C445" s="84" t="s">
        <v>173</v>
      </c>
      <c r="D445" s="84" t="s">
        <v>19</v>
      </c>
      <c r="E445" s="84" t="s">
        <v>84</v>
      </c>
      <c r="F445" s="84" t="s">
        <v>37</v>
      </c>
      <c r="G445" s="87">
        <f t="shared" si="108"/>
        <v>456000</v>
      </c>
      <c r="H445" s="87">
        <f t="shared" si="108"/>
        <v>656000</v>
      </c>
      <c r="I445" s="87">
        <f t="shared" si="108"/>
        <v>656000</v>
      </c>
      <c r="J445" s="177"/>
    </row>
    <row r="446" spans="1:18" s="18" customFormat="1" ht="34.5" customHeight="1">
      <c r="A446" s="82" t="s">
        <v>38</v>
      </c>
      <c r="B446" s="149">
        <v>763</v>
      </c>
      <c r="C446" s="84" t="s">
        <v>173</v>
      </c>
      <c r="D446" s="84" t="s">
        <v>19</v>
      </c>
      <c r="E446" s="84" t="s">
        <v>84</v>
      </c>
      <c r="F446" s="84" t="s">
        <v>39</v>
      </c>
      <c r="G446" s="87">
        <f>50000+606000-200000</f>
        <v>456000</v>
      </c>
      <c r="H446" s="87">
        <f t="shared" ref="H446:I446" si="109">50000+606000</f>
        <v>656000</v>
      </c>
      <c r="I446" s="87">
        <f t="shared" si="109"/>
        <v>656000</v>
      </c>
      <c r="J446" s="177"/>
      <c r="K446" s="200"/>
      <c r="L446" s="200"/>
      <c r="M446" s="200"/>
      <c r="N446" s="200"/>
      <c r="O446" s="200"/>
      <c r="P446" s="200"/>
      <c r="Q446" s="200"/>
      <c r="R446" s="200"/>
    </row>
    <row r="447" spans="1:18" s="3" customFormat="1" ht="52.5" hidden="1" customHeight="1">
      <c r="A447" s="82"/>
      <c r="B447" s="149">
        <v>763</v>
      </c>
      <c r="C447" s="84"/>
      <c r="D447" s="84"/>
      <c r="E447" s="84"/>
      <c r="F447" s="84"/>
      <c r="G447" s="87"/>
      <c r="H447" s="87"/>
      <c r="I447" s="87"/>
      <c r="J447" s="177"/>
      <c r="K447" s="199"/>
      <c r="L447" s="199"/>
      <c r="M447" s="199"/>
      <c r="N447" s="199"/>
      <c r="O447" s="199"/>
      <c r="P447" s="199"/>
      <c r="Q447" s="199"/>
      <c r="R447" s="199"/>
    </row>
    <row r="448" spans="1:18" s="18" customFormat="1" ht="63" customHeight="1">
      <c r="A448" s="82" t="s">
        <v>81</v>
      </c>
      <c r="B448" s="149">
        <v>763</v>
      </c>
      <c r="C448" s="84" t="s">
        <v>173</v>
      </c>
      <c r="D448" s="84" t="s">
        <v>19</v>
      </c>
      <c r="E448" s="84" t="s">
        <v>80</v>
      </c>
      <c r="F448" s="84"/>
      <c r="G448" s="87">
        <f t="shared" ref="G448:I449" si="110">G449</f>
        <v>2180000</v>
      </c>
      <c r="H448" s="87">
        <f t="shared" si="110"/>
        <v>2180000</v>
      </c>
      <c r="I448" s="87">
        <f t="shared" si="110"/>
        <v>2180000</v>
      </c>
      <c r="J448" s="177"/>
      <c r="K448" s="200"/>
      <c r="L448" s="200"/>
      <c r="M448" s="200"/>
      <c r="N448" s="200"/>
      <c r="O448" s="200"/>
      <c r="P448" s="200"/>
      <c r="Q448" s="200"/>
      <c r="R448" s="200"/>
    </row>
    <row r="449" spans="1:18" ht="30.75" customHeight="1">
      <c r="A449" s="82" t="s">
        <v>36</v>
      </c>
      <c r="B449" s="149">
        <v>763</v>
      </c>
      <c r="C449" s="84" t="s">
        <v>173</v>
      </c>
      <c r="D449" s="84" t="s">
        <v>19</v>
      </c>
      <c r="E449" s="84" t="s">
        <v>80</v>
      </c>
      <c r="F449" s="84" t="s">
        <v>37</v>
      </c>
      <c r="G449" s="87">
        <f t="shared" si="110"/>
        <v>2180000</v>
      </c>
      <c r="H449" s="87">
        <f t="shared" si="110"/>
        <v>2180000</v>
      </c>
      <c r="I449" s="87">
        <f t="shared" si="110"/>
        <v>2180000</v>
      </c>
      <c r="J449" s="177"/>
    </row>
    <row r="450" spans="1:18" s="18" customFormat="1" ht="34.5" customHeight="1">
      <c r="A450" s="82" t="s">
        <v>38</v>
      </c>
      <c r="B450" s="149">
        <v>763</v>
      </c>
      <c r="C450" s="84" t="s">
        <v>173</v>
      </c>
      <c r="D450" s="84" t="s">
        <v>19</v>
      </c>
      <c r="E450" s="84" t="s">
        <v>80</v>
      </c>
      <c r="F450" s="84" t="s">
        <v>39</v>
      </c>
      <c r="G450" s="87">
        <v>2180000</v>
      </c>
      <c r="H450" s="87">
        <v>2180000</v>
      </c>
      <c r="I450" s="87">
        <v>2180000</v>
      </c>
      <c r="J450" s="177"/>
      <c r="K450" s="200"/>
      <c r="L450" s="200"/>
      <c r="M450" s="200"/>
      <c r="N450" s="200"/>
      <c r="O450" s="200"/>
      <c r="P450" s="200"/>
      <c r="Q450" s="200"/>
      <c r="R450" s="200"/>
    </row>
    <row r="451" spans="1:18" s="124" customFormat="1">
      <c r="A451" s="138" t="s">
        <v>74</v>
      </c>
      <c r="B451" s="275"/>
      <c r="C451" s="162"/>
      <c r="D451" s="162"/>
      <c r="E451" s="162"/>
      <c r="F451" s="162"/>
      <c r="G451" s="96">
        <f>G385+G406+G441</f>
        <v>16734813</v>
      </c>
      <c r="H451" s="96">
        <f t="shared" ref="H451:I451" si="111">H385+H406+H441</f>
        <v>15923275</v>
      </c>
      <c r="I451" s="96">
        <f t="shared" si="111"/>
        <v>16038404</v>
      </c>
      <c r="J451" s="192"/>
      <c r="K451" s="207"/>
      <c r="L451" s="207"/>
      <c r="M451" s="207"/>
      <c r="N451" s="207"/>
      <c r="O451" s="207"/>
      <c r="P451" s="207"/>
      <c r="Q451" s="207"/>
      <c r="R451" s="207"/>
    </row>
    <row r="452" spans="1:18" s="125" customFormat="1" ht="50.25" customHeight="1">
      <c r="A452" s="279" t="s">
        <v>988</v>
      </c>
      <c r="B452" s="280">
        <v>774</v>
      </c>
      <c r="C452" s="281"/>
      <c r="D452" s="281"/>
      <c r="E452" s="281"/>
      <c r="F452" s="281"/>
      <c r="G452" s="282"/>
      <c r="H452" s="282"/>
      <c r="I452" s="282"/>
      <c r="J452" s="197"/>
      <c r="K452" s="213"/>
      <c r="L452" s="213"/>
      <c r="M452" s="213"/>
      <c r="N452" s="213"/>
      <c r="O452" s="213"/>
      <c r="P452" s="213"/>
      <c r="Q452" s="213"/>
      <c r="R452" s="213"/>
    </row>
    <row r="453" spans="1:18" hidden="1">
      <c r="A453" s="277" t="s">
        <v>18</v>
      </c>
      <c r="B453" s="271">
        <v>774</v>
      </c>
      <c r="C453" s="272" t="s">
        <v>19</v>
      </c>
      <c r="D453" s="272"/>
      <c r="E453" s="272"/>
      <c r="F453" s="272"/>
      <c r="G453" s="269">
        <f t="shared" ref="G453:I457" si="112">G454</f>
        <v>0</v>
      </c>
      <c r="H453" s="269">
        <f t="shared" si="112"/>
        <v>0</v>
      </c>
      <c r="I453" s="269">
        <f t="shared" si="112"/>
        <v>0</v>
      </c>
      <c r="J453" s="191"/>
    </row>
    <row r="454" spans="1:18" ht="18.75" hidden="1" customHeight="1">
      <c r="A454" s="137" t="s">
        <v>22</v>
      </c>
      <c r="B454" s="149">
        <v>774</v>
      </c>
      <c r="C454" s="84" t="s">
        <v>19</v>
      </c>
      <c r="D454" s="84" t="s">
        <v>23</v>
      </c>
      <c r="E454" s="84"/>
      <c r="F454" s="84"/>
      <c r="G454" s="87">
        <f t="shared" si="112"/>
        <v>0</v>
      </c>
      <c r="H454" s="87">
        <f t="shared" si="112"/>
        <v>0</v>
      </c>
      <c r="I454" s="87">
        <f t="shared" si="112"/>
        <v>0</v>
      </c>
      <c r="J454" s="177"/>
    </row>
    <row r="455" spans="1:18" s="22" customFormat="1" ht="26.25" hidden="1" customHeight="1">
      <c r="A455" s="82" t="s">
        <v>164</v>
      </c>
      <c r="B455" s="149">
        <v>774</v>
      </c>
      <c r="C455" s="84" t="s">
        <v>19</v>
      </c>
      <c r="D455" s="84" t="s">
        <v>23</v>
      </c>
      <c r="E455" s="147" t="s">
        <v>210</v>
      </c>
      <c r="F455" s="156"/>
      <c r="G455" s="87">
        <f t="shared" si="112"/>
        <v>0</v>
      </c>
      <c r="H455" s="87">
        <f t="shared" si="112"/>
        <v>0</v>
      </c>
      <c r="I455" s="87">
        <f t="shared" si="112"/>
        <v>0</v>
      </c>
      <c r="J455" s="177"/>
      <c r="K455" s="208"/>
      <c r="L455" s="207"/>
      <c r="M455" s="207"/>
      <c r="N455" s="207"/>
      <c r="O455" s="207"/>
      <c r="P455" s="207"/>
      <c r="Q455" s="207"/>
      <c r="R455" s="207"/>
    </row>
    <row r="456" spans="1:18" s="22" customFormat="1" ht="26.25" hidden="1" customHeight="1">
      <c r="A456" s="82" t="s">
        <v>432</v>
      </c>
      <c r="B456" s="149">
        <v>774</v>
      </c>
      <c r="C456" s="84" t="s">
        <v>19</v>
      </c>
      <c r="D456" s="84" t="s">
        <v>23</v>
      </c>
      <c r="E456" s="84" t="s">
        <v>515</v>
      </c>
      <c r="F456" s="156"/>
      <c r="G456" s="87">
        <f t="shared" si="112"/>
        <v>0</v>
      </c>
      <c r="H456" s="87">
        <f t="shared" si="112"/>
        <v>0</v>
      </c>
      <c r="I456" s="87">
        <f t="shared" si="112"/>
        <v>0</v>
      </c>
      <c r="J456" s="177"/>
      <c r="K456" s="208"/>
      <c r="L456" s="207"/>
      <c r="M456" s="207"/>
      <c r="N456" s="207"/>
      <c r="O456" s="207"/>
      <c r="P456" s="207"/>
      <c r="Q456" s="207"/>
      <c r="R456" s="207"/>
    </row>
    <row r="457" spans="1:18" ht="40.5" hidden="1" customHeight="1">
      <c r="A457" s="82" t="s">
        <v>432</v>
      </c>
      <c r="B457" s="149">
        <v>774</v>
      </c>
      <c r="C457" s="84" t="s">
        <v>19</v>
      </c>
      <c r="D457" s="84" t="s">
        <v>23</v>
      </c>
      <c r="E457" s="84" t="s">
        <v>431</v>
      </c>
      <c r="F457" s="84"/>
      <c r="G457" s="87">
        <f t="shared" si="112"/>
        <v>0</v>
      </c>
      <c r="H457" s="87">
        <f t="shared" si="112"/>
        <v>0</v>
      </c>
      <c r="I457" s="87">
        <f t="shared" si="112"/>
        <v>0</v>
      </c>
      <c r="J457" s="177"/>
      <c r="K457" s="209"/>
    </row>
    <row r="458" spans="1:18" hidden="1">
      <c r="A458" s="82" t="s">
        <v>63</v>
      </c>
      <c r="B458" s="149">
        <v>774</v>
      </c>
      <c r="C458" s="84" t="s">
        <v>19</v>
      </c>
      <c r="D458" s="84" t="s">
        <v>23</v>
      </c>
      <c r="E458" s="84" t="s">
        <v>431</v>
      </c>
      <c r="F458" s="84" t="s">
        <v>64</v>
      </c>
      <c r="G458" s="87">
        <f>G459</f>
        <v>0</v>
      </c>
      <c r="H458" s="87">
        <v>0</v>
      </c>
      <c r="I458" s="87">
        <v>0</v>
      </c>
      <c r="J458" s="177"/>
      <c r="K458" s="209"/>
    </row>
    <row r="459" spans="1:18" ht="15" hidden="1" customHeight="1">
      <c r="A459" s="82" t="s">
        <v>329</v>
      </c>
      <c r="B459" s="149">
        <v>774</v>
      </c>
      <c r="C459" s="84" t="s">
        <v>19</v>
      </c>
      <c r="D459" s="84" t="s">
        <v>23</v>
      </c>
      <c r="E459" s="84" t="s">
        <v>431</v>
      </c>
      <c r="F459" s="84" t="s">
        <v>328</v>
      </c>
      <c r="G459" s="87"/>
      <c r="H459" s="87">
        <v>0</v>
      </c>
      <c r="I459" s="87">
        <v>0</v>
      </c>
      <c r="J459" s="177"/>
      <c r="K459" s="209"/>
    </row>
    <row r="460" spans="1:18" ht="25.5">
      <c r="A460" s="270" t="s">
        <v>168</v>
      </c>
      <c r="B460" s="271">
        <v>774</v>
      </c>
      <c r="C460" s="272" t="s">
        <v>70</v>
      </c>
      <c r="D460" s="272"/>
      <c r="E460" s="272"/>
      <c r="F460" s="272"/>
      <c r="G460" s="269">
        <f>G461</f>
        <v>200000</v>
      </c>
      <c r="H460" s="269">
        <f t="shared" ref="H460:I460" si="113">H461</f>
        <v>200000</v>
      </c>
      <c r="I460" s="269">
        <f t="shared" si="113"/>
        <v>200000</v>
      </c>
      <c r="J460" s="191"/>
      <c r="M460" s="209"/>
      <c r="N460" s="209"/>
      <c r="O460" s="209"/>
      <c r="P460" s="209"/>
    </row>
    <row r="461" spans="1:18" s="46" customFormat="1" ht="25.5">
      <c r="A461" s="82" t="s">
        <v>336</v>
      </c>
      <c r="B461" s="149">
        <v>774</v>
      </c>
      <c r="C461" s="84" t="s">
        <v>70</v>
      </c>
      <c r="D461" s="84" t="s">
        <v>310</v>
      </c>
      <c r="E461" s="84"/>
      <c r="F461" s="84"/>
      <c r="G461" s="87">
        <f>G462</f>
        <v>200000</v>
      </c>
      <c r="H461" s="87">
        <f t="shared" ref="H461:I461" si="114">H462</f>
        <v>200000</v>
      </c>
      <c r="I461" s="87">
        <f t="shared" si="114"/>
        <v>200000</v>
      </c>
      <c r="J461" s="177"/>
      <c r="K461" s="186"/>
      <c r="L461" s="214"/>
      <c r="M461" s="214"/>
      <c r="N461" s="214"/>
      <c r="O461" s="222"/>
      <c r="P461" s="222"/>
      <c r="Q461" s="222"/>
      <c r="R461" s="222"/>
    </row>
    <row r="462" spans="1:18" ht="38.25">
      <c r="A462" s="82" t="s">
        <v>484</v>
      </c>
      <c r="B462" s="149">
        <v>774</v>
      </c>
      <c r="C462" s="84" t="s">
        <v>70</v>
      </c>
      <c r="D462" s="84" t="s">
        <v>310</v>
      </c>
      <c r="E462" s="84" t="s">
        <v>257</v>
      </c>
      <c r="F462" s="84"/>
      <c r="G462" s="87">
        <f t="shared" ref="G462:I464" si="115">G463</f>
        <v>200000</v>
      </c>
      <c r="H462" s="87">
        <f t="shared" si="115"/>
        <v>200000</v>
      </c>
      <c r="I462" s="87">
        <f t="shared" si="115"/>
        <v>200000</v>
      </c>
      <c r="J462" s="177"/>
      <c r="L462" s="209"/>
    </row>
    <row r="463" spans="1:18" ht="38.25">
      <c r="A463" s="82" t="s">
        <v>337</v>
      </c>
      <c r="B463" s="149">
        <v>774</v>
      </c>
      <c r="C463" s="84" t="s">
        <v>70</v>
      </c>
      <c r="D463" s="84" t="s">
        <v>310</v>
      </c>
      <c r="E463" s="84" t="s">
        <v>258</v>
      </c>
      <c r="F463" s="84"/>
      <c r="G463" s="87">
        <f>G464+G466</f>
        <v>200000</v>
      </c>
      <c r="H463" s="87">
        <f t="shared" ref="H463:I463" si="116">H464+H466</f>
        <v>200000</v>
      </c>
      <c r="I463" s="87">
        <f t="shared" si="116"/>
        <v>200000</v>
      </c>
      <c r="J463" s="177"/>
      <c r="L463" s="209"/>
    </row>
    <row r="464" spans="1:18" ht="25.5" hidden="1">
      <c r="A464" s="82" t="s">
        <v>38</v>
      </c>
      <c r="B464" s="149">
        <v>774</v>
      </c>
      <c r="C464" s="84" t="s">
        <v>70</v>
      </c>
      <c r="D464" s="84" t="s">
        <v>310</v>
      </c>
      <c r="E464" s="84" t="s">
        <v>258</v>
      </c>
      <c r="F464" s="84" t="s">
        <v>37</v>
      </c>
      <c r="G464" s="87">
        <f t="shared" si="115"/>
        <v>0</v>
      </c>
      <c r="H464" s="87">
        <f t="shared" si="115"/>
        <v>0</v>
      </c>
      <c r="I464" s="87">
        <f t="shared" si="115"/>
        <v>0</v>
      </c>
      <c r="J464" s="177"/>
    </row>
    <row r="465" spans="1:19" ht="31.5" hidden="1" customHeight="1">
      <c r="A465" s="82" t="s">
        <v>38</v>
      </c>
      <c r="B465" s="149">
        <v>774</v>
      </c>
      <c r="C465" s="84" t="s">
        <v>70</v>
      </c>
      <c r="D465" s="84" t="s">
        <v>310</v>
      </c>
      <c r="E465" s="84" t="s">
        <v>258</v>
      </c>
      <c r="F465" s="84" t="s">
        <v>39</v>
      </c>
      <c r="G465" s="87"/>
      <c r="H465" s="87"/>
      <c r="I465" s="87"/>
      <c r="J465" s="177"/>
    </row>
    <row r="466" spans="1:19" s="18" customFormat="1" ht="25.5">
      <c r="A466" s="82" t="s">
        <v>30</v>
      </c>
      <c r="B466" s="149">
        <v>774</v>
      </c>
      <c r="C466" s="84" t="s">
        <v>70</v>
      </c>
      <c r="D466" s="84" t="s">
        <v>310</v>
      </c>
      <c r="E466" s="84" t="s">
        <v>258</v>
      </c>
      <c r="F466" s="84" t="s">
        <v>31</v>
      </c>
      <c r="G466" s="87">
        <f t="shared" ref="G466:I466" si="117">G467</f>
        <v>200000</v>
      </c>
      <c r="H466" s="87">
        <f t="shared" si="117"/>
        <v>200000</v>
      </c>
      <c r="I466" s="87">
        <f t="shared" si="117"/>
        <v>200000</v>
      </c>
      <c r="J466" s="177"/>
      <c r="K466" s="200"/>
      <c r="L466" s="200"/>
      <c r="M466" s="200"/>
      <c r="N466" s="200"/>
      <c r="O466" s="200"/>
      <c r="P466" s="200"/>
      <c r="Q466" s="200"/>
      <c r="R466" s="200"/>
    </row>
    <row r="467" spans="1:19" s="18" customFormat="1">
      <c r="A467" s="82" t="s">
        <v>32</v>
      </c>
      <c r="B467" s="149">
        <v>774</v>
      </c>
      <c r="C467" s="84" t="s">
        <v>70</v>
      </c>
      <c r="D467" s="84" t="s">
        <v>310</v>
      </c>
      <c r="E467" s="84" t="s">
        <v>258</v>
      </c>
      <c r="F467" s="84" t="s">
        <v>33</v>
      </c>
      <c r="G467" s="87">
        <v>200000</v>
      </c>
      <c r="H467" s="87">
        <v>200000</v>
      </c>
      <c r="I467" s="87">
        <v>200000</v>
      </c>
      <c r="J467" s="177"/>
      <c r="K467" s="200"/>
      <c r="L467" s="200"/>
      <c r="M467" s="215"/>
      <c r="N467" s="200"/>
      <c r="O467" s="200"/>
      <c r="P467" s="200"/>
      <c r="Q467" s="200"/>
      <c r="R467" s="200"/>
    </row>
    <row r="468" spans="1:19" ht="19.5" hidden="1" customHeight="1">
      <c r="A468" s="154" t="s">
        <v>172</v>
      </c>
      <c r="B468" s="155">
        <v>774</v>
      </c>
      <c r="C468" s="156" t="s">
        <v>54</v>
      </c>
      <c r="D468" s="156" t="s">
        <v>123</v>
      </c>
      <c r="E468" s="156"/>
      <c r="F468" s="156"/>
      <c r="G468" s="157">
        <f>G469</f>
        <v>0</v>
      </c>
      <c r="H468" s="157">
        <f t="shared" ref="H468:I471" si="118">H469</f>
        <v>0</v>
      </c>
      <c r="I468" s="157">
        <f t="shared" si="118"/>
        <v>0</v>
      </c>
      <c r="J468" s="196"/>
    </row>
    <row r="469" spans="1:19" ht="47.25" hidden="1" customHeight="1">
      <c r="A469" s="82" t="s">
        <v>460</v>
      </c>
      <c r="B469" s="149">
        <v>774</v>
      </c>
      <c r="C469" s="84" t="s">
        <v>54</v>
      </c>
      <c r="D469" s="84" t="s">
        <v>123</v>
      </c>
      <c r="E469" s="84" t="s">
        <v>459</v>
      </c>
      <c r="F469" s="84"/>
      <c r="G469" s="87">
        <f>G470</f>
        <v>0</v>
      </c>
      <c r="H469" s="87">
        <f t="shared" si="118"/>
        <v>0</v>
      </c>
      <c r="I469" s="87">
        <f t="shared" si="118"/>
        <v>0</v>
      </c>
      <c r="J469" s="177"/>
    </row>
    <row r="470" spans="1:19" ht="33.75" hidden="1" customHeight="1">
      <c r="A470" s="82" t="s">
        <v>458</v>
      </c>
      <c r="B470" s="149">
        <v>774</v>
      </c>
      <c r="C470" s="84" t="s">
        <v>54</v>
      </c>
      <c r="D470" s="84" t="s">
        <v>123</v>
      </c>
      <c r="E470" s="84" t="s">
        <v>456</v>
      </c>
      <c r="F470" s="84"/>
      <c r="G470" s="87">
        <f>G471</f>
        <v>0</v>
      </c>
      <c r="H470" s="87">
        <f t="shared" si="118"/>
        <v>0</v>
      </c>
      <c r="I470" s="87">
        <f t="shared" si="118"/>
        <v>0</v>
      </c>
      <c r="J470" s="177"/>
    </row>
    <row r="471" spans="1:19" ht="30.75" hidden="1" customHeight="1">
      <c r="A471" s="82" t="s">
        <v>457</v>
      </c>
      <c r="B471" s="149">
        <v>774</v>
      </c>
      <c r="C471" s="84" t="s">
        <v>54</v>
      </c>
      <c r="D471" s="84" t="s">
        <v>123</v>
      </c>
      <c r="E471" s="84" t="s">
        <v>456</v>
      </c>
      <c r="F471" s="84" t="s">
        <v>37</v>
      </c>
      <c r="G471" s="87">
        <f>G472</f>
        <v>0</v>
      </c>
      <c r="H471" s="87">
        <f t="shared" si="118"/>
        <v>0</v>
      </c>
      <c r="I471" s="87">
        <f t="shared" si="118"/>
        <v>0</v>
      </c>
      <c r="J471" s="177"/>
    </row>
    <row r="472" spans="1:19" ht="33" hidden="1" customHeight="1">
      <c r="A472" s="82" t="s">
        <v>38</v>
      </c>
      <c r="B472" s="149">
        <v>774</v>
      </c>
      <c r="C472" s="84" t="s">
        <v>54</v>
      </c>
      <c r="D472" s="84" t="s">
        <v>123</v>
      </c>
      <c r="E472" s="84" t="s">
        <v>456</v>
      </c>
      <c r="F472" s="84" t="s">
        <v>39</v>
      </c>
      <c r="G472" s="87">
        <f>63000-63000</f>
        <v>0</v>
      </c>
      <c r="H472" s="87"/>
      <c r="I472" s="87"/>
      <c r="J472" s="177"/>
    </row>
    <row r="473" spans="1:19">
      <c r="A473" s="270" t="s">
        <v>25</v>
      </c>
      <c r="B473" s="271">
        <v>774</v>
      </c>
      <c r="C473" s="272" t="s">
        <v>26</v>
      </c>
      <c r="D473" s="272"/>
      <c r="E473" s="272"/>
      <c r="F473" s="272"/>
      <c r="G473" s="269">
        <f>G474+G550+G790+G906+G958</f>
        <v>1166529849.8900001</v>
      </c>
      <c r="H473" s="269">
        <f>H474+H550+H790+H906+H958</f>
        <v>1037319657.14</v>
      </c>
      <c r="I473" s="269">
        <f>I474+I550+I790+I906+I958</f>
        <v>1027165898.0899999</v>
      </c>
      <c r="J473" s="191"/>
      <c r="K473" s="209"/>
    </row>
    <row r="474" spans="1:19">
      <c r="A474" s="82" t="s">
        <v>89</v>
      </c>
      <c r="B474" s="149">
        <v>774</v>
      </c>
      <c r="C474" s="84" t="s">
        <v>26</v>
      </c>
      <c r="D474" s="84" t="s">
        <v>19</v>
      </c>
      <c r="E474" s="84"/>
      <c r="F474" s="84"/>
      <c r="G474" s="87">
        <f>G475+G542+G546</f>
        <v>318904288.42000002</v>
      </c>
      <c r="H474" s="87">
        <f>H475+H542+H546</f>
        <v>324865367</v>
      </c>
      <c r="I474" s="87">
        <f>I475+I542+I546</f>
        <v>334575673</v>
      </c>
      <c r="J474" s="177"/>
    </row>
    <row r="475" spans="1:19" s="18" customFormat="1" ht="25.5">
      <c r="A475" s="82" t="s">
        <v>478</v>
      </c>
      <c r="B475" s="149">
        <v>774</v>
      </c>
      <c r="C475" s="84" t="s">
        <v>26</v>
      </c>
      <c r="D475" s="84" t="s">
        <v>19</v>
      </c>
      <c r="E475" s="84" t="s">
        <v>189</v>
      </c>
      <c r="F475" s="84"/>
      <c r="G475" s="87">
        <f>G476+G503</f>
        <v>318904288.42000002</v>
      </c>
      <c r="H475" s="87">
        <f>H476+H503</f>
        <v>324865367</v>
      </c>
      <c r="I475" s="87">
        <f>I476+I503</f>
        <v>334575673</v>
      </c>
      <c r="J475" s="177"/>
      <c r="K475" s="200"/>
      <c r="L475" s="200"/>
      <c r="M475" s="200"/>
      <c r="N475" s="200"/>
      <c r="O475" s="200"/>
      <c r="P475" s="200"/>
      <c r="Q475" s="200"/>
      <c r="R475" s="200"/>
    </row>
    <row r="476" spans="1:19" s="18" customFormat="1" ht="30" customHeight="1">
      <c r="A476" s="82" t="s">
        <v>90</v>
      </c>
      <c r="B476" s="84" t="s">
        <v>94</v>
      </c>
      <c r="C476" s="84" t="s">
        <v>26</v>
      </c>
      <c r="D476" s="84" t="s">
        <v>19</v>
      </c>
      <c r="E476" s="84" t="s">
        <v>215</v>
      </c>
      <c r="F476" s="84"/>
      <c r="G476" s="87">
        <f>G477+G480+G483+G489+G495+G497+G486+G492</f>
        <v>315169944</v>
      </c>
      <c r="H476" s="87">
        <f t="shared" ref="H476:I476" si="119">H477+H480+H483+H489+H495+H497+H486+H492</f>
        <v>322362799</v>
      </c>
      <c r="I476" s="87">
        <f t="shared" si="119"/>
        <v>330673105</v>
      </c>
      <c r="J476" s="177"/>
      <c r="K476" s="200"/>
      <c r="L476" s="200"/>
      <c r="M476" s="200"/>
      <c r="N476" s="200"/>
      <c r="O476" s="200"/>
      <c r="P476" s="200"/>
      <c r="Q476" s="200"/>
      <c r="R476" s="200"/>
    </row>
    <row r="477" spans="1:19" ht="50.25" customHeight="1">
      <c r="A477" s="82" t="s">
        <v>3</v>
      </c>
      <c r="B477" s="84" t="s">
        <v>94</v>
      </c>
      <c r="C477" s="84" t="s">
        <v>26</v>
      </c>
      <c r="D477" s="84" t="s">
        <v>19</v>
      </c>
      <c r="E477" s="84" t="s">
        <v>913</v>
      </c>
      <c r="F477" s="84"/>
      <c r="G477" s="87">
        <f t="shared" ref="G477:I478" si="120">G478</f>
        <v>16488454</v>
      </c>
      <c r="H477" s="87">
        <f t="shared" si="120"/>
        <v>16087000</v>
      </c>
      <c r="I477" s="87">
        <f t="shared" si="120"/>
        <v>17852599</v>
      </c>
      <c r="J477" s="177"/>
    </row>
    <row r="478" spans="1:19" s="18" customFormat="1" ht="25.5">
      <c r="A478" s="82" t="s">
        <v>30</v>
      </c>
      <c r="B478" s="84" t="s">
        <v>94</v>
      </c>
      <c r="C478" s="84" t="s">
        <v>26</v>
      </c>
      <c r="D478" s="84" t="s">
        <v>19</v>
      </c>
      <c r="E478" s="84" t="s">
        <v>913</v>
      </c>
      <c r="F478" s="84" t="s">
        <v>31</v>
      </c>
      <c r="G478" s="87">
        <f t="shared" si="120"/>
        <v>16488454</v>
      </c>
      <c r="H478" s="87">
        <f t="shared" si="120"/>
        <v>16087000</v>
      </c>
      <c r="I478" s="87">
        <f t="shared" si="120"/>
        <v>17852599</v>
      </c>
      <c r="J478" s="177"/>
      <c r="K478" s="200"/>
      <c r="L478" s="200"/>
      <c r="M478" s="200"/>
      <c r="N478" s="200"/>
      <c r="O478" s="200"/>
      <c r="P478" s="200"/>
      <c r="Q478" s="200"/>
      <c r="R478" s="200"/>
    </row>
    <row r="479" spans="1:19" s="18" customFormat="1">
      <c r="A479" s="82" t="s">
        <v>32</v>
      </c>
      <c r="B479" s="84" t="s">
        <v>94</v>
      </c>
      <c r="C479" s="84" t="s">
        <v>26</v>
      </c>
      <c r="D479" s="84" t="s">
        <v>19</v>
      </c>
      <c r="E479" s="84" t="s">
        <v>913</v>
      </c>
      <c r="F479" s="84" t="s">
        <v>33</v>
      </c>
      <c r="G479" s="87">
        <v>16488454</v>
      </c>
      <c r="H479" s="87">
        <v>16087000</v>
      </c>
      <c r="I479" s="87">
        <v>17852599</v>
      </c>
      <c r="J479" s="177"/>
      <c r="K479" s="200"/>
      <c r="L479" s="200"/>
      <c r="M479" s="215"/>
      <c r="N479" s="200"/>
      <c r="O479" s="200"/>
      <c r="P479" s="200"/>
      <c r="Q479" s="200"/>
      <c r="R479" s="200"/>
    </row>
    <row r="480" spans="1:19" s="18" customFormat="1" ht="15" customHeight="1">
      <c r="A480" s="82" t="s">
        <v>91</v>
      </c>
      <c r="B480" s="149">
        <v>774</v>
      </c>
      <c r="C480" s="84" t="s">
        <v>26</v>
      </c>
      <c r="D480" s="84" t="s">
        <v>19</v>
      </c>
      <c r="E480" s="84" t="s">
        <v>134</v>
      </c>
      <c r="F480" s="84"/>
      <c r="G480" s="87">
        <f t="shared" ref="G480:I481" si="121">G481</f>
        <v>193465907</v>
      </c>
      <c r="H480" s="87">
        <f t="shared" si="121"/>
        <v>201074385</v>
      </c>
      <c r="I480" s="87">
        <f t="shared" si="121"/>
        <v>207277689</v>
      </c>
      <c r="J480" s="177"/>
      <c r="K480" s="200"/>
      <c r="L480" s="200"/>
      <c r="M480" s="200"/>
      <c r="N480" s="200"/>
      <c r="O480" s="200"/>
      <c r="P480" s="200"/>
      <c r="Q480" s="215"/>
      <c r="R480" s="215"/>
      <c r="S480" s="17"/>
    </row>
    <row r="481" spans="1:19" s="18" customFormat="1" ht="25.5">
      <c r="A481" s="82" t="s">
        <v>30</v>
      </c>
      <c r="B481" s="149">
        <v>774</v>
      </c>
      <c r="C481" s="84" t="s">
        <v>26</v>
      </c>
      <c r="D481" s="84" t="s">
        <v>19</v>
      </c>
      <c r="E481" s="84" t="s">
        <v>134</v>
      </c>
      <c r="F481" s="84" t="s">
        <v>31</v>
      </c>
      <c r="G481" s="87">
        <f t="shared" si="121"/>
        <v>193465907</v>
      </c>
      <c r="H481" s="87">
        <f t="shared" si="121"/>
        <v>201074385</v>
      </c>
      <c r="I481" s="87">
        <f t="shared" si="121"/>
        <v>207277689</v>
      </c>
      <c r="J481" s="177"/>
      <c r="K481" s="200"/>
      <c r="L481" s="200"/>
      <c r="M481" s="200"/>
      <c r="N481" s="200"/>
      <c r="O481" s="200"/>
      <c r="P481" s="200"/>
      <c r="Q481" s="215"/>
      <c r="R481" s="215"/>
      <c r="S481" s="17"/>
    </row>
    <row r="482" spans="1:19" s="18" customFormat="1">
      <c r="A482" s="82" t="s">
        <v>32</v>
      </c>
      <c r="B482" s="149">
        <v>774</v>
      </c>
      <c r="C482" s="84" t="s">
        <v>26</v>
      </c>
      <c r="D482" s="84" t="s">
        <v>19</v>
      </c>
      <c r="E482" s="84" t="s">
        <v>134</v>
      </c>
      <c r="F482" s="84" t="s">
        <v>33</v>
      </c>
      <c r="G482" s="87">
        <v>193465907</v>
      </c>
      <c r="H482" s="87">
        <v>201074385</v>
      </c>
      <c r="I482" s="87">
        <v>207277689</v>
      </c>
      <c r="J482" s="177"/>
      <c r="K482" s="200"/>
      <c r="L482" s="200"/>
      <c r="M482" s="200"/>
      <c r="N482" s="200"/>
      <c r="O482" s="200"/>
      <c r="P482" s="200"/>
      <c r="Q482" s="215"/>
      <c r="R482" s="215"/>
      <c r="S482" s="17"/>
    </row>
    <row r="483" spans="1:19" s="18" customFormat="1" ht="25.5">
      <c r="A483" s="82" t="s">
        <v>93</v>
      </c>
      <c r="B483" s="149">
        <v>774</v>
      </c>
      <c r="C483" s="84" t="s">
        <v>26</v>
      </c>
      <c r="D483" s="84" t="s">
        <v>19</v>
      </c>
      <c r="E483" s="84" t="s">
        <v>217</v>
      </c>
      <c r="F483" s="84"/>
      <c r="G483" s="87">
        <f t="shared" ref="G483:I487" si="122">G484</f>
        <v>99427242</v>
      </c>
      <c r="H483" s="87">
        <f t="shared" si="122"/>
        <v>98500729</v>
      </c>
      <c r="I483" s="87">
        <f t="shared" si="122"/>
        <v>98842132</v>
      </c>
      <c r="J483" s="177"/>
      <c r="K483" s="200"/>
      <c r="L483" s="200"/>
      <c r="M483" s="200"/>
      <c r="N483" s="200"/>
      <c r="O483" s="200"/>
      <c r="P483" s="200"/>
      <c r="Q483" s="215"/>
      <c r="R483" s="215"/>
      <c r="S483" s="17"/>
    </row>
    <row r="484" spans="1:19" s="18" customFormat="1" ht="25.5">
      <c r="A484" s="82" t="s">
        <v>30</v>
      </c>
      <c r="B484" s="149">
        <v>774</v>
      </c>
      <c r="C484" s="84" t="s">
        <v>26</v>
      </c>
      <c r="D484" s="84" t="s">
        <v>19</v>
      </c>
      <c r="E484" s="84" t="s">
        <v>217</v>
      </c>
      <c r="F484" s="84" t="s">
        <v>31</v>
      </c>
      <c r="G484" s="87">
        <f t="shared" si="122"/>
        <v>99427242</v>
      </c>
      <c r="H484" s="87">
        <f t="shared" si="122"/>
        <v>98500729</v>
      </c>
      <c r="I484" s="87">
        <f t="shared" si="122"/>
        <v>98842132</v>
      </c>
      <c r="J484" s="177"/>
      <c r="K484" s="200"/>
      <c r="L484" s="200"/>
      <c r="M484" s="200"/>
      <c r="N484" s="200"/>
      <c r="O484" s="200"/>
      <c r="P484" s="200"/>
      <c r="Q484" s="215"/>
      <c r="R484" s="215"/>
      <c r="S484" s="17"/>
    </row>
    <row r="485" spans="1:19" s="18" customFormat="1">
      <c r="A485" s="82" t="s">
        <v>32</v>
      </c>
      <c r="B485" s="149">
        <v>774</v>
      </c>
      <c r="C485" s="84" t="s">
        <v>26</v>
      </c>
      <c r="D485" s="84" t="s">
        <v>19</v>
      </c>
      <c r="E485" s="84" t="s">
        <v>217</v>
      </c>
      <c r="F485" s="84" t="s">
        <v>33</v>
      </c>
      <c r="G485" s="87">
        <f>99927242-500000</f>
        <v>99427242</v>
      </c>
      <c r="H485" s="87">
        <v>98500729</v>
      </c>
      <c r="I485" s="87">
        <f>101842132-3000000</f>
        <v>98842132</v>
      </c>
      <c r="J485" s="177"/>
      <c r="K485" s="200"/>
      <c r="L485" s="200"/>
      <c r="M485" s="200"/>
      <c r="N485" s="200"/>
      <c r="O485" s="200"/>
      <c r="P485" s="200"/>
      <c r="Q485" s="215"/>
      <c r="R485" s="215"/>
      <c r="S485" s="17"/>
    </row>
    <row r="486" spans="1:19" s="18" customFormat="1">
      <c r="A486" s="82" t="s">
        <v>859</v>
      </c>
      <c r="B486" s="149">
        <v>774</v>
      </c>
      <c r="C486" s="84" t="s">
        <v>26</v>
      </c>
      <c r="D486" s="84" t="s">
        <v>19</v>
      </c>
      <c r="E486" s="84" t="s">
        <v>877</v>
      </c>
      <c r="F486" s="84"/>
      <c r="G486" s="87">
        <f t="shared" si="122"/>
        <v>665928</v>
      </c>
      <c r="H486" s="87">
        <f t="shared" si="122"/>
        <v>780454</v>
      </c>
      <c r="I486" s="87">
        <f t="shared" si="122"/>
        <v>780454</v>
      </c>
      <c r="J486" s="177"/>
      <c r="K486" s="200"/>
      <c r="L486" s="200"/>
      <c r="M486" s="200"/>
      <c r="N486" s="200"/>
      <c r="O486" s="200"/>
      <c r="P486" s="200"/>
      <c r="Q486" s="215"/>
      <c r="R486" s="215"/>
      <c r="S486" s="17"/>
    </row>
    <row r="487" spans="1:19" s="18" customFormat="1" ht="25.5">
      <c r="A487" s="82" t="s">
        <v>30</v>
      </c>
      <c r="B487" s="149">
        <v>774</v>
      </c>
      <c r="C487" s="84" t="s">
        <v>26</v>
      </c>
      <c r="D487" s="84" t="s">
        <v>19</v>
      </c>
      <c r="E487" s="84" t="s">
        <v>877</v>
      </c>
      <c r="F487" s="84" t="s">
        <v>31</v>
      </c>
      <c r="G487" s="87">
        <f t="shared" si="122"/>
        <v>665928</v>
      </c>
      <c r="H487" s="87">
        <f t="shared" si="122"/>
        <v>780454</v>
      </c>
      <c r="I487" s="87">
        <f t="shared" si="122"/>
        <v>780454</v>
      </c>
      <c r="J487" s="177"/>
      <c r="K487" s="200"/>
      <c r="L487" s="200"/>
      <c r="M487" s="200"/>
      <c r="N487" s="200"/>
      <c r="O487" s="200"/>
      <c r="P487" s="200"/>
      <c r="Q487" s="215"/>
      <c r="R487" s="215"/>
      <c r="S487" s="17"/>
    </row>
    <row r="488" spans="1:19" s="18" customFormat="1">
      <c r="A488" s="82" t="s">
        <v>32</v>
      </c>
      <c r="B488" s="149">
        <v>774</v>
      </c>
      <c r="C488" s="84" t="s">
        <v>26</v>
      </c>
      <c r="D488" s="84" t="s">
        <v>19</v>
      </c>
      <c r="E488" s="84" t="s">
        <v>877</v>
      </c>
      <c r="F488" s="84" t="s">
        <v>33</v>
      </c>
      <c r="G488" s="87">
        <f>720928-55000</f>
        <v>665928</v>
      </c>
      <c r="H488" s="87">
        <v>780454</v>
      </c>
      <c r="I488" s="87">
        <v>780454</v>
      </c>
      <c r="J488" s="177"/>
      <c r="K488" s="200"/>
      <c r="L488" s="200"/>
      <c r="M488" s="200"/>
      <c r="N488" s="200"/>
      <c r="O488" s="200"/>
      <c r="P488" s="200"/>
      <c r="Q488" s="215"/>
      <c r="R488" s="215"/>
      <c r="S488" s="17"/>
    </row>
    <row r="489" spans="1:19" s="18" customFormat="1" ht="31.5" customHeight="1">
      <c r="A489" s="285" t="s">
        <v>125</v>
      </c>
      <c r="B489" s="84" t="s">
        <v>94</v>
      </c>
      <c r="C489" s="84" t="s">
        <v>26</v>
      </c>
      <c r="D489" s="84" t="s">
        <v>19</v>
      </c>
      <c r="E489" s="84" t="s">
        <v>226</v>
      </c>
      <c r="F489" s="84"/>
      <c r="G489" s="87">
        <f t="shared" ref="G489:I493" si="123">G490</f>
        <v>888490</v>
      </c>
      <c r="H489" s="87">
        <f t="shared" si="123"/>
        <v>888490</v>
      </c>
      <c r="I489" s="87">
        <f t="shared" si="123"/>
        <v>888490</v>
      </c>
      <c r="J489" s="177"/>
      <c r="K489" s="200"/>
      <c r="L489" s="200"/>
      <c r="M489" s="200"/>
      <c r="N489" s="200"/>
      <c r="O489" s="200"/>
      <c r="P489" s="200"/>
      <c r="Q489" s="215"/>
      <c r="R489" s="215"/>
      <c r="S489" s="17"/>
    </row>
    <row r="490" spans="1:19" s="18" customFormat="1" ht="25.5">
      <c r="A490" s="82" t="s">
        <v>30</v>
      </c>
      <c r="B490" s="84" t="s">
        <v>94</v>
      </c>
      <c r="C490" s="84" t="s">
        <v>26</v>
      </c>
      <c r="D490" s="84" t="s">
        <v>19</v>
      </c>
      <c r="E490" s="84" t="s">
        <v>226</v>
      </c>
      <c r="F490" s="84" t="s">
        <v>31</v>
      </c>
      <c r="G490" s="87">
        <f t="shared" si="123"/>
        <v>888490</v>
      </c>
      <c r="H490" s="87">
        <f t="shared" si="123"/>
        <v>888490</v>
      </c>
      <c r="I490" s="87">
        <f t="shared" si="123"/>
        <v>888490</v>
      </c>
      <c r="J490" s="177"/>
      <c r="K490" s="200"/>
      <c r="L490" s="200"/>
      <c r="M490" s="200"/>
      <c r="N490" s="200"/>
      <c r="O490" s="200"/>
      <c r="P490" s="200"/>
      <c r="Q490" s="200"/>
      <c r="R490" s="200"/>
    </row>
    <row r="491" spans="1:19">
      <c r="A491" s="82" t="s">
        <v>32</v>
      </c>
      <c r="B491" s="84" t="s">
        <v>94</v>
      </c>
      <c r="C491" s="84" t="s">
        <v>26</v>
      </c>
      <c r="D491" s="84" t="s">
        <v>19</v>
      </c>
      <c r="E491" s="84" t="s">
        <v>226</v>
      </c>
      <c r="F491" s="84" t="s">
        <v>33</v>
      </c>
      <c r="G491" s="87">
        <v>888490</v>
      </c>
      <c r="H491" s="87">
        <v>888490</v>
      </c>
      <c r="I491" s="87">
        <v>888490</v>
      </c>
      <c r="J491" s="177"/>
    </row>
    <row r="492" spans="1:19" s="18" customFormat="1" ht="42.75" customHeight="1">
      <c r="A492" s="285" t="s">
        <v>878</v>
      </c>
      <c r="B492" s="84" t="s">
        <v>94</v>
      </c>
      <c r="C492" s="84" t="s">
        <v>26</v>
      </c>
      <c r="D492" s="84" t="s">
        <v>19</v>
      </c>
      <c r="E492" s="84" t="s">
        <v>617</v>
      </c>
      <c r="F492" s="84"/>
      <c r="G492" s="87">
        <f t="shared" si="123"/>
        <v>0</v>
      </c>
      <c r="H492" s="87">
        <f t="shared" si="123"/>
        <v>857216</v>
      </c>
      <c r="I492" s="87">
        <f t="shared" si="123"/>
        <v>857216</v>
      </c>
      <c r="J492" s="177"/>
      <c r="K492" s="200"/>
      <c r="L492" s="200"/>
      <c r="M492" s="200"/>
      <c r="N492" s="200"/>
      <c r="O492" s="200"/>
      <c r="P492" s="200"/>
      <c r="Q492" s="215"/>
      <c r="R492" s="215"/>
      <c r="S492" s="17"/>
    </row>
    <row r="493" spans="1:19" s="18" customFormat="1" ht="25.5">
      <c r="A493" s="82" t="s">
        <v>30</v>
      </c>
      <c r="B493" s="84" t="s">
        <v>94</v>
      </c>
      <c r="C493" s="84" t="s">
        <v>26</v>
      </c>
      <c r="D493" s="84" t="s">
        <v>19</v>
      </c>
      <c r="E493" s="84" t="s">
        <v>617</v>
      </c>
      <c r="F493" s="84" t="s">
        <v>31</v>
      </c>
      <c r="G493" s="87">
        <f t="shared" si="123"/>
        <v>0</v>
      </c>
      <c r="H493" s="87">
        <f t="shared" si="123"/>
        <v>857216</v>
      </c>
      <c r="I493" s="87">
        <f t="shared" si="123"/>
        <v>857216</v>
      </c>
      <c r="J493" s="177"/>
      <c r="K493" s="200"/>
      <c r="L493" s="200"/>
      <c r="M493" s="200"/>
      <c r="N493" s="200"/>
      <c r="O493" s="200"/>
      <c r="P493" s="200"/>
      <c r="Q493" s="215"/>
      <c r="R493" s="215"/>
      <c r="S493" s="17"/>
    </row>
    <row r="494" spans="1:19">
      <c r="A494" s="82" t="s">
        <v>32</v>
      </c>
      <c r="B494" s="84" t="s">
        <v>94</v>
      </c>
      <c r="C494" s="84" t="s">
        <v>26</v>
      </c>
      <c r="D494" s="84" t="s">
        <v>19</v>
      </c>
      <c r="E494" s="84" t="s">
        <v>617</v>
      </c>
      <c r="F494" s="84" t="s">
        <v>33</v>
      </c>
      <c r="G494" s="87">
        <f>257165-257165</f>
        <v>0</v>
      </c>
      <c r="H494" s="87">
        <f>600051+257165</f>
        <v>857216</v>
      </c>
      <c r="I494" s="87">
        <f>600051+257165</f>
        <v>857216</v>
      </c>
      <c r="J494" s="177"/>
    </row>
    <row r="495" spans="1:19" s="3" customFormat="1" ht="42.75" hidden="1" customHeight="1">
      <c r="A495" s="82" t="s">
        <v>742</v>
      </c>
      <c r="B495" s="149">
        <v>774</v>
      </c>
      <c r="C495" s="84" t="s">
        <v>26</v>
      </c>
      <c r="D495" s="84" t="s">
        <v>19</v>
      </c>
      <c r="E495" s="84" t="s">
        <v>729</v>
      </c>
      <c r="F495" s="84"/>
      <c r="G495" s="87">
        <f>G496</f>
        <v>0</v>
      </c>
      <c r="H495" s="87">
        <f>H496</f>
        <v>0</v>
      </c>
      <c r="I495" s="87">
        <f>I496</f>
        <v>0</v>
      </c>
      <c r="J495" s="177"/>
      <c r="K495" s="199"/>
      <c r="L495" s="199"/>
      <c r="M495" s="199"/>
      <c r="N495" s="199"/>
      <c r="O495" s="199"/>
      <c r="P495" s="199"/>
      <c r="Q495" s="199"/>
      <c r="R495" s="199"/>
    </row>
    <row r="496" spans="1:19" s="3" customFormat="1" hidden="1">
      <c r="A496" s="82" t="s">
        <v>32</v>
      </c>
      <c r="B496" s="149">
        <v>774</v>
      </c>
      <c r="C496" s="84" t="s">
        <v>26</v>
      </c>
      <c r="D496" s="84" t="s">
        <v>19</v>
      </c>
      <c r="E496" s="84" t="s">
        <v>729</v>
      </c>
      <c r="F496" s="84" t="s">
        <v>33</v>
      </c>
      <c r="G496" s="87"/>
      <c r="H496" s="87"/>
      <c r="I496" s="87"/>
      <c r="J496" s="177"/>
      <c r="K496" s="199"/>
      <c r="L496" s="199"/>
      <c r="M496" s="199"/>
      <c r="N496" s="199"/>
      <c r="O496" s="199"/>
      <c r="P496" s="199"/>
      <c r="Q496" s="199"/>
      <c r="R496" s="199"/>
    </row>
    <row r="497" spans="1:18" s="18" customFormat="1" ht="51" customHeight="1">
      <c r="A497" s="285" t="s">
        <v>883</v>
      </c>
      <c r="B497" s="84" t="s">
        <v>94</v>
      </c>
      <c r="C497" s="84" t="s">
        <v>26</v>
      </c>
      <c r="D497" s="84" t="s">
        <v>19</v>
      </c>
      <c r="E497" s="84" t="s">
        <v>879</v>
      </c>
      <c r="F497" s="84"/>
      <c r="G497" s="87">
        <f t="shared" ref="G497:I501" si="124">G498</f>
        <v>4233923</v>
      </c>
      <c r="H497" s="87">
        <f t="shared" si="124"/>
        <v>4174525</v>
      </c>
      <c r="I497" s="87">
        <f t="shared" si="124"/>
        <v>4174525</v>
      </c>
      <c r="J497" s="177"/>
      <c r="K497" s="200"/>
      <c r="L497" s="200"/>
      <c r="M497" s="200"/>
      <c r="N497" s="200"/>
      <c r="O497" s="200"/>
      <c r="P497" s="200"/>
      <c r="Q497" s="200"/>
      <c r="R497" s="200"/>
    </row>
    <row r="498" spans="1:18" s="18" customFormat="1" ht="25.5">
      <c r="A498" s="82" t="s">
        <v>30</v>
      </c>
      <c r="B498" s="84" t="s">
        <v>94</v>
      </c>
      <c r="C498" s="84" t="s">
        <v>26</v>
      </c>
      <c r="D498" s="84" t="s">
        <v>19</v>
      </c>
      <c r="E498" s="84" t="s">
        <v>879</v>
      </c>
      <c r="F498" s="84" t="s">
        <v>31</v>
      </c>
      <c r="G498" s="87">
        <f t="shared" si="124"/>
        <v>4233923</v>
      </c>
      <c r="H498" s="87">
        <f t="shared" si="124"/>
        <v>4174525</v>
      </c>
      <c r="I498" s="87">
        <f t="shared" si="124"/>
        <v>4174525</v>
      </c>
      <c r="J498" s="177"/>
      <c r="K498" s="200"/>
      <c r="L498" s="200"/>
      <c r="M498" s="200"/>
      <c r="N498" s="200"/>
      <c r="O498" s="200"/>
      <c r="P498" s="200"/>
      <c r="Q498" s="200"/>
      <c r="R498" s="200"/>
    </row>
    <row r="499" spans="1:18">
      <c r="A499" s="82" t="s">
        <v>32</v>
      </c>
      <c r="B499" s="84" t="s">
        <v>94</v>
      </c>
      <c r="C499" s="84" t="s">
        <v>26</v>
      </c>
      <c r="D499" s="84" t="s">
        <v>19</v>
      </c>
      <c r="E499" s="84" t="s">
        <v>879</v>
      </c>
      <c r="F499" s="84" t="s">
        <v>33</v>
      </c>
      <c r="G499" s="87">
        <v>4233923</v>
      </c>
      <c r="H499" s="87">
        <v>4174525</v>
      </c>
      <c r="I499" s="87">
        <v>4174525</v>
      </c>
      <c r="J499" s="177"/>
    </row>
    <row r="500" spans="1:18" s="18" customFormat="1" ht="45.75" hidden="1" customHeight="1">
      <c r="A500" s="285" t="s">
        <v>618</v>
      </c>
      <c r="B500" s="84" t="s">
        <v>94</v>
      </c>
      <c r="C500" s="84" t="s">
        <v>26</v>
      </c>
      <c r="D500" s="84" t="s">
        <v>19</v>
      </c>
      <c r="E500" s="84" t="s">
        <v>617</v>
      </c>
      <c r="F500" s="84"/>
      <c r="G500" s="87">
        <f t="shared" si="124"/>
        <v>0</v>
      </c>
      <c r="H500" s="87">
        <f t="shared" si="124"/>
        <v>0</v>
      </c>
      <c r="I500" s="87">
        <f t="shared" si="124"/>
        <v>0</v>
      </c>
      <c r="J500" s="177"/>
      <c r="K500" s="200"/>
      <c r="L500" s="200"/>
      <c r="M500" s="200"/>
      <c r="N500" s="200"/>
      <c r="O500" s="200"/>
      <c r="P500" s="200"/>
      <c r="Q500" s="200"/>
      <c r="R500" s="200"/>
    </row>
    <row r="501" spans="1:18" s="18" customFormat="1" ht="25.5" hidden="1">
      <c r="A501" s="82" t="s">
        <v>30</v>
      </c>
      <c r="B501" s="84" t="s">
        <v>94</v>
      </c>
      <c r="C501" s="84" t="s">
        <v>26</v>
      </c>
      <c r="D501" s="84" t="s">
        <v>19</v>
      </c>
      <c r="E501" s="84" t="s">
        <v>617</v>
      </c>
      <c r="F501" s="84" t="s">
        <v>31</v>
      </c>
      <c r="G501" s="87">
        <f t="shared" si="124"/>
        <v>0</v>
      </c>
      <c r="H501" s="87">
        <f t="shared" si="124"/>
        <v>0</v>
      </c>
      <c r="I501" s="87">
        <f t="shared" si="124"/>
        <v>0</v>
      </c>
      <c r="J501" s="177"/>
      <c r="K501" s="200"/>
      <c r="L501" s="200"/>
      <c r="M501" s="200"/>
      <c r="N501" s="200"/>
      <c r="O501" s="200"/>
      <c r="P501" s="200"/>
      <c r="Q501" s="200"/>
      <c r="R501" s="200"/>
    </row>
    <row r="502" spans="1:18" hidden="1">
      <c r="A502" s="82" t="s">
        <v>32</v>
      </c>
      <c r="B502" s="84" t="s">
        <v>94</v>
      </c>
      <c r="C502" s="84" t="s">
        <v>26</v>
      </c>
      <c r="D502" s="84" t="s">
        <v>19</v>
      </c>
      <c r="E502" s="84" t="s">
        <v>617</v>
      </c>
      <c r="F502" s="84" t="s">
        <v>33</v>
      </c>
      <c r="G502" s="87"/>
      <c r="H502" s="87"/>
      <c r="I502" s="87"/>
      <c r="J502" s="177"/>
    </row>
    <row r="503" spans="1:18" s="3" customFormat="1" ht="25.5">
      <c r="A503" s="82" t="s">
        <v>0</v>
      </c>
      <c r="B503" s="149">
        <v>774</v>
      </c>
      <c r="C503" s="84" t="s">
        <v>26</v>
      </c>
      <c r="D503" s="84" t="s">
        <v>19</v>
      </c>
      <c r="E503" s="84" t="s">
        <v>218</v>
      </c>
      <c r="F503" s="84"/>
      <c r="G503" s="87">
        <f>G518+G529+G535+G541+G530+G504+G536+G513+G512+G507</f>
        <v>3734344.42</v>
      </c>
      <c r="H503" s="87">
        <f>H518+H529+H535+H541+H530+H504+H536+H513</f>
        <v>2502568</v>
      </c>
      <c r="I503" s="87">
        <f>I518+I529+I535+I541+I530+I504+I536+I513</f>
        <v>3902568</v>
      </c>
      <c r="J503" s="177"/>
      <c r="K503" s="199"/>
      <c r="L503" s="199"/>
      <c r="M503" s="199"/>
      <c r="N503" s="199"/>
      <c r="O503" s="199"/>
      <c r="P503" s="199"/>
      <c r="Q503" s="199"/>
      <c r="R503" s="199"/>
    </row>
    <row r="504" spans="1:18" ht="25.5" hidden="1" customHeight="1">
      <c r="A504" s="82" t="s">
        <v>777</v>
      </c>
      <c r="B504" s="149">
        <v>774</v>
      </c>
      <c r="C504" s="84" t="s">
        <v>26</v>
      </c>
      <c r="D504" s="84" t="s">
        <v>19</v>
      </c>
      <c r="E504" s="84" t="s">
        <v>776</v>
      </c>
      <c r="F504" s="149"/>
      <c r="G504" s="87">
        <f t="shared" ref="G504:I505" si="125">G505</f>
        <v>0</v>
      </c>
      <c r="H504" s="87">
        <f t="shared" si="125"/>
        <v>0</v>
      </c>
      <c r="I504" s="87">
        <f t="shared" si="125"/>
        <v>0</v>
      </c>
      <c r="J504" s="177"/>
    </row>
    <row r="505" spans="1:18" ht="25.5" hidden="1" customHeight="1">
      <c r="A505" s="82" t="s">
        <v>30</v>
      </c>
      <c r="B505" s="149">
        <v>774</v>
      </c>
      <c r="C505" s="84" t="s">
        <v>26</v>
      </c>
      <c r="D505" s="84" t="s">
        <v>19</v>
      </c>
      <c r="E505" s="84" t="s">
        <v>776</v>
      </c>
      <c r="F505" s="84" t="s">
        <v>31</v>
      </c>
      <c r="G505" s="87">
        <f t="shared" si="125"/>
        <v>0</v>
      </c>
      <c r="H505" s="87">
        <f t="shared" si="125"/>
        <v>0</v>
      </c>
      <c r="I505" s="87">
        <f t="shared" si="125"/>
        <v>0</v>
      </c>
      <c r="J505" s="177"/>
    </row>
    <row r="506" spans="1:18" ht="25.5" hidden="1" customHeight="1">
      <c r="A506" s="82" t="s">
        <v>32</v>
      </c>
      <c r="B506" s="149">
        <v>774</v>
      </c>
      <c r="C506" s="84" t="s">
        <v>26</v>
      </c>
      <c r="D506" s="84" t="s">
        <v>19</v>
      </c>
      <c r="E506" s="84" t="s">
        <v>776</v>
      </c>
      <c r="F506" s="84" t="s">
        <v>33</v>
      </c>
      <c r="G506" s="87"/>
      <c r="H506" s="87"/>
      <c r="I506" s="87"/>
      <c r="J506" s="177"/>
    </row>
    <row r="507" spans="1:18" s="3" customFormat="1" ht="25.5">
      <c r="A507" s="82" t="s">
        <v>1015</v>
      </c>
      <c r="B507" s="149">
        <v>774</v>
      </c>
      <c r="C507" s="84" t="s">
        <v>26</v>
      </c>
      <c r="D507" s="84" t="s">
        <v>19</v>
      </c>
      <c r="E507" s="84" t="s">
        <v>219</v>
      </c>
      <c r="F507" s="84"/>
      <c r="G507" s="87">
        <f t="shared" ref="G507:I508" si="126">G508</f>
        <v>2083259.42</v>
      </c>
      <c r="H507" s="87">
        <f t="shared" si="126"/>
        <v>0</v>
      </c>
      <c r="I507" s="87">
        <f t="shared" si="126"/>
        <v>0</v>
      </c>
      <c r="J507" s="177"/>
      <c r="K507" s="199"/>
      <c r="L507" s="199"/>
      <c r="M507" s="199"/>
      <c r="N507" s="199"/>
      <c r="O507" s="199"/>
      <c r="P507" s="199"/>
      <c r="Q507" s="199"/>
      <c r="R507" s="199"/>
    </row>
    <row r="508" spans="1:18" s="3" customFormat="1" ht="25.5">
      <c r="A508" s="82" t="s">
        <v>30</v>
      </c>
      <c r="B508" s="149">
        <v>774</v>
      </c>
      <c r="C508" s="84" t="s">
        <v>26</v>
      </c>
      <c r="D508" s="84" t="s">
        <v>19</v>
      </c>
      <c r="E508" s="84" t="s">
        <v>219</v>
      </c>
      <c r="F508" s="84" t="s">
        <v>31</v>
      </c>
      <c r="G508" s="87">
        <f t="shared" si="126"/>
        <v>2083259.42</v>
      </c>
      <c r="H508" s="87">
        <f t="shared" si="126"/>
        <v>0</v>
      </c>
      <c r="I508" s="87">
        <f t="shared" si="126"/>
        <v>0</v>
      </c>
      <c r="J508" s="177"/>
      <c r="K508" s="199"/>
      <c r="L508" s="199"/>
      <c r="M508" s="199"/>
      <c r="N508" s="199"/>
      <c r="O508" s="199"/>
      <c r="P508" s="199"/>
      <c r="Q508" s="199"/>
      <c r="R508" s="199"/>
    </row>
    <row r="509" spans="1:18" s="3" customFormat="1">
      <c r="A509" s="82" t="s">
        <v>32</v>
      </c>
      <c r="B509" s="149">
        <v>774</v>
      </c>
      <c r="C509" s="84" t="s">
        <v>26</v>
      </c>
      <c r="D509" s="84" t="s">
        <v>19</v>
      </c>
      <c r="E509" s="84" t="s">
        <v>219</v>
      </c>
      <c r="F509" s="84" t="s">
        <v>33</v>
      </c>
      <c r="G509" s="87">
        <v>2083259.42</v>
      </c>
      <c r="H509" s="87">
        <v>0</v>
      </c>
      <c r="I509" s="87">
        <v>0</v>
      </c>
      <c r="J509" s="177"/>
      <c r="K509" s="199"/>
      <c r="L509" s="199"/>
      <c r="M509" s="199"/>
      <c r="N509" s="199"/>
      <c r="O509" s="199"/>
      <c r="P509" s="199"/>
      <c r="Q509" s="199"/>
      <c r="R509" s="199"/>
    </row>
    <row r="510" spans="1:18" s="3" customFormat="1" ht="25.5">
      <c r="A510" s="82" t="s">
        <v>1014</v>
      </c>
      <c r="B510" s="149">
        <v>774</v>
      </c>
      <c r="C510" s="84" t="s">
        <v>26</v>
      </c>
      <c r="D510" s="84" t="s">
        <v>19</v>
      </c>
      <c r="E510" s="84" t="s">
        <v>1012</v>
      </c>
      <c r="F510" s="84"/>
      <c r="G510" s="87">
        <f t="shared" ref="G510:I511" si="127">G511</f>
        <v>524082</v>
      </c>
      <c r="H510" s="87">
        <f t="shared" si="127"/>
        <v>0</v>
      </c>
      <c r="I510" s="87">
        <f t="shared" si="127"/>
        <v>0</v>
      </c>
      <c r="J510" s="177"/>
      <c r="K510" s="199"/>
      <c r="L510" s="199"/>
      <c r="M510" s="199"/>
      <c r="N510" s="199"/>
      <c r="O510" s="199"/>
      <c r="P510" s="199"/>
      <c r="Q510" s="199"/>
      <c r="R510" s="199"/>
    </row>
    <row r="511" spans="1:18" s="3" customFormat="1" ht="25.5">
      <c r="A511" s="82" t="s">
        <v>30</v>
      </c>
      <c r="B511" s="149">
        <v>774</v>
      </c>
      <c r="C511" s="84" t="s">
        <v>26</v>
      </c>
      <c r="D511" s="84" t="s">
        <v>19</v>
      </c>
      <c r="E511" s="84" t="s">
        <v>1012</v>
      </c>
      <c r="F511" s="84" t="s">
        <v>31</v>
      </c>
      <c r="G511" s="87">
        <f t="shared" si="127"/>
        <v>524082</v>
      </c>
      <c r="H511" s="87">
        <f t="shared" si="127"/>
        <v>0</v>
      </c>
      <c r="I511" s="87">
        <f t="shared" si="127"/>
        <v>0</v>
      </c>
      <c r="J511" s="177"/>
      <c r="K511" s="199"/>
      <c r="L511" s="199"/>
      <c r="M511" s="199"/>
      <c r="N511" s="199"/>
      <c r="O511" s="199"/>
      <c r="P511" s="199"/>
      <c r="Q511" s="199"/>
      <c r="R511" s="199"/>
    </row>
    <row r="512" spans="1:18" s="3" customFormat="1">
      <c r="A512" s="82" t="s">
        <v>32</v>
      </c>
      <c r="B512" s="149">
        <v>774</v>
      </c>
      <c r="C512" s="84" t="s">
        <v>26</v>
      </c>
      <c r="D512" s="84" t="s">
        <v>19</v>
      </c>
      <c r="E512" s="84" t="s">
        <v>1012</v>
      </c>
      <c r="F512" s="84" t="s">
        <v>33</v>
      </c>
      <c r="G512" s="87">
        <f>184790+308292+31000</f>
        <v>524082</v>
      </c>
      <c r="H512" s="87"/>
      <c r="I512" s="87"/>
      <c r="J512" s="177"/>
      <c r="K512" s="199"/>
      <c r="L512" s="199"/>
      <c r="M512" s="199"/>
      <c r="N512" s="199"/>
      <c r="O512" s="199"/>
      <c r="P512" s="199"/>
      <c r="Q512" s="199"/>
      <c r="R512" s="199"/>
    </row>
    <row r="513" spans="1:18" s="3" customFormat="1" ht="65.25" customHeight="1">
      <c r="A513" s="82" t="s">
        <v>965</v>
      </c>
      <c r="B513" s="149">
        <v>774</v>
      </c>
      <c r="C513" s="84" t="s">
        <v>26</v>
      </c>
      <c r="D513" s="84" t="s">
        <v>19</v>
      </c>
      <c r="E513" s="84" t="s">
        <v>739</v>
      </c>
      <c r="F513" s="84"/>
      <c r="G513" s="87">
        <f t="shared" ref="G513:I514" si="128">G514</f>
        <v>0</v>
      </c>
      <c r="H513" s="87">
        <f t="shared" si="128"/>
        <v>975565</v>
      </c>
      <c r="I513" s="87">
        <f t="shared" si="128"/>
        <v>1975565</v>
      </c>
      <c r="J513" s="177"/>
      <c r="K513" s="199"/>
      <c r="L513" s="199"/>
      <c r="M513" s="199"/>
      <c r="N513" s="199"/>
      <c r="O513" s="199"/>
      <c r="P513" s="199"/>
      <c r="Q513" s="199"/>
      <c r="R513" s="199"/>
    </row>
    <row r="514" spans="1:18" s="3" customFormat="1" ht="25.5">
      <c r="A514" s="82" t="s">
        <v>30</v>
      </c>
      <c r="B514" s="149">
        <v>774</v>
      </c>
      <c r="C514" s="84" t="s">
        <v>26</v>
      </c>
      <c r="D514" s="84" t="s">
        <v>19</v>
      </c>
      <c r="E514" s="84" t="s">
        <v>739</v>
      </c>
      <c r="F514" s="84" t="s">
        <v>31</v>
      </c>
      <c r="G514" s="87">
        <f t="shared" si="128"/>
        <v>0</v>
      </c>
      <c r="H514" s="87">
        <f t="shared" si="128"/>
        <v>975565</v>
      </c>
      <c r="I514" s="87">
        <f t="shared" si="128"/>
        <v>1975565</v>
      </c>
      <c r="J514" s="177"/>
      <c r="K514" s="199"/>
      <c r="L514" s="199"/>
      <c r="M514" s="199"/>
      <c r="N514" s="199"/>
      <c r="O514" s="199"/>
      <c r="P514" s="199"/>
      <c r="Q514" s="199"/>
      <c r="R514" s="199"/>
    </row>
    <row r="515" spans="1:18" s="3" customFormat="1">
      <c r="A515" s="82" t="s">
        <v>32</v>
      </c>
      <c r="B515" s="149">
        <v>774</v>
      </c>
      <c r="C515" s="84" t="s">
        <v>26</v>
      </c>
      <c r="D515" s="84" t="s">
        <v>19</v>
      </c>
      <c r="E515" s="84" t="s">
        <v>739</v>
      </c>
      <c r="F515" s="84" t="s">
        <v>33</v>
      </c>
      <c r="G515" s="87">
        <v>0</v>
      </c>
      <c r="H515" s="87">
        <v>975565</v>
      </c>
      <c r="I515" s="87">
        <v>1975565</v>
      </c>
      <c r="J515" s="177"/>
      <c r="K515" s="199"/>
      <c r="L515" s="199"/>
      <c r="M515" s="199"/>
      <c r="N515" s="199"/>
      <c r="O515" s="199"/>
      <c r="P515" s="199"/>
      <c r="Q515" s="199"/>
      <c r="R515" s="199"/>
    </row>
    <row r="516" spans="1:18" ht="25.5" customHeight="1">
      <c r="A516" s="82" t="s">
        <v>295</v>
      </c>
      <c r="B516" s="149">
        <v>774</v>
      </c>
      <c r="C516" s="84" t="s">
        <v>26</v>
      </c>
      <c r="D516" s="84" t="s">
        <v>19</v>
      </c>
      <c r="E516" s="84" t="s">
        <v>294</v>
      </c>
      <c r="F516" s="149"/>
      <c r="G516" s="87">
        <f t="shared" ref="G516:I517" si="129">G517</f>
        <v>1127003</v>
      </c>
      <c r="H516" s="87">
        <f t="shared" si="129"/>
        <v>1027003</v>
      </c>
      <c r="I516" s="87">
        <f t="shared" si="129"/>
        <v>1427003</v>
      </c>
      <c r="J516" s="177"/>
    </row>
    <row r="517" spans="1:18" ht="25.5" customHeight="1">
      <c r="A517" s="82" t="s">
        <v>30</v>
      </c>
      <c r="B517" s="149">
        <v>774</v>
      </c>
      <c r="C517" s="84" t="s">
        <v>26</v>
      </c>
      <c r="D517" s="84" t="s">
        <v>19</v>
      </c>
      <c r="E517" s="84" t="s">
        <v>294</v>
      </c>
      <c r="F517" s="84" t="s">
        <v>31</v>
      </c>
      <c r="G517" s="87">
        <f t="shared" si="129"/>
        <v>1127003</v>
      </c>
      <c r="H517" s="87">
        <f t="shared" si="129"/>
        <v>1027003</v>
      </c>
      <c r="I517" s="87">
        <f t="shared" si="129"/>
        <v>1427003</v>
      </c>
      <c r="J517" s="177"/>
    </row>
    <row r="518" spans="1:18" ht="25.5" customHeight="1">
      <c r="A518" s="82" t="s">
        <v>32</v>
      </c>
      <c r="B518" s="149">
        <v>774</v>
      </c>
      <c r="C518" s="84" t="s">
        <v>26</v>
      </c>
      <c r="D518" s="84" t="s">
        <v>19</v>
      </c>
      <c r="E518" s="84" t="s">
        <v>294</v>
      </c>
      <c r="F518" s="84" t="s">
        <v>33</v>
      </c>
      <c r="G518" s="87">
        <f>927003+200000</f>
        <v>1127003</v>
      </c>
      <c r="H518" s="87">
        <f>827003+200000</f>
        <v>1027003</v>
      </c>
      <c r="I518" s="87">
        <f>1227003+200000</f>
        <v>1427003</v>
      </c>
      <c r="J518" s="177"/>
    </row>
    <row r="519" spans="1:18" ht="96" hidden="1" customHeight="1">
      <c r="A519" s="82" t="s">
        <v>4</v>
      </c>
      <c r="B519" s="149">
        <v>774</v>
      </c>
      <c r="C519" s="84" t="s">
        <v>26</v>
      </c>
      <c r="D519" s="84" t="s">
        <v>19</v>
      </c>
      <c r="E519" s="84" t="s">
        <v>5</v>
      </c>
      <c r="F519" s="149"/>
      <c r="G519" s="87">
        <f t="shared" ref="G519:I520" si="130">G520</f>
        <v>0</v>
      </c>
      <c r="H519" s="87">
        <f t="shared" si="130"/>
        <v>0</v>
      </c>
      <c r="I519" s="87">
        <f t="shared" si="130"/>
        <v>0</v>
      </c>
      <c r="J519" s="177"/>
    </row>
    <row r="520" spans="1:18" ht="25.5" hidden="1" customHeight="1">
      <c r="A520" s="82" t="s">
        <v>30</v>
      </c>
      <c r="B520" s="149">
        <v>774</v>
      </c>
      <c r="C520" s="84" t="s">
        <v>26</v>
      </c>
      <c r="D520" s="84" t="s">
        <v>19</v>
      </c>
      <c r="E520" s="84" t="s">
        <v>5</v>
      </c>
      <c r="F520" s="84" t="s">
        <v>31</v>
      </c>
      <c r="G520" s="87">
        <f t="shared" si="130"/>
        <v>0</v>
      </c>
      <c r="H520" s="87">
        <f t="shared" si="130"/>
        <v>0</v>
      </c>
      <c r="I520" s="87">
        <f t="shared" si="130"/>
        <v>0</v>
      </c>
      <c r="J520" s="177"/>
    </row>
    <row r="521" spans="1:18" ht="25.5" hidden="1" customHeight="1">
      <c r="A521" s="82" t="s">
        <v>32</v>
      </c>
      <c r="B521" s="149">
        <v>774</v>
      </c>
      <c r="C521" s="84" t="s">
        <v>26</v>
      </c>
      <c r="D521" s="84" t="s">
        <v>19</v>
      </c>
      <c r="E521" s="84" t="s">
        <v>5</v>
      </c>
      <c r="F521" s="84" t="s">
        <v>33</v>
      </c>
      <c r="G521" s="87"/>
      <c r="H521" s="87"/>
      <c r="I521" s="87"/>
      <c r="J521" s="177"/>
    </row>
    <row r="522" spans="1:18" ht="96" hidden="1" customHeight="1">
      <c r="A522" s="133" t="s">
        <v>42</v>
      </c>
      <c r="B522" s="149">
        <v>774</v>
      </c>
      <c r="C522" s="84" t="s">
        <v>26</v>
      </c>
      <c r="D522" s="84" t="s">
        <v>19</v>
      </c>
      <c r="E522" s="84" t="s">
        <v>41</v>
      </c>
      <c r="F522" s="149"/>
      <c r="G522" s="87">
        <f t="shared" ref="G522:I523" si="131">G523</f>
        <v>0</v>
      </c>
      <c r="H522" s="87">
        <f t="shared" si="131"/>
        <v>0</v>
      </c>
      <c r="I522" s="87">
        <f t="shared" si="131"/>
        <v>0</v>
      </c>
      <c r="J522" s="177"/>
    </row>
    <row r="523" spans="1:18" ht="25.5" hidden="1" customHeight="1">
      <c r="A523" s="82" t="s">
        <v>30</v>
      </c>
      <c r="B523" s="149">
        <v>774</v>
      </c>
      <c r="C523" s="84" t="s">
        <v>26</v>
      </c>
      <c r="D523" s="84" t="s">
        <v>19</v>
      </c>
      <c r="E523" s="84" t="s">
        <v>5</v>
      </c>
      <c r="F523" s="84" t="s">
        <v>31</v>
      </c>
      <c r="G523" s="87">
        <f t="shared" si="131"/>
        <v>0</v>
      </c>
      <c r="H523" s="87">
        <f t="shared" si="131"/>
        <v>0</v>
      </c>
      <c r="I523" s="87">
        <f t="shared" si="131"/>
        <v>0</v>
      </c>
      <c r="J523" s="177"/>
    </row>
    <row r="524" spans="1:18" ht="25.5" hidden="1" customHeight="1">
      <c r="A524" s="82" t="s">
        <v>32</v>
      </c>
      <c r="B524" s="149">
        <v>774</v>
      </c>
      <c r="C524" s="84" t="s">
        <v>26</v>
      </c>
      <c r="D524" s="84" t="s">
        <v>19</v>
      </c>
      <c r="E524" s="84" t="s">
        <v>5</v>
      </c>
      <c r="F524" s="84" t="s">
        <v>33</v>
      </c>
      <c r="G524" s="87"/>
      <c r="H524" s="87"/>
      <c r="I524" s="87"/>
      <c r="J524" s="177"/>
    </row>
    <row r="525" spans="1:18" ht="48" hidden="1" customHeight="1">
      <c r="A525" s="82" t="s">
        <v>389</v>
      </c>
      <c r="B525" s="149">
        <v>774</v>
      </c>
      <c r="C525" s="84" t="s">
        <v>26</v>
      </c>
      <c r="D525" s="84" t="s">
        <v>19</v>
      </c>
      <c r="E525" s="84" t="s">
        <v>385</v>
      </c>
      <c r="F525" s="84"/>
      <c r="G525" s="87">
        <f>G526</f>
        <v>0</v>
      </c>
      <c r="H525" s="87">
        <f>H526</f>
        <v>0</v>
      </c>
      <c r="I525" s="87">
        <f>I526</f>
        <v>0</v>
      </c>
      <c r="J525" s="177"/>
    </row>
    <row r="526" spans="1:18" ht="25.5" hidden="1" customHeight="1">
      <c r="A526" s="82" t="s">
        <v>32</v>
      </c>
      <c r="B526" s="149">
        <v>774</v>
      </c>
      <c r="C526" s="84" t="s">
        <v>26</v>
      </c>
      <c r="D526" s="84" t="s">
        <v>19</v>
      </c>
      <c r="E526" s="84" t="s">
        <v>385</v>
      </c>
      <c r="F526" s="84" t="s">
        <v>33</v>
      </c>
      <c r="G526" s="87"/>
      <c r="H526" s="87"/>
      <c r="I526" s="87"/>
      <c r="J526" s="177"/>
    </row>
    <row r="527" spans="1:18" s="3" customFormat="1" hidden="1">
      <c r="A527" s="82" t="s">
        <v>1</v>
      </c>
      <c r="B527" s="149">
        <v>774</v>
      </c>
      <c r="C527" s="84" t="s">
        <v>26</v>
      </c>
      <c r="D527" s="84" t="s">
        <v>19</v>
      </c>
      <c r="E527" s="84" t="s">
        <v>219</v>
      </c>
      <c r="F527" s="84"/>
      <c r="G527" s="87">
        <f t="shared" ref="G527:I528" si="132">G528</f>
        <v>0</v>
      </c>
      <c r="H527" s="87">
        <f t="shared" si="132"/>
        <v>0</v>
      </c>
      <c r="I527" s="87">
        <f t="shared" si="132"/>
        <v>0</v>
      </c>
      <c r="J527" s="177"/>
      <c r="K527" s="199"/>
      <c r="L527" s="199"/>
      <c r="M527" s="199"/>
      <c r="N527" s="199"/>
      <c r="O527" s="199"/>
      <c r="P527" s="199"/>
      <c r="Q527" s="199"/>
      <c r="R527" s="199"/>
    </row>
    <row r="528" spans="1:18" s="3" customFormat="1" ht="25.5" hidden="1">
      <c r="A528" s="82" t="s">
        <v>30</v>
      </c>
      <c r="B528" s="149">
        <v>774</v>
      </c>
      <c r="C528" s="84" t="s">
        <v>26</v>
      </c>
      <c r="D528" s="84" t="s">
        <v>19</v>
      </c>
      <c r="E528" s="84" t="s">
        <v>219</v>
      </c>
      <c r="F528" s="84" t="s">
        <v>31</v>
      </c>
      <c r="G528" s="87">
        <f t="shared" si="132"/>
        <v>0</v>
      </c>
      <c r="H528" s="87">
        <f t="shared" si="132"/>
        <v>0</v>
      </c>
      <c r="I528" s="87">
        <f t="shared" si="132"/>
        <v>0</v>
      </c>
      <c r="J528" s="177"/>
      <c r="K528" s="199"/>
      <c r="L528" s="199"/>
      <c r="M528" s="199"/>
      <c r="N528" s="199"/>
      <c r="O528" s="199"/>
      <c r="P528" s="199"/>
      <c r="Q528" s="199"/>
      <c r="R528" s="199"/>
    </row>
    <row r="529" spans="1:18" s="3" customFormat="1" hidden="1">
      <c r="A529" s="82" t="s">
        <v>32</v>
      </c>
      <c r="B529" s="149">
        <v>774</v>
      </c>
      <c r="C529" s="84" t="s">
        <v>26</v>
      </c>
      <c r="D529" s="84" t="s">
        <v>19</v>
      </c>
      <c r="E529" s="84" t="s">
        <v>219</v>
      </c>
      <c r="F529" s="84" t="s">
        <v>33</v>
      </c>
      <c r="G529" s="87">
        <v>0</v>
      </c>
      <c r="H529" s="87"/>
      <c r="I529" s="87"/>
      <c r="J529" s="177"/>
      <c r="K529" s="199"/>
      <c r="L529" s="199"/>
      <c r="M529" s="199"/>
      <c r="N529" s="199"/>
      <c r="O529" s="199"/>
      <c r="P529" s="199"/>
      <c r="Q529" s="199"/>
      <c r="R529" s="199"/>
    </row>
    <row r="530" spans="1:18" s="3" customFormat="1" ht="54.75" hidden="1" customHeight="1">
      <c r="A530" s="82" t="s">
        <v>749</v>
      </c>
      <c r="B530" s="149">
        <v>774</v>
      </c>
      <c r="C530" s="84" t="s">
        <v>26</v>
      </c>
      <c r="D530" s="84" t="s">
        <v>19</v>
      </c>
      <c r="E530" s="84" t="s">
        <v>737</v>
      </c>
      <c r="F530" s="84"/>
      <c r="G530" s="87">
        <f t="shared" ref="G530:I531" si="133">G531</f>
        <v>0</v>
      </c>
      <c r="H530" s="87">
        <f t="shared" si="133"/>
        <v>0</v>
      </c>
      <c r="I530" s="87">
        <f t="shared" si="133"/>
        <v>0</v>
      </c>
      <c r="J530" s="177"/>
      <c r="K530" s="199"/>
      <c r="L530" s="199"/>
      <c r="M530" s="199"/>
      <c r="N530" s="199"/>
      <c r="O530" s="199"/>
      <c r="P530" s="199"/>
      <c r="Q530" s="199"/>
      <c r="R530" s="199"/>
    </row>
    <row r="531" spans="1:18" s="3" customFormat="1" ht="25.5" hidden="1">
      <c r="A531" s="82" t="s">
        <v>30</v>
      </c>
      <c r="B531" s="149">
        <v>774</v>
      </c>
      <c r="C531" s="84" t="s">
        <v>26</v>
      </c>
      <c r="D531" s="84" t="s">
        <v>19</v>
      </c>
      <c r="E531" s="84" t="s">
        <v>737</v>
      </c>
      <c r="F531" s="84" t="s">
        <v>31</v>
      </c>
      <c r="G531" s="87">
        <f t="shared" si="133"/>
        <v>0</v>
      </c>
      <c r="H531" s="87">
        <f t="shared" si="133"/>
        <v>0</v>
      </c>
      <c r="I531" s="87">
        <f t="shared" si="133"/>
        <v>0</v>
      </c>
      <c r="J531" s="177"/>
      <c r="K531" s="199"/>
      <c r="L531" s="199"/>
      <c r="M531" s="199"/>
      <c r="N531" s="199"/>
      <c r="O531" s="199"/>
      <c r="P531" s="199"/>
      <c r="Q531" s="199"/>
      <c r="R531" s="199"/>
    </row>
    <row r="532" spans="1:18" s="3" customFormat="1" hidden="1">
      <c r="A532" s="82" t="s">
        <v>32</v>
      </c>
      <c r="B532" s="149">
        <v>774</v>
      </c>
      <c r="C532" s="84" t="s">
        <v>26</v>
      </c>
      <c r="D532" s="84" t="s">
        <v>19</v>
      </c>
      <c r="E532" s="84" t="s">
        <v>737</v>
      </c>
      <c r="F532" s="84" t="s">
        <v>33</v>
      </c>
      <c r="G532" s="87"/>
      <c r="H532" s="87"/>
      <c r="I532" s="87"/>
      <c r="J532" s="177"/>
      <c r="K532" s="199"/>
      <c r="L532" s="199"/>
      <c r="M532" s="199"/>
      <c r="N532" s="199"/>
      <c r="O532" s="199"/>
      <c r="P532" s="199"/>
      <c r="Q532" s="199"/>
      <c r="R532" s="199"/>
    </row>
    <row r="533" spans="1:18" s="3" customFormat="1" ht="38.25">
      <c r="A533" s="82" t="s">
        <v>822</v>
      </c>
      <c r="B533" s="149">
        <v>774</v>
      </c>
      <c r="C533" s="84" t="s">
        <v>26</v>
      </c>
      <c r="D533" s="84" t="s">
        <v>19</v>
      </c>
      <c r="E533" s="84" t="s">
        <v>447</v>
      </c>
      <c r="F533" s="84"/>
      <c r="G533" s="87">
        <f>G534</f>
        <v>0</v>
      </c>
      <c r="H533" s="87">
        <f t="shared" ref="H533:I533" si="134">H534</f>
        <v>500000</v>
      </c>
      <c r="I533" s="87">
        <f t="shared" si="134"/>
        <v>500000</v>
      </c>
      <c r="J533" s="177"/>
      <c r="K533" s="199"/>
      <c r="L533" s="199"/>
      <c r="M533" s="199"/>
      <c r="N533" s="199"/>
      <c r="O533" s="199"/>
      <c r="P533" s="199"/>
      <c r="Q533" s="199"/>
      <c r="R533" s="199"/>
    </row>
    <row r="534" spans="1:18" s="3" customFormat="1" ht="33" customHeight="1">
      <c r="A534" s="82" t="s">
        <v>30</v>
      </c>
      <c r="B534" s="149">
        <v>774</v>
      </c>
      <c r="C534" s="84" t="s">
        <v>26</v>
      </c>
      <c r="D534" s="84" t="s">
        <v>19</v>
      </c>
      <c r="E534" s="84" t="s">
        <v>447</v>
      </c>
      <c r="F534" s="84" t="s">
        <v>31</v>
      </c>
      <c r="G534" s="87">
        <f>G535</f>
        <v>0</v>
      </c>
      <c r="H534" s="87">
        <f t="shared" ref="H534:I534" si="135">H535</f>
        <v>500000</v>
      </c>
      <c r="I534" s="87">
        <f t="shared" si="135"/>
        <v>500000</v>
      </c>
      <c r="J534" s="177"/>
      <c r="K534" s="199"/>
      <c r="L534" s="199"/>
      <c r="M534" s="199"/>
      <c r="N534" s="199"/>
      <c r="O534" s="199"/>
      <c r="P534" s="199"/>
      <c r="Q534" s="199"/>
      <c r="R534" s="199"/>
    </row>
    <row r="535" spans="1:18" s="3" customFormat="1">
      <c r="A535" s="82" t="s">
        <v>32</v>
      </c>
      <c r="B535" s="149">
        <v>774</v>
      </c>
      <c r="C535" s="84" t="s">
        <v>26</v>
      </c>
      <c r="D535" s="84" t="s">
        <v>19</v>
      </c>
      <c r="E535" s="84" t="s">
        <v>447</v>
      </c>
      <c r="F535" s="84" t="s">
        <v>33</v>
      </c>
      <c r="G535" s="87">
        <v>0</v>
      </c>
      <c r="H535" s="87">
        <v>500000</v>
      </c>
      <c r="I535" s="87">
        <v>500000</v>
      </c>
      <c r="J535" s="177"/>
      <c r="K535" s="199"/>
      <c r="L535" s="199"/>
      <c r="M535" s="199"/>
      <c r="N535" s="199"/>
      <c r="O535" s="199"/>
      <c r="P535" s="199"/>
      <c r="Q535" s="199"/>
      <c r="R535" s="199"/>
    </row>
    <row r="536" spans="1:18" s="3" customFormat="1" hidden="1">
      <c r="A536" s="82"/>
      <c r="B536" s="149"/>
      <c r="C536" s="84"/>
      <c r="D536" s="84"/>
      <c r="E536" s="84"/>
      <c r="F536" s="84"/>
      <c r="G536" s="87"/>
      <c r="H536" s="87"/>
      <c r="I536" s="87"/>
      <c r="J536" s="177"/>
      <c r="K536" s="199"/>
      <c r="L536" s="199"/>
      <c r="M536" s="199"/>
      <c r="N536" s="199"/>
      <c r="O536" s="199"/>
      <c r="P536" s="199"/>
      <c r="Q536" s="199"/>
      <c r="R536" s="199"/>
    </row>
    <row r="537" spans="1:18" s="3" customFormat="1" ht="33" hidden="1" customHeight="1">
      <c r="A537" s="82"/>
      <c r="B537" s="149"/>
      <c r="C537" s="84"/>
      <c r="D537" s="84"/>
      <c r="E537" s="84"/>
      <c r="F537" s="84"/>
      <c r="G537" s="87"/>
      <c r="H537" s="87"/>
      <c r="I537" s="87"/>
      <c r="J537" s="177"/>
      <c r="K537" s="199"/>
      <c r="L537" s="199"/>
      <c r="M537" s="199"/>
      <c r="N537" s="199"/>
      <c r="O537" s="199"/>
      <c r="P537" s="199"/>
      <c r="Q537" s="199"/>
      <c r="R537" s="199"/>
    </row>
    <row r="538" spans="1:18" s="3" customFormat="1" hidden="1">
      <c r="A538" s="82"/>
      <c r="B538" s="149"/>
      <c r="C538" s="84"/>
      <c r="D538" s="84"/>
      <c r="E538" s="84"/>
      <c r="F538" s="84"/>
      <c r="G538" s="87"/>
      <c r="H538" s="87"/>
      <c r="I538" s="87"/>
      <c r="J538" s="177"/>
      <c r="K538" s="199"/>
      <c r="L538" s="199"/>
      <c r="M538" s="199"/>
      <c r="N538" s="199"/>
      <c r="O538" s="199"/>
      <c r="P538" s="199"/>
      <c r="Q538" s="199"/>
      <c r="R538" s="199"/>
    </row>
    <row r="539" spans="1:18" s="3" customFormat="1" ht="30.75" hidden="1" customHeight="1">
      <c r="A539" s="82" t="s">
        <v>732</v>
      </c>
      <c r="B539" s="149">
        <v>774</v>
      </c>
      <c r="C539" s="84" t="s">
        <v>26</v>
      </c>
      <c r="D539" s="84" t="s">
        <v>19</v>
      </c>
      <c r="E539" s="84" t="s">
        <v>733</v>
      </c>
      <c r="F539" s="84"/>
      <c r="G539" s="87">
        <f>G540</f>
        <v>0</v>
      </c>
      <c r="H539" s="87">
        <f>H541</f>
        <v>0</v>
      </c>
      <c r="I539" s="87">
        <f>I541</f>
        <v>0</v>
      </c>
      <c r="J539" s="177"/>
      <c r="K539" s="199"/>
      <c r="L539" s="199"/>
      <c r="M539" s="199"/>
      <c r="N539" s="199"/>
      <c r="O539" s="199"/>
      <c r="P539" s="199"/>
      <c r="Q539" s="199"/>
      <c r="R539" s="199"/>
    </row>
    <row r="540" spans="1:18" s="3" customFormat="1" ht="29.25" hidden="1" customHeight="1">
      <c r="A540" s="82" t="s">
        <v>30</v>
      </c>
      <c r="B540" s="149">
        <v>774</v>
      </c>
      <c r="C540" s="84" t="s">
        <v>26</v>
      </c>
      <c r="D540" s="84" t="s">
        <v>19</v>
      </c>
      <c r="E540" s="84" t="s">
        <v>733</v>
      </c>
      <c r="F540" s="84" t="s">
        <v>31</v>
      </c>
      <c r="G540" s="87">
        <f>G541</f>
        <v>0</v>
      </c>
      <c r="H540" s="87">
        <v>0</v>
      </c>
      <c r="I540" s="87">
        <v>0</v>
      </c>
      <c r="J540" s="177"/>
      <c r="K540" s="199"/>
      <c r="L540" s="199"/>
      <c r="M540" s="199"/>
      <c r="N540" s="199"/>
      <c r="O540" s="199"/>
      <c r="P540" s="199"/>
      <c r="Q540" s="199"/>
      <c r="R540" s="199"/>
    </row>
    <row r="541" spans="1:18" s="3" customFormat="1" hidden="1">
      <c r="A541" s="82" t="s">
        <v>32</v>
      </c>
      <c r="B541" s="149">
        <v>774</v>
      </c>
      <c r="C541" s="84" t="s">
        <v>26</v>
      </c>
      <c r="D541" s="84" t="s">
        <v>19</v>
      </c>
      <c r="E541" s="84" t="s">
        <v>733</v>
      </c>
      <c r="F541" s="84" t="s">
        <v>33</v>
      </c>
      <c r="G541" s="87">
        <v>0</v>
      </c>
      <c r="H541" s="87">
        <v>0</v>
      </c>
      <c r="I541" s="87">
        <v>0</v>
      </c>
      <c r="J541" s="177"/>
      <c r="K541" s="199"/>
      <c r="L541" s="199"/>
      <c r="M541" s="199"/>
      <c r="N541" s="199"/>
      <c r="O541" s="199"/>
      <c r="P541" s="199"/>
      <c r="Q541" s="199"/>
      <c r="R541" s="199"/>
    </row>
    <row r="542" spans="1:18" s="18" customFormat="1" ht="25.5" hidden="1" customHeight="1">
      <c r="A542" s="135" t="s">
        <v>483</v>
      </c>
      <c r="B542" s="149">
        <v>774</v>
      </c>
      <c r="C542" s="84" t="s">
        <v>26</v>
      </c>
      <c r="D542" s="84" t="s">
        <v>19</v>
      </c>
      <c r="E542" s="84" t="s">
        <v>220</v>
      </c>
      <c r="F542" s="84"/>
      <c r="G542" s="87">
        <f t="shared" ref="G542:I544" si="136">G543</f>
        <v>0</v>
      </c>
      <c r="H542" s="87">
        <f t="shared" si="136"/>
        <v>0</v>
      </c>
      <c r="I542" s="87">
        <f t="shared" si="136"/>
        <v>0</v>
      </c>
      <c r="J542" s="177"/>
      <c r="K542" s="200"/>
      <c r="L542" s="200"/>
      <c r="M542" s="200"/>
      <c r="N542" s="200"/>
      <c r="O542" s="200"/>
      <c r="P542" s="200"/>
      <c r="Q542" s="200"/>
      <c r="R542" s="200"/>
    </row>
    <row r="543" spans="1:18" s="18" customFormat="1" ht="25.5" hidden="1">
      <c r="A543" s="82" t="s">
        <v>99</v>
      </c>
      <c r="B543" s="84" t="s">
        <v>94</v>
      </c>
      <c r="C543" s="84" t="s">
        <v>26</v>
      </c>
      <c r="D543" s="84" t="s">
        <v>19</v>
      </c>
      <c r="E543" s="84" t="s">
        <v>221</v>
      </c>
      <c r="F543" s="84"/>
      <c r="G543" s="87">
        <f t="shared" si="136"/>
        <v>0</v>
      </c>
      <c r="H543" s="87">
        <f t="shared" si="136"/>
        <v>0</v>
      </c>
      <c r="I543" s="87">
        <f t="shared" si="136"/>
        <v>0</v>
      </c>
      <c r="J543" s="177"/>
      <c r="K543" s="200"/>
      <c r="L543" s="200"/>
      <c r="M543" s="200"/>
      <c r="N543" s="200"/>
      <c r="O543" s="200"/>
      <c r="P543" s="200"/>
      <c r="Q543" s="200"/>
      <c r="R543" s="200"/>
    </row>
    <row r="544" spans="1:18" s="18" customFormat="1" ht="30.75" hidden="1" customHeight="1">
      <c r="A544" s="82" t="s">
        <v>30</v>
      </c>
      <c r="B544" s="84" t="s">
        <v>94</v>
      </c>
      <c r="C544" s="84" t="s">
        <v>26</v>
      </c>
      <c r="D544" s="84" t="s">
        <v>19</v>
      </c>
      <c r="E544" s="84" t="s">
        <v>221</v>
      </c>
      <c r="F544" s="84" t="s">
        <v>31</v>
      </c>
      <c r="G544" s="87">
        <f t="shared" si="136"/>
        <v>0</v>
      </c>
      <c r="H544" s="87">
        <f t="shared" si="136"/>
        <v>0</v>
      </c>
      <c r="I544" s="87">
        <f t="shared" si="136"/>
        <v>0</v>
      </c>
      <c r="J544" s="177"/>
      <c r="K544" s="200"/>
      <c r="L544" s="200"/>
      <c r="M544" s="200"/>
      <c r="N544" s="200"/>
      <c r="O544" s="200"/>
      <c r="P544" s="200"/>
      <c r="Q544" s="200"/>
      <c r="R544" s="200"/>
    </row>
    <row r="545" spans="1:18" s="18" customFormat="1" hidden="1">
      <c r="A545" s="82" t="s">
        <v>32</v>
      </c>
      <c r="B545" s="84" t="s">
        <v>94</v>
      </c>
      <c r="C545" s="84" t="s">
        <v>26</v>
      </c>
      <c r="D545" s="84" t="s">
        <v>19</v>
      </c>
      <c r="E545" s="84" t="s">
        <v>221</v>
      </c>
      <c r="F545" s="84" t="s">
        <v>33</v>
      </c>
      <c r="G545" s="87"/>
      <c r="H545" s="87"/>
      <c r="I545" s="87"/>
      <c r="J545" s="177"/>
      <c r="K545" s="200"/>
      <c r="L545" s="200"/>
      <c r="M545" s="200"/>
      <c r="N545" s="200"/>
      <c r="O545" s="200"/>
      <c r="P545" s="200"/>
      <c r="Q545" s="200"/>
      <c r="R545" s="200"/>
    </row>
    <row r="546" spans="1:18" s="18" customFormat="1" ht="25.5" hidden="1">
      <c r="A546" s="82" t="s">
        <v>169</v>
      </c>
      <c r="B546" s="84" t="s">
        <v>94</v>
      </c>
      <c r="C546" s="84" t="s">
        <v>26</v>
      </c>
      <c r="D546" s="84" t="s">
        <v>19</v>
      </c>
      <c r="E546" s="84" t="s">
        <v>234</v>
      </c>
      <c r="F546" s="84"/>
      <c r="G546" s="87">
        <f>G547</f>
        <v>0</v>
      </c>
      <c r="H546" s="87">
        <v>0</v>
      </c>
      <c r="I546" s="87">
        <v>0</v>
      </c>
      <c r="J546" s="177"/>
      <c r="K546" s="200"/>
      <c r="L546" s="200"/>
      <c r="M546" s="200"/>
      <c r="N546" s="200"/>
      <c r="O546" s="200"/>
      <c r="P546" s="200"/>
      <c r="Q546" s="200"/>
      <c r="R546" s="200"/>
    </row>
    <row r="547" spans="1:18" s="18" customFormat="1" ht="47.25" hidden="1" customHeight="1">
      <c r="A547" s="82" t="s">
        <v>169</v>
      </c>
      <c r="B547" s="84" t="s">
        <v>94</v>
      </c>
      <c r="C547" s="84" t="s">
        <v>26</v>
      </c>
      <c r="D547" s="84" t="s">
        <v>19</v>
      </c>
      <c r="E547" s="84" t="s">
        <v>276</v>
      </c>
      <c r="F547" s="84"/>
      <c r="G547" s="87">
        <f>G548</f>
        <v>0</v>
      </c>
      <c r="H547" s="87">
        <f t="shared" ref="H547:I548" si="137">H548</f>
        <v>0</v>
      </c>
      <c r="I547" s="87">
        <f t="shared" si="137"/>
        <v>0</v>
      </c>
      <c r="J547" s="177"/>
      <c r="K547" s="200"/>
      <c r="L547" s="200"/>
      <c r="M547" s="200"/>
      <c r="N547" s="200"/>
      <c r="O547" s="200"/>
      <c r="P547" s="200"/>
      <c r="Q547" s="200"/>
      <c r="R547" s="200"/>
    </row>
    <row r="548" spans="1:18" s="18" customFormat="1" ht="25.5" hidden="1">
      <c r="A548" s="82" t="s">
        <v>30</v>
      </c>
      <c r="B548" s="84" t="s">
        <v>94</v>
      </c>
      <c r="C548" s="84" t="s">
        <v>26</v>
      </c>
      <c r="D548" s="84" t="s">
        <v>19</v>
      </c>
      <c r="E548" s="84" t="s">
        <v>276</v>
      </c>
      <c r="F548" s="84" t="s">
        <v>31</v>
      </c>
      <c r="G548" s="87">
        <f>G549</f>
        <v>0</v>
      </c>
      <c r="H548" s="87">
        <f t="shared" si="137"/>
        <v>0</v>
      </c>
      <c r="I548" s="87">
        <f t="shared" si="137"/>
        <v>0</v>
      </c>
      <c r="J548" s="177"/>
      <c r="K548" s="200"/>
      <c r="L548" s="200"/>
      <c r="M548" s="200"/>
      <c r="N548" s="200"/>
      <c r="O548" s="200"/>
      <c r="P548" s="200"/>
      <c r="Q548" s="200"/>
      <c r="R548" s="200"/>
    </row>
    <row r="549" spans="1:18" s="18" customFormat="1" hidden="1">
      <c r="A549" s="82" t="s">
        <v>32</v>
      </c>
      <c r="B549" s="84" t="s">
        <v>94</v>
      </c>
      <c r="C549" s="84" t="s">
        <v>26</v>
      </c>
      <c r="D549" s="84" t="s">
        <v>19</v>
      </c>
      <c r="E549" s="84" t="s">
        <v>276</v>
      </c>
      <c r="F549" s="84" t="s">
        <v>33</v>
      </c>
      <c r="G549" s="87"/>
      <c r="H549" s="87">
        <v>0</v>
      </c>
      <c r="I549" s="87">
        <v>0</v>
      </c>
      <c r="J549" s="177"/>
      <c r="K549" s="200"/>
      <c r="L549" s="200"/>
      <c r="M549" s="200"/>
      <c r="N549" s="200"/>
      <c r="O549" s="200"/>
      <c r="P549" s="200"/>
      <c r="Q549" s="200"/>
      <c r="R549" s="200"/>
    </row>
    <row r="550" spans="1:18" ht="22.5" customHeight="1">
      <c r="A550" s="135" t="s">
        <v>27</v>
      </c>
      <c r="B550" s="84" t="s">
        <v>94</v>
      </c>
      <c r="C550" s="84" t="s">
        <v>26</v>
      </c>
      <c r="D550" s="84" t="s">
        <v>28</v>
      </c>
      <c r="E550" s="84"/>
      <c r="F550" s="84"/>
      <c r="G550" s="87">
        <f>G551+G726+G734+G745+G749+G730+G752+G762+G779+G772+G786</f>
        <v>725424320.29999995</v>
      </c>
      <c r="H550" s="87">
        <f>H551+H726+H734+H745+H749+H730+H752+H762+H779</f>
        <v>594655480.32000005</v>
      </c>
      <c r="I550" s="87">
        <f>I551+I726+I734+I745+I749+I730+I752+I762+I779</f>
        <v>574424356</v>
      </c>
      <c r="J550" s="177"/>
    </row>
    <row r="551" spans="1:18" s="28" customFormat="1" ht="25.5">
      <c r="A551" s="82" t="s">
        <v>478</v>
      </c>
      <c r="B551" s="84" t="s">
        <v>94</v>
      </c>
      <c r="C551" s="84" t="s">
        <v>26</v>
      </c>
      <c r="D551" s="84" t="s">
        <v>28</v>
      </c>
      <c r="E551" s="84" t="s">
        <v>189</v>
      </c>
      <c r="F551" s="168"/>
      <c r="G551" s="87">
        <f>G552+G634+G722</f>
        <v>724134320.29999995</v>
      </c>
      <c r="H551" s="87">
        <f>H552+H634+H722</f>
        <v>594655480.32000005</v>
      </c>
      <c r="I551" s="87">
        <f>I552+I634+I722</f>
        <v>574424356</v>
      </c>
      <c r="J551" s="177"/>
      <c r="K551" s="204"/>
      <c r="L551" s="204"/>
      <c r="M551" s="204"/>
      <c r="N551" s="210"/>
      <c r="O551" s="204"/>
      <c r="P551" s="204"/>
      <c r="Q551" s="204"/>
      <c r="R551" s="204"/>
    </row>
    <row r="552" spans="1:18" ht="30.75" customHeight="1">
      <c r="A552" s="82" t="s">
        <v>90</v>
      </c>
      <c r="B552" s="84" t="s">
        <v>94</v>
      </c>
      <c r="C552" s="84" t="s">
        <v>26</v>
      </c>
      <c r="D552" s="84" t="s">
        <v>28</v>
      </c>
      <c r="E552" s="84" t="s">
        <v>215</v>
      </c>
      <c r="F552" s="84"/>
      <c r="G552" s="87">
        <f>G558+G561+G575+G580+G588+G591+G594+G606+G609+G621+G624+G627+G569+G581</f>
        <v>555630767.53999996</v>
      </c>
      <c r="H552" s="87">
        <f>H558+H561+H575+H580+H588+H591+H594+H606+H609+H621+H624+H627+H569+H581</f>
        <v>536802589</v>
      </c>
      <c r="I552" s="87">
        <f t="shared" ref="I552" si="138">I558+I561+I575+I580+I588+I591+I594+I606+I609+I621+I624+I627+I569+I581</f>
        <v>567757154</v>
      </c>
      <c r="J552" s="177"/>
      <c r="K552" s="177"/>
      <c r="L552" s="177"/>
      <c r="M552" s="177"/>
      <c r="N552" s="177"/>
      <c r="O552" s="177"/>
    </row>
    <row r="553" spans="1:18" ht="50.25" hidden="1" customHeight="1">
      <c r="A553" s="82" t="s">
        <v>649</v>
      </c>
      <c r="B553" s="84" t="s">
        <v>94</v>
      </c>
      <c r="C553" s="84" t="s">
        <v>26</v>
      </c>
      <c r="D553" s="84" t="s">
        <v>28</v>
      </c>
      <c r="E553" s="84" t="s">
        <v>648</v>
      </c>
      <c r="F553" s="84"/>
      <c r="G553" s="87">
        <f t="shared" ref="G553:I554" si="139">G554</f>
        <v>0</v>
      </c>
      <c r="H553" s="87">
        <f t="shared" si="139"/>
        <v>0</v>
      </c>
      <c r="I553" s="87">
        <f t="shared" si="139"/>
        <v>0</v>
      </c>
      <c r="J553" s="177"/>
    </row>
    <row r="554" spans="1:18" s="18" customFormat="1" ht="25.5" hidden="1">
      <c r="A554" s="82" t="s">
        <v>30</v>
      </c>
      <c r="B554" s="84" t="s">
        <v>94</v>
      </c>
      <c r="C554" s="84" t="s">
        <v>26</v>
      </c>
      <c r="D554" s="84" t="s">
        <v>28</v>
      </c>
      <c r="E554" s="84" t="s">
        <v>648</v>
      </c>
      <c r="F554" s="84" t="s">
        <v>31</v>
      </c>
      <c r="G554" s="87">
        <f t="shared" si="139"/>
        <v>0</v>
      </c>
      <c r="H554" s="87">
        <f>H555</f>
        <v>0</v>
      </c>
      <c r="I554" s="87">
        <f>I555</f>
        <v>0</v>
      </c>
      <c r="J554" s="177"/>
      <c r="K554" s="200"/>
      <c r="L554" s="200"/>
      <c r="M554" s="215"/>
      <c r="N554" s="215"/>
      <c r="O554" s="200"/>
      <c r="P554" s="200"/>
      <c r="Q554" s="200"/>
      <c r="R554" s="200"/>
    </row>
    <row r="555" spans="1:18" s="18" customFormat="1" hidden="1">
      <c r="A555" s="82" t="s">
        <v>32</v>
      </c>
      <c r="B555" s="84" t="s">
        <v>94</v>
      </c>
      <c r="C555" s="84" t="s">
        <v>26</v>
      </c>
      <c r="D555" s="84" t="s">
        <v>28</v>
      </c>
      <c r="E555" s="84" t="s">
        <v>648</v>
      </c>
      <c r="F555" s="84" t="s">
        <v>33</v>
      </c>
      <c r="G555" s="87"/>
      <c r="H555" s="87"/>
      <c r="I555" s="87"/>
      <c r="J555" s="177"/>
      <c r="K555" s="200"/>
      <c r="L555" s="200"/>
      <c r="M555" s="200"/>
      <c r="N555" s="200"/>
      <c r="O555" s="200"/>
      <c r="P555" s="200"/>
      <c r="Q555" s="200"/>
      <c r="R555" s="200"/>
    </row>
    <row r="556" spans="1:18" ht="50.25" customHeight="1">
      <c r="A556" s="82" t="s">
        <v>3</v>
      </c>
      <c r="B556" s="84" t="s">
        <v>94</v>
      </c>
      <c r="C556" s="84" t="s">
        <v>26</v>
      </c>
      <c r="D556" s="84" t="s">
        <v>28</v>
      </c>
      <c r="E556" s="84" t="s">
        <v>913</v>
      </c>
      <c r="F556" s="84"/>
      <c r="G556" s="87">
        <f t="shared" ref="G556:I557" si="140">G557</f>
        <v>30483624</v>
      </c>
      <c r="H556" s="87">
        <f t="shared" si="140"/>
        <v>12422818</v>
      </c>
      <c r="I556" s="87">
        <f t="shared" si="140"/>
        <v>31272941</v>
      </c>
      <c r="J556" s="177"/>
      <c r="K556" s="177"/>
      <c r="L556" s="177"/>
      <c r="Q556" s="209"/>
    </row>
    <row r="557" spans="1:18" s="18" customFormat="1" ht="25.5">
      <c r="A557" s="82" t="s">
        <v>30</v>
      </c>
      <c r="B557" s="84" t="s">
        <v>94</v>
      </c>
      <c r="C557" s="84" t="s">
        <v>26</v>
      </c>
      <c r="D557" s="84" t="s">
        <v>28</v>
      </c>
      <c r="E557" s="84" t="s">
        <v>913</v>
      </c>
      <c r="F557" s="84" t="s">
        <v>31</v>
      </c>
      <c r="G557" s="87">
        <f t="shared" si="140"/>
        <v>30483624</v>
      </c>
      <c r="H557" s="87">
        <f t="shared" si="140"/>
        <v>12422818</v>
      </c>
      <c r="I557" s="87">
        <f t="shared" si="140"/>
        <v>31272941</v>
      </c>
      <c r="J557" s="177"/>
      <c r="K557" s="200"/>
      <c r="L557" s="200"/>
      <c r="M557" s="215"/>
      <c r="N557" s="215"/>
      <c r="O557" s="200"/>
      <c r="P557" s="200"/>
      <c r="Q557" s="215"/>
      <c r="R557" s="200"/>
    </row>
    <row r="558" spans="1:18" s="18" customFormat="1">
      <c r="A558" s="82" t="s">
        <v>32</v>
      </c>
      <c r="B558" s="84" t="s">
        <v>94</v>
      </c>
      <c r="C558" s="84" t="s">
        <v>26</v>
      </c>
      <c r="D558" s="84" t="s">
        <v>28</v>
      </c>
      <c r="E558" s="84" t="s">
        <v>913</v>
      </c>
      <c r="F558" s="84" t="s">
        <v>33</v>
      </c>
      <c r="G558" s="87">
        <v>30483624</v>
      </c>
      <c r="H558" s="87">
        <v>12422818</v>
      </c>
      <c r="I558" s="87">
        <v>31272941</v>
      </c>
      <c r="J558" s="177"/>
      <c r="K558" s="200"/>
      <c r="L558" s="200"/>
      <c r="M558" s="200"/>
      <c r="N558" s="200"/>
      <c r="O558" s="200"/>
      <c r="P558" s="200"/>
      <c r="Q558" s="200"/>
      <c r="R558" s="200"/>
    </row>
    <row r="559" spans="1:18" s="18" customFormat="1" ht="15" customHeight="1">
      <c r="A559" s="82" t="s">
        <v>91</v>
      </c>
      <c r="B559" s="84" t="s">
        <v>94</v>
      </c>
      <c r="C559" s="84" t="s">
        <v>26</v>
      </c>
      <c r="D559" s="84" t="s">
        <v>28</v>
      </c>
      <c r="E559" s="84" t="s">
        <v>216</v>
      </c>
      <c r="F559" s="84"/>
      <c r="G559" s="87">
        <f t="shared" ref="G559:I560" si="141">G560</f>
        <v>360223878</v>
      </c>
      <c r="H559" s="87">
        <f t="shared" si="141"/>
        <v>361578491</v>
      </c>
      <c r="I559" s="87">
        <f t="shared" si="141"/>
        <v>372733475</v>
      </c>
      <c r="J559" s="177"/>
      <c r="K559" s="200"/>
      <c r="L559" s="200"/>
      <c r="M559" s="200"/>
      <c r="N559" s="200"/>
      <c r="O559" s="200"/>
      <c r="P559" s="200"/>
      <c r="Q559" s="200"/>
      <c r="R559" s="200"/>
    </row>
    <row r="560" spans="1:18" s="18" customFormat="1" ht="25.5">
      <c r="A560" s="82" t="s">
        <v>30</v>
      </c>
      <c r="B560" s="84" t="s">
        <v>94</v>
      </c>
      <c r="C560" s="84" t="s">
        <v>26</v>
      </c>
      <c r="D560" s="84" t="s">
        <v>28</v>
      </c>
      <c r="E560" s="84" t="s">
        <v>216</v>
      </c>
      <c r="F560" s="84" t="s">
        <v>31</v>
      </c>
      <c r="G560" s="87">
        <f t="shared" si="141"/>
        <v>360223878</v>
      </c>
      <c r="H560" s="87">
        <f t="shared" si="141"/>
        <v>361578491</v>
      </c>
      <c r="I560" s="87">
        <f t="shared" si="141"/>
        <v>372733475</v>
      </c>
      <c r="J560" s="177"/>
      <c r="K560" s="200"/>
      <c r="L560" s="200"/>
      <c r="M560" s="200"/>
      <c r="N560" s="200"/>
      <c r="O560" s="200"/>
      <c r="P560" s="200"/>
      <c r="Q560" s="225"/>
      <c r="R560" s="200"/>
    </row>
    <row r="561" spans="1:19" s="18" customFormat="1">
      <c r="A561" s="82" t="s">
        <v>32</v>
      </c>
      <c r="B561" s="84" t="s">
        <v>94</v>
      </c>
      <c r="C561" s="84" t="s">
        <v>26</v>
      </c>
      <c r="D561" s="84" t="s">
        <v>28</v>
      </c>
      <c r="E561" s="84" t="s">
        <v>134</v>
      </c>
      <c r="F561" s="84" t="s">
        <v>33</v>
      </c>
      <c r="G561" s="87">
        <v>360223878</v>
      </c>
      <c r="H561" s="87">
        <v>361578491</v>
      </c>
      <c r="I561" s="87">
        <v>372733475</v>
      </c>
      <c r="J561" s="177"/>
      <c r="K561" s="200"/>
      <c r="L561" s="200"/>
      <c r="M561" s="200"/>
      <c r="N561" s="200"/>
      <c r="O561" s="200"/>
      <c r="P561" s="200"/>
      <c r="Q561" s="200"/>
      <c r="R561" s="200"/>
    </row>
    <row r="562" spans="1:19" s="18" customFormat="1" ht="38.25" hidden="1">
      <c r="A562" s="82" t="s">
        <v>298</v>
      </c>
      <c r="B562" s="84" t="s">
        <v>94</v>
      </c>
      <c r="C562" s="84" t="s">
        <v>26</v>
      </c>
      <c r="D562" s="84" t="s">
        <v>28</v>
      </c>
      <c r="E562" s="84" t="s">
        <v>134</v>
      </c>
      <c r="F562" s="84"/>
      <c r="G562" s="87">
        <f t="shared" ref="G562:I563" si="142">G563</f>
        <v>0</v>
      </c>
      <c r="H562" s="87">
        <f t="shared" si="142"/>
        <v>0</v>
      </c>
      <c r="I562" s="87">
        <f t="shared" si="142"/>
        <v>0</v>
      </c>
      <c r="J562" s="177"/>
      <c r="K562" s="200"/>
      <c r="L562" s="200"/>
      <c r="M562" s="200"/>
      <c r="N562" s="200"/>
      <c r="O562" s="200"/>
      <c r="P562" s="200"/>
      <c r="Q562" s="200"/>
      <c r="R562" s="200"/>
    </row>
    <row r="563" spans="1:19" s="18" customFormat="1" hidden="1">
      <c r="A563" s="82" t="s">
        <v>63</v>
      </c>
      <c r="B563" s="84" t="s">
        <v>94</v>
      </c>
      <c r="C563" s="84" t="s">
        <v>26</v>
      </c>
      <c r="D563" s="84" t="s">
        <v>28</v>
      </c>
      <c r="E563" s="84" t="s">
        <v>134</v>
      </c>
      <c r="F563" s="84" t="s">
        <v>64</v>
      </c>
      <c r="G563" s="87">
        <f t="shared" si="142"/>
        <v>0</v>
      </c>
      <c r="H563" s="87">
        <f t="shared" si="142"/>
        <v>0</v>
      </c>
      <c r="I563" s="87">
        <f t="shared" si="142"/>
        <v>0</v>
      </c>
      <c r="J563" s="177"/>
      <c r="K563" s="200"/>
      <c r="L563" s="200"/>
      <c r="M563" s="200"/>
      <c r="N563" s="200"/>
      <c r="O563" s="200"/>
      <c r="P563" s="200"/>
      <c r="Q563" s="200"/>
      <c r="R563" s="200"/>
    </row>
    <row r="564" spans="1:19" s="18" customFormat="1" hidden="1">
      <c r="A564" s="82" t="s">
        <v>180</v>
      </c>
      <c r="B564" s="84" t="s">
        <v>94</v>
      </c>
      <c r="C564" s="84" t="s">
        <v>26</v>
      </c>
      <c r="D564" s="84" t="s">
        <v>28</v>
      </c>
      <c r="E564" s="84" t="s">
        <v>134</v>
      </c>
      <c r="F564" s="84" t="s">
        <v>181</v>
      </c>
      <c r="G564" s="87"/>
      <c r="H564" s="87"/>
      <c r="I564" s="87"/>
      <c r="J564" s="177"/>
      <c r="K564" s="200"/>
      <c r="L564" s="200"/>
      <c r="M564" s="200"/>
      <c r="N564" s="200"/>
      <c r="O564" s="200"/>
      <c r="P564" s="200"/>
      <c r="Q564" s="200"/>
      <c r="R564" s="200"/>
    </row>
    <row r="565" spans="1:19" ht="57" customHeight="1">
      <c r="A565" s="82" t="s">
        <v>118</v>
      </c>
      <c r="B565" s="84" t="s">
        <v>94</v>
      </c>
      <c r="C565" s="84" t="s">
        <v>26</v>
      </c>
      <c r="D565" s="84" t="s">
        <v>28</v>
      </c>
      <c r="E565" s="84" t="s">
        <v>222</v>
      </c>
      <c r="F565" s="84"/>
      <c r="G565" s="87">
        <f>G568+G566</f>
        <v>129281740.40000001</v>
      </c>
      <c r="H565" s="87">
        <f t="shared" ref="H565:I565" si="143">H568</f>
        <v>125609321</v>
      </c>
      <c r="I565" s="87">
        <f t="shared" si="143"/>
        <v>125675659</v>
      </c>
      <c r="J565" s="177"/>
      <c r="Q565" s="226"/>
    </row>
    <row r="566" spans="1:19" ht="25.5" hidden="1">
      <c r="A566" s="82" t="s">
        <v>96</v>
      </c>
      <c r="B566" s="84" t="s">
        <v>94</v>
      </c>
      <c r="C566" s="84" t="s">
        <v>26</v>
      </c>
      <c r="D566" s="84" t="s">
        <v>28</v>
      </c>
      <c r="E566" s="84" t="s">
        <v>738</v>
      </c>
      <c r="F566" s="84" t="s">
        <v>349</v>
      </c>
      <c r="G566" s="87">
        <f>G567</f>
        <v>0</v>
      </c>
      <c r="H566" s="87">
        <f>H567</f>
        <v>0</v>
      </c>
      <c r="I566" s="87">
        <f>I567</f>
        <v>0</v>
      </c>
      <c r="J566" s="177"/>
    </row>
    <row r="567" spans="1:19" s="3" customFormat="1" ht="89.25" hidden="1">
      <c r="A567" s="82" t="s">
        <v>421</v>
      </c>
      <c r="B567" s="149">
        <v>774</v>
      </c>
      <c r="C567" s="84" t="s">
        <v>26</v>
      </c>
      <c r="D567" s="84" t="s">
        <v>28</v>
      </c>
      <c r="E567" s="84" t="s">
        <v>738</v>
      </c>
      <c r="F567" s="84" t="s">
        <v>420</v>
      </c>
      <c r="G567" s="87"/>
      <c r="H567" s="87">
        <v>0</v>
      </c>
      <c r="I567" s="87">
        <v>0</v>
      </c>
      <c r="J567" s="177"/>
      <c r="K567" s="199"/>
      <c r="L567" s="199"/>
      <c r="M567" s="199"/>
      <c r="N567" s="199"/>
      <c r="O567" s="199"/>
      <c r="P567" s="199"/>
      <c r="Q567" s="199"/>
      <c r="R567" s="199"/>
    </row>
    <row r="568" spans="1:19" ht="25.5">
      <c r="A568" s="82" t="s">
        <v>30</v>
      </c>
      <c r="B568" s="84" t="s">
        <v>94</v>
      </c>
      <c r="C568" s="84" t="s">
        <v>26</v>
      </c>
      <c r="D568" s="84" t="s">
        <v>28</v>
      </c>
      <c r="E568" s="84" t="s">
        <v>222</v>
      </c>
      <c r="F568" s="84" t="s">
        <v>31</v>
      </c>
      <c r="G568" s="87">
        <f>G569</f>
        <v>129281740.40000001</v>
      </c>
      <c r="H568" s="87">
        <f>H569</f>
        <v>125609321</v>
      </c>
      <c r="I568" s="87">
        <f>I569</f>
        <v>125675659</v>
      </c>
      <c r="J568" s="177"/>
    </row>
    <row r="569" spans="1:19">
      <c r="A569" s="82" t="s">
        <v>32</v>
      </c>
      <c r="B569" s="84" t="s">
        <v>94</v>
      </c>
      <c r="C569" s="84" t="s">
        <v>26</v>
      </c>
      <c r="D569" s="84" t="s">
        <v>28</v>
      </c>
      <c r="E569" s="84" t="s">
        <v>222</v>
      </c>
      <c r="F569" s="84" t="s">
        <v>33</v>
      </c>
      <c r="G569" s="87">
        <f>128689717+501000+91023.4</f>
        <v>129281740.40000001</v>
      </c>
      <c r="H569" s="87">
        <v>125609321</v>
      </c>
      <c r="I569" s="87">
        <f>125675659</f>
        <v>125675659</v>
      </c>
      <c r="J569" s="177"/>
    </row>
    <row r="570" spans="1:19" ht="43.5" hidden="1" customHeight="1">
      <c r="A570" s="82" t="s">
        <v>744</v>
      </c>
      <c r="B570" s="84" t="s">
        <v>94</v>
      </c>
      <c r="C570" s="84" t="s">
        <v>26</v>
      </c>
      <c r="D570" s="84" t="s">
        <v>28</v>
      </c>
      <c r="E570" s="84" t="s">
        <v>738</v>
      </c>
      <c r="F570" s="84"/>
      <c r="G570" s="87">
        <f>G571</f>
        <v>0</v>
      </c>
      <c r="H570" s="87"/>
      <c r="I570" s="87"/>
      <c r="J570" s="177"/>
      <c r="K570" s="215"/>
    </row>
    <row r="571" spans="1:19" ht="25.5" hidden="1">
      <c r="A571" s="82" t="s">
        <v>96</v>
      </c>
      <c r="B571" s="84" t="s">
        <v>94</v>
      </c>
      <c r="C571" s="84" t="s">
        <v>26</v>
      </c>
      <c r="D571" s="84" t="s">
        <v>28</v>
      </c>
      <c r="E571" s="84" t="s">
        <v>738</v>
      </c>
      <c r="F571" s="84" t="s">
        <v>349</v>
      </c>
      <c r="G571" s="87">
        <f>G572</f>
        <v>0</v>
      </c>
      <c r="H571" s="87">
        <f>H572</f>
        <v>0</v>
      </c>
      <c r="I571" s="87">
        <f>I572</f>
        <v>0</v>
      </c>
      <c r="J571" s="177"/>
    </row>
    <row r="572" spans="1:19" s="3" customFormat="1" ht="89.25" hidden="1">
      <c r="A572" s="82" t="s">
        <v>421</v>
      </c>
      <c r="B572" s="149">
        <v>774</v>
      </c>
      <c r="C572" s="84" t="s">
        <v>26</v>
      </c>
      <c r="D572" s="84" t="s">
        <v>28</v>
      </c>
      <c r="E572" s="84" t="s">
        <v>738</v>
      </c>
      <c r="F572" s="84" t="s">
        <v>420</v>
      </c>
      <c r="G572" s="87"/>
      <c r="H572" s="87">
        <v>0</v>
      </c>
      <c r="I572" s="87">
        <v>0</v>
      </c>
      <c r="J572" s="177"/>
      <c r="K572" s="199"/>
      <c r="L572" s="199"/>
      <c r="M572" s="199"/>
      <c r="N572" s="199"/>
      <c r="O572" s="199"/>
      <c r="P572" s="199"/>
      <c r="Q572" s="199"/>
      <c r="R572" s="199"/>
    </row>
    <row r="573" spans="1:19" s="18" customFormat="1">
      <c r="A573" s="82" t="s">
        <v>859</v>
      </c>
      <c r="B573" s="149">
        <v>774</v>
      </c>
      <c r="C573" s="84" t="s">
        <v>26</v>
      </c>
      <c r="D573" s="84" t="s">
        <v>28</v>
      </c>
      <c r="E573" s="84" t="s">
        <v>877</v>
      </c>
      <c r="F573" s="84"/>
      <c r="G573" s="87">
        <f t="shared" ref="G573:I574" si="144">G574</f>
        <v>809942.14</v>
      </c>
      <c r="H573" s="87">
        <f t="shared" si="144"/>
        <v>1006307</v>
      </c>
      <c r="I573" s="87">
        <f t="shared" si="144"/>
        <v>1006307</v>
      </c>
      <c r="J573" s="177"/>
      <c r="K573" s="200"/>
      <c r="L573" s="200"/>
      <c r="M573" s="200"/>
      <c r="N573" s="200"/>
      <c r="O573" s="200"/>
      <c r="P573" s="200"/>
      <c r="Q573" s="215"/>
      <c r="R573" s="215"/>
      <c r="S573" s="17"/>
    </row>
    <row r="574" spans="1:19" s="18" customFormat="1" ht="25.5">
      <c r="A574" s="82" t="s">
        <v>30</v>
      </c>
      <c r="B574" s="149">
        <v>774</v>
      </c>
      <c r="C574" s="84" t="s">
        <v>26</v>
      </c>
      <c r="D574" s="84" t="s">
        <v>28</v>
      </c>
      <c r="E574" s="84" t="s">
        <v>877</v>
      </c>
      <c r="F574" s="84" t="s">
        <v>31</v>
      </c>
      <c r="G574" s="87">
        <f t="shared" si="144"/>
        <v>809942.14</v>
      </c>
      <c r="H574" s="87">
        <f t="shared" si="144"/>
        <v>1006307</v>
      </c>
      <c r="I574" s="87">
        <f t="shared" si="144"/>
        <v>1006307</v>
      </c>
      <c r="J574" s="177"/>
      <c r="K574" s="200"/>
      <c r="L574" s="200"/>
      <c r="M574" s="200"/>
      <c r="N574" s="200"/>
      <c r="O574" s="200"/>
      <c r="P574" s="200"/>
      <c r="Q574" s="215"/>
      <c r="R574" s="215"/>
      <c r="S574" s="17"/>
    </row>
    <row r="575" spans="1:19" s="18" customFormat="1">
      <c r="A575" s="82" t="s">
        <v>32</v>
      </c>
      <c r="B575" s="149">
        <v>774</v>
      </c>
      <c r="C575" s="84" t="s">
        <v>26</v>
      </c>
      <c r="D575" s="84" t="s">
        <v>28</v>
      </c>
      <c r="E575" s="84" t="s">
        <v>877</v>
      </c>
      <c r="F575" s="84" t="s">
        <v>33</v>
      </c>
      <c r="G575" s="87">
        <f>965822+0.81-64857.27-91023.4</f>
        <v>809942.14</v>
      </c>
      <c r="H575" s="87">
        <v>1006307</v>
      </c>
      <c r="I575" s="87">
        <v>1006307</v>
      </c>
      <c r="J575" s="177"/>
      <c r="K575" s="200"/>
      <c r="L575" s="200"/>
      <c r="M575" s="200"/>
      <c r="N575" s="200"/>
      <c r="O575" s="200"/>
      <c r="P575" s="200"/>
      <c r="Q575" s="215"/>
      <c r="R575" s="215"/>
      <c r="S575" s="17"/>
    </row>
    <row r="576" spans="1:19" ht="74.25" customHeight="1">
      <c r="A576" s="82" t="s">
        <v>765</v>
      </c>
      <c r="B576" s="84" t="s">
        <v>94</v>
      </c>
      <c r="C576" s="84" t="s">
        <v>26</v>
      </c>
      <c r="D576" s="84" t="s">
        <v>28</v>
      </c>
      <c r="E576" s="84" t="s">
        <v>763</v>
      </c>
      <c r="F576" s="84"/>
      <c r="G576" s="87">
        <f>G579+G577</f>
        <v>0</v>
      </c>
      <c r="H576" s="87">
        <f t="shared" ref="H576:I576" si="145">H579</f>
        <v>1000000</v>
      </c>
      <c r="I576" s="87">
        <f t="shared" si="145"/>
        <v>1000000</v>
      </c>
      <c r="J576" s="177"/>
    </row>
    <row r="577" spans="1:18" ht="25.5" hidden="1">
      <c r="A577" s="82" t="s">
        <v>96</v>
      </c>
      <c r="B577" s="84" t="s">
        <v>94</v>
      </c>
      <c r="C577" s="84" t="s">
        <v>26</v>
      </c>
      <c r="D577" s="84" t="s">
        <v>28</v>
      </c>
      <c r="E577" s="84" t="s">
        <v>738</v>
      </c>
      <c r="F577" s="84" t="s">
        <v>349</v>
      </c>
      <c r="G577" s="87">
        <f>G578</f>
        <v>0</v>
      </c>
      <c r="H577" s="87">
        <f>H578</f>
        <v>0</v>
      </c>
      <c r="I577" s="87">
        <f>I578</f>
        <v>0</v>
      </c>
      <c r="J577" s="177"/>
    </row>
    <row r="578" spans="1:18" s="3" customFormat="1" ht="89.25" hidden="1">
      <c r="A578" s="82" t="s">
        <v>421</v>
      </c>
      <c r="B578" s="149">
        <v>774</v>
      </c>
      <c r="C578" s="84" t="s">
        <v>26</v>
      </c>
      <c r="D578" s="84" t="s">
        <v>28</v>
      </c>
      <c r="E578" s="84" t="s">
        <v>738</v>
      </c>
      <c r="F578" s="84" t="s">
        <v>420</v>
      </c>
      <c r="G578" s="87"/>
      <c r="H578" s="87">
        <v>0</v>
      </c>
      <c r="I578" s="87">
        <v>0</v>
      </c>
      <c r="J578" s="177"/>
      <c r="K578" s="199"/>
      <c r="L578" s="199"/>
      <c r="M578" s="199"/>
      <c r="N578" s="199"/>
      <c r="O578" s="199"/>
      <c r="P578" s="199"/>
      <c r="Q578" s="199"/>
      <c r="R578" s="199"/>
    </row>
    <row r="579" spans="1:18" ht="25.5">
      <c r="A579" s="82" t="s">
        <v>30</v>
      </c>
      <c r="B579" s="84" t="s">
        <v>94</v>
      </c>
      <c r="C579" s="84" t="s">
        <v>26</v>
      </c>
      <c r="D579" s="84" t="s">
        <v>28</v>
      </c>
      <c r="E579" s="84" t="s">
        <v>763</v>
      </c>
      <c r="F579" s="84" t="s">
        <v>31</v>
      </c>
      <c r="G579" s="87">
        <f>G580</f>
        <v>0</v>
      </c>
      <c r="H579" s="87">
        <f>H580</f>
        <v>1000000</v>
      </c>
      <c r="I579" s="87">
        <f>I580</f>
        <v>1000000</v>
      </c>
      <c r="J579" s="177"/>
    </row>
    <row r="580" spans="1:18">
      <c r="A580" s="82" t="s">
        <v>32</v>
      </c>
      <c r="B580" s="84" t="s">
        <v>94</v>
      </c>
      <c r="C580" s="84" t="s">
        <v>26</v>
      </c>
      <c r="D580" s="84" t="s">
        <v>28</v>
      </c>
      <c r="E580" s="84" t="s">
        <v>763</v>
      </c>
      <c r="F580" s="84" t="s">
        <v>33</v>
      </c>
      <c r="G580" s="87">
        <f>1000000-500000-500000</f>
        <v>0</v>
      </c>
      <c r="H580" s="87">
        <v>1000000</v>
      </c>
      <c r="I580" s="87">
        <v>1000000</v>
      </c>
      <c r="J580" s="177"/>
    </row>
    <row r="581" spans="1:18" ht="57" customHeight="1">
      <c r="A581" s="82" t="s">
        <v>764</v>
      </c>
      <c r="B581" s="84" t="s">
        <v>94</v>
      </c>
      <c r="C581" s="84" t="s">
        <v>26</v>
      </c>
      <c r="D581" s="84" t="s">
        <v>28</v>
      </c>
      <c r="E581" s="84" t="s">
        <v>762</v>
      </c>
      <c r="F581" s="84"/>
      <c r="G581" s="87">
        <f>G584+G582</f>
        <v>400000</v>
      </c>
      <c r="H581" s="87">
        <f t="shared" ref="H581:I581" si="146">H584</f>
        <v>0</v>
      </c>
      <c r="I581" s="87">
        <f t="shared" si="146"/>
        <v>0</v>
      </c>
      <c r="J581" s="177"/>
    </row>
    <row r="582" spans="1:18" ht="25.5" hidden="1">
      <c r="A582" s="82" t="s">
        <v>96</v>
      </c>
      <c r="B582" s="84" t="s">
        <v>94</v>
      </c>
      <c r="C582" s="84" t="s">
        <v>26</v>
      </c>
      <c r="D582" s="84" t="s">
        <v>28</v>
      </c>
      <c r="E582" s="84" t="s">
        <v>738</v>
      </c>
      <c r="F582" s="84" t="s">
        <v>349</v>
      </c>
      <c r="G582" s="87">
        <f>G583</f>
        <v>0</v>
      </c>
      <c r="H582" s="87">
        <f>H583</f>
        <v>0</v>
      </c>
      <c r="I582" s="87">
        <f>I583</f>
        <v>0</v>
      </c>
      <c r="J582" s="177"/>
    </row>
    <row r="583" spans="1:18" s="3" customFormat="1" ht="89.25" hidden="1">
      <c r="A583" s="82" t="s">
        <v>421</v>
      </c>
      <c r="B583" s="149">
        <v>774</v>
      </c>
      <c r="C583" s="84" t="s">
        <v>26</v>
      </c>
      <c r="D583" s="84" t="s">
        <v>28</v>
      </c>
      <c r="E583" s="84" t="s">
        <v>738</v>
      </c>
      <c r="F583" s="84" t="s">
        <v>420</v>
      </c>
      <c r="G583" s="87"/>
      <c r="H583" s="87">
        <v>0</v>
      </c>
      <c r="I583" s="87">
        <v>0</v>
      </c>
      <c r="J583" s="177"/>
      <c r="K583" s="199"/>
      <c r="L583" s="199"/>
      <c r="M583" s="199"/>
      <c r="N583" s="199"/>
      <c r="O583" s="199"/>
      <c r="P583" s="199"/>
      <c r="Q583" s="199"/>
      <c r="R583" s="199"/>
    </row>
    <row r="584" spans="1:18" ht="25.5">
      <c r="A584" s="82" t="s">
        <v>30</v>
      </c>
      <c r="B584" s="84" t="s">
        <v>94</v>
      </c>
      <c r="C584" s="84" t="s">
        <v>26</v>
      </c>
      <c r="D584" s="84" t="s">
        <v>28</v>
      </c>
      <c r="E584" s="84" t="s">
        <v>762</v>
      </c>
      <c r="F584" s="84" t="s">
        <v>31</v>
      </c>
      <c r="G584" s="87">
        <f>G585</f>
        <v>400000</v>
      </c>
      <c r="H584" s="87">
        <f>H585</f>
        <v>0</v>
      </c>
      <c r="I584" s="87">
        <f>I585</f>
        <v>0</v>
      </c>
      <c r="J584" s="177"/>
    </row>
    <row r="585" spans="1:18">
      <c r="A585" s="82" t="s">
        <v>32</v>
      </c>
      <c r="B585" s="84" t="s">
        <v>94</v>
      </c>
      <c r="C585" s="84" t="s">
        <v>26</v>
      </c>
      <c r="D585" s="84" t="s">
        <v>28</v>
      </c>
      <c r="E585" s="84" t="s">
        <v>762</v>
      </c>
      <c r="F585" s="84" t="s">
        <v>33</v>
      </c>
      <c r="G585" s="87">
        <v>400000</v>
      </c>
      <c r="H585" s="87">
        <v>0</v>
      </c>
      <c r="I585" s="87">
        <v>0</v>
      </c>
      <c r="J585" s="177"/>
    </row>
    <row r="586" spans="1:18" ht="32.25" customHeight="1">
      <c r="A586" s="82" t="s">
        <v>142</v>
      </c>
      <c r="B586" s="84" t="s">
        <v>94</v>
      </c>
      <c r="C586" s="84" t="s">
        <v>26</v>
      </c>
      <c r="D586" s="84" t="s">
        <v>28</v>
      </c>
      <c r="E586" s="84" t="s">
        <v>718</v>
      </c>
      <c r="F586" s="84"/>
      <c r="G586" s="87">
        <f t="shared" ref="G586:I586" si="147">G587</f>
        <v>616711</v>
      </c>
      <c r="H586" s="87">
        <f t="shared" si="147"/>
        <v>160000</v>
      </c>
      <c r="I586" s="87">
        <f t="shared" si="147"/>
        <v>160000</v>
      </c>
      <c r="J586" s="177"/>
    </row>
    <row r="587" spans="1:18" ht="25.5">
      <c r="A587" s="82" t="s">
        <v>30</v>
      </c>
      <c r="B587" s="84" t="s">
        <v>94</v>
      </c>
      <c r="C587" s="84" t="s">
        <v>26</v>
      </c>
      <c r="D587" s="84" t="s">
        <v>28</v>
      </c>
      <c r="E587" s="84" t="s">
        <v>718</v>
      </c>
      <c r="F587" s="84" t="s">
        <v>31</v>
      </c>
      <c r="G587" s="87">
        <f>G588</f>
        <v>616711</v>
      </c>
      <c r="H587" s="87">
        <f>H588</f>
        <v>160000</v>
      </c>
      <c r="I587" s="87">
        <f>I588</f>
        <v>160000</v>
      </c>
      <c r="J587" s="177"/>
    </row>
    <row r="588" spans="1:18">
      <c r="A588" s="82" t="s">
        <v>32</v>
      </c>
      <c r="B588" s="84" t="s">
        <v>94</v>
      </c>
      <c r="C588" s="84" t="s">
        <v>26</v>
      </c>
      <c r="D588" s="84" t="s">
        <v>28</v>
      </c>
      <c r="E588" s="84" t="s">
        <v>718</v>
      </c>
      <c r="F588" s="84" t="s">
        <v>33</v>
      </c>
      <c r="G588" s="87">
        <f>160000-100000+556711</f>
        <v>616711</v>
      </c>
      <c r="H588" s="87">
        <v>160000</v>
      </c>
      <c r="I588" s="87">
        <v>160000</v>
      </c>
      <c r="J588" s="177"/>
    </row>
    <row r="589" spans="1:18" ht="33" hidden="1" customHeight="1">
      <c r="A589" s="82" t="s">
        <v>958</v>
      </c>
      <c r="B589" s="84" t="s">
        <v>94</v>
      </c>
      <c r="C589" s="84" t="s">
        <v>26</v>
      </c>
      <c r="D589" s="84" t="s">
        <v>28</v>
      </c>
      <c r="E589" s="84" t="s">
        <v>957</v>
      </c>
      <c r="F589" s="84"/>
      <c r="G589" s="87">
        <f>G590</f>
        <v>0</v>
      </c>
      <c r="H589" s="87"/>
      <c r="I589" s="87"/>
      <c r="J589" s="177"/>
    </row>
    <row r="590" spans="1:18" ht="24.75" hidden="1" customHeight="1">
      <c r="A590" s="82" t="s">
        <v>30</v>
      </c>
      <c r="B590" s="84" t="s">
        <v>94</v>
      </c>
      <c r="C590" s="84" t="s">
        <v>26</v>
      </c>
      <c r="D590" s="84" t="s">
        <v>28</v>
      </c>
      <c r="E590" s="84" t="s">
        <v>957</v>
      </c>
      <c r="F590" s="84" t="s">
        <v>31</v>
      </c>
      <c r="G590" s="87">
        <f>G591</f>
        <v>0</v>
      </c>
      <c r="H590" s="87"/>
      <c r="I590" s="87"/>
      <c r="J590" s="177"/>
    </row>
    <row r="591" spans="1:18" ht="19.5" hidden="1" customHeight="1">
      <c r="A591" s="82" t="s">
        <v>32</v>
      </c>
      <c r="B591" s="84" t="s">
        <v>94</v>
      </c>
      <c r="C591" s="84" t="s">
        <v>26</v>
      </c>
      <c r="D591" s="84" t="s">
        <v>28</v>
      </c>
      <c r="E591" s="84" t="s">
        <v>957</v>
      </c>
      <c r="F591" s="84" t="s">
        <v>33</v>
      </c>
      <c r="G591" s="87"/>
      <c r="H591" s="87"/>
      <c r="I591" s="87"/>
      <c r="J591" s="177"/>
    </row>
    <row r="592" spans="1:18" s="3" customFormat="1" ht="76.5">
      <c r="A592" s="82" t="s">
        <v>893</v>
      </c>
      <c r="B592" s="149">
        <v>774</v>
      </c>
      <c r="C592" s="84" t="s">
        <v>26</v>
      </c>
      <c r="D592" s="84" t="s">
        <v>28</v>
      </c>
      <c r="E592" s="84" t="s">
        <v>779</v>
      </c>
      <c r="F592" s="84"/>
      <c r="G592" s="87">
        <f>G594</f>
        <v>1803468</v>
      </c>
      <c r="H592" s="87">
        <f>H594</f>
        <v>1803468</v>
      </c>
      <c r="I592" s="87">
        <f>I594</f>
        <v>1803468</v>
      </c>
      <c r="J592" s="177"/>
      <c r="K592" s="199"/>
      <c r="L592" s="199"/>
      <c r="M592" s="199"/>
      <c r="N592" s="199"/>
      <c r="O592" s="199"/>
      <c r="P592" s="199"/>
      <c r="Q592" s="199"/>
      <c r="R592" s="199"/>
    </row>
    <row r="593" spans="1:18" ht="25.5">
      <c r="A593" s="82" t="s">
        <v>30</v>
      </c>
      <c r="B593" s="84" t="s">
        <v>94</v>
      </c>
      <c r="C593" s="84" t="s">
        <v>26</v>
      </c>
      <c r="D593" s="84" t="s">
        <v>28</v>
      </c>
      <c r="E593" s="84" t="s">
        <v>779</v>
      </c>
      <c r="F593" s="84" t="s">
        <v>31</v>
      </c>
      <c r="G593" s="87">
        <f>G594</f>
        <v>1803468</v>
      </c>
      <c r="H593" s="87">
        <f>H594</f>
        <v>1803468</v>
      </c>
      <c r="I593" s="87">
        <f>I594</f>
        <v>1803468</v>
      </c>
      <c r="J593" s="177"/>
    </row>
    <row r="594" spans="1:18" s="3" customFormat="1">
      <c r="A594" s="82" t="s">
        <v>32</v>
      </c>
      <c r="B594" s="149">
        <v>774</v>
      </c>
      <c r="C594" s="84" t="s">
        <v>26</v>
      </c>
      <c r="D594" s="84" t="s">
        <v>28</v>
      </c>
      <c r="E594" s="84" t="s">
        <v>779</v>
      </c>
      <c r="F594" s="84" t="s">
        <v>33</v>
      </c>
      <c r="G594" s="87">
        <f>901734+901734</f>
        <v>1803468</v>
      </c>
      <c r="H594" s="87">
        <f>901734+901734</f>
        <v>1803468</v>
      </c>
      <c r="I594" s="87">
        <f>901734+901734</f>
        <v>1803468</v>
      </c>
      <c r="J594" s="177"/>
      <c r="K594" s="199"/>
      <c r="L594" s="199"/>
      <c r="M594" s="199"/>
      <c r="N594" s="199"/>
      <c r="O594" s="199"/>
      <c r="P594" s="199"/>
      <c r="Q594" s="199"/>
      <c r="R594" s="199"/>
    </row>
    <row r="595" spans="1:18" s="3" customFormat="1" ht="88.5" hidden="1" customHeight="1">
      <c r="A595" s="82" t="s">
        <v>740</v>
      </c>
      <c r="B595" s="149">
        <v>774</v>
      </c>
      <c r="C595" s="84" t="s">
        <v>26</v>
      </c>
      <c r="D595" s="84" t="s">
        <v>28</v>
      </c>
      <c r="E595" s="84" t="s">
        <v>710</v>
      </c>
      <c r="F595" s="84"/>
      <c r="G595" s="87">
        <f>G597</f>
        <v>0</v>
      </c>
      <c r="H595" s="87">
        <f>H597</f>
        <v>0</v>
      </c>
      <c r="I595" s="87">
        <f>I597</f>
        <v>0</v>
      </c>
      <c r="J595" s="177"/>
      <c r="K595" s="199"/>
      <c r="L595" s="199"/>
      <c r="M595" s="199"/>
      <c r="N595" s="199"/>
      <c r="O595" s="199"/>
      <c r="P595" s="199"/>
      <c r="Q595" s="199"/>
      <c r="R595" s="199"/>
    </row>
    <row r="596" spans="1:18" ht="25.5" hidden="1">
      <c r="A596" s="82" t="s">
        <v>96</v>
      </c>
      <c r="B596" s="84" t="s">
        <v>94</v>
      </c>
      <c r="C596" s="84" t="s">
        <v>26</v>
      </c>
      <c r="D596" s="84" t="s">
        <v>28</v>
      </c>
      <c r="E596" s="84" t="s">
        <v>710</v>
      </c>
      <c r="F596" s="84" t="s">
        <v>349</v>
      </c>
      <c r="G596" s="87">
        <f>G597</f>
        <v>0</v>
      </c>
      <c r="H596" s="87">
        <f>H597</f>
        <v>0</v>
      </c>
      <c r="I596" s="87">
        <f>I597</f>
        <v>0</v>
      </c>
      <c r="J596" s="177"/>
    </row>
    <row r="597" spans="1:18" s="3" customFormat="1" ht="89.25" hidden="1">
      <c r="A597" s="82" t="s">
        <v>421</v>
      </c>
      <c r="B597" s="149">
        <v>774</v>
      </c>
      <c r="C597" s="84" t="s">
        <v>26</v>
      </c>
      <c r="D597" s="84" t="s">
        <v>28</v>
      </c>
      <c r="E597" s="84" t="s">
        <v>710</v>
      </c>
      <c r="F597" s="84" t="s">
        <v>420</v>
      </c>
      <c r="G597" s="87"/>
      <c r="H597" s="87">
        <v>0</v>
      </c>
      <c r="I597" s="87">
        <v>0</v>
      </c>
      <c r="J597" s="177"/>
      <c r="K597" s="199"/>
      <c r="L597" s="199"/>
      <c r="M597" s="199"/>
      <c r="N597" s="199"/>
      <c r="O597" s="199"/>
      <c r="P597" s="199"/>
      <c r="Q597" s="199"/>
      <c r="R597" s="199"/>
    </row>
    <row r="598" spans="1:18" s="3" customFormat="1" ht="38.25" hidden="1">
      <c r="A598" s="82" t="s">
        <v>712</v>
      </c>
      <c r="B598" s="149">
        <v>774</v>
      </c>
      <c r="C598" s="84" t="s">
        <v>26</v>
      </c>
      <c r="D598" s="84" t="s">
        <v>28</v>
      </c>
      <c r="E598" s="84" t="s">
        <v>711</v>
      </c>
      <c r="F598" s="84"/>
      <c r="G598" s="87">
        <f>G600</f>
        <v>0</v>
      </c>
      <c r="H598" s="87">
        <f>H600</f>
        <v>0</v>
      </c>
      <c r="I598" s="87">
        <f>I600</f>
        <v>0</v>
      </c>
      <c r="J598" s="177"/>
      <c r="K598" s="199"/>
      <c r="L598" s="199"/>
      <c r="M598" s="199"/>
      <c r="N598" s="199"/>
      <c r="O598" s="199"/>
      <c r="P598" s="199"/>
      <c r="Q598" s="199"/>
      <c r="R598" s="199"/>
    </row>
    <row r="599" spans="1:18" ht="25.5" hidden="1">
      <c r="A599" s="82" t="s">
        <v>96</v>
      </c>
      <c r="B599" s="84" t="s">
        <v>94</v>
      </c>
      <c r="C599" s="84" t="s">
        <v>26</v>
      </c>
      <c r="D599" s="84" t="s">
        <v>28</v>
      </c>
      <c r="E599" s="84" t="s">
        <v>711</v>
      </c>
      <c r="F599" s="84" t="s">
        <v>349</v>
      </c>
      <c r="G599" s="87">
        <f>G600</f>
        <v>0</v>
      </c>
      <c r="H599" s="87">
        <f>H600</f>
        <v>0</v>
      </c>
      <c r="I599" s="87">
        <f>I600</f>
        <v>0</v>
      </c>
      <c r="J599" s="177"/>
    </row>
    <row r="600" spans="1:18" s="3" customFormat="1" ht="89.25" hidden="1">
      <c r="A600" s="82" t="s">
        <v>421</v>
      </c>
      <c r="B600" s="149">
        <v>774</v>
      </c>
      <c r="C600" s="84" t="s">
        <v>26</v>
      </c>
      <c r="D600" s="84" t="s">
        <v>28</v>
      </c>
      <c r="E600" s="84" t="s">
        <v>711</v>
      </c>
      <c r="F600" s="84" t="s">
        <v>420</v>
      </c>
      <c r="G600" s="87"/>
      <c r="H600" s="87">
        <v>0</v>
      </c>
      <c r="I600" s="87">
        <v>0</v>
      </c>
      <c r="J600" s="177"/>
      <c r="K600" s="199"/>
      <c r="L600" s="199"/>
      <c r="M600" s="199"/>
      <c r="N600" s="199"/>
      <c r="O600" s="199"/>
      <c r="P600" s="199"/>
      <c r="Q600" s="199"/>
      <c r="R600" s="199"/>
    </row>
    <row r="601" spans="1:18" ht="63" hidden="1" customHeight="1">
      <c r="A601" s="82" t="s">
        <v>415</v>
      </c>
      <c r="B601" s="84" t="s">
        <v>94</v>
      </c>
      <c r="C601" s="84" t="s">
        <v>26</v>
      </c>
      <c r="D601" s="84" t="s">
        <v>28</v>
      </c>
      <c r="E601" s="84" t="s">
        <v>778</v>
      </c>
      <c r="F601" s="84"/>
      <c r="G601" s="87">
        <f t="shared" ref="G601:I601" si="148">G602</f>
        <v>0</v>
      </c>
      <c r="H601" s="87">
        <f t="shared" si="148"/>
        <v>0</v>
      </c>
      <c r="I601" s="87">
        <f t="shared" si="148"/>
        <v>0</v>
      </c>
      <c r="J601" s="177"/>
    </row>
    <row r="602" spans="1:18" ht="25.5" hidden="1">
      <c r="A602" s="82" t="s">
        <v>30</v>
      </c>
      <c r="B602" s="84" t="s">
        <v>94</v>
      </c>
      <c r="C602" s="84" t="s">
        <v>26</v>
      </c>
      <c r="D602" s="84" t="s">
        <v>28</v>
      </c>
      <c r="E602" s="84" t="s">
        <v>778</v>
      </c>
      <c r="F602" s="84" t="s">
        <v>31</v>
      </c>
      <c r="G602" s="87">
        <f>G603</f>
        <v>0</v>
      </c>
      <c r="H602" s="87">
        <f>H603</f>
        <v>0</v>
      </c>
      <c r="I602" s="87">
        <f>I603</f>
        <v>0</v>
      </c>
      <c r="J602" s="177"/>
    </row>
    <row r="603" spans="1:18" hidden="1">
      <c r="A603" s="82" t="s">
        <v>32</v>
      </c>
      <c r="B603" s="84" t="s">
        <v>94</v>
      </c>
      <c r="C603" s="84" t="s">
        <v>26</v>
      </c>
      <c r="D603" s="84" t="s">
        <v>28</v>
      </c>
      <c r="E603" s="84" t="s">
        <v>778</v>
      </c>
      <c r="F603" s="84" t="s">
        <v>33</v>
      </c>
      <c r="G603" s="87"/>
      <c r="H603" s="87">
        <v>0</v>
      </c>
      <c r="I603" s="87">
        <v>0</v>
      </c>
      <c r="J603" s="177"/>
    </row>
    <row r="604" spans="1:18" s="18" customFormat="1" ht="51" customHeight="1">
      <c r="A604" s="285" t="s">
        <v>880</v>
      </c>
      <c r="B604" s="84" t="s">
        <v>94</v>
      </c>
      <c r="C604" s="84" t="s">
        <v>26</v>
      </c>
      <c r="D604" s="84" t="s">
        <v>28</v>
      </c>
      <c r="E604" s="84" t="s">
        <v>884</v>
      </c>
      <c r="F604" s="84"/>
      <c r="G604" s="87">
        <f t="shared" ref="G604:I605" si="149">G605</f>
        <v>1630221</v>
      </c>
      <c r="H604" s="87">
        <f t="shared" si="149"/>
        <v>2386123</v>
      </c>
      <c r="I604" s="87">
        <f t="shared" si="149"/>
        <v>2386123</v>
      </c>
      <c r="J604" s="177"/>
      <c r="K604" s="200"/>
      <c r="L604" s="200"/>
      <c r="M604" s="200"/>
      <c r="N604" s="200"/>
      <c r="O604" s="200"/>
      <c r="P604" s="200"/>
      <c r="Q604" s="200"/>
      <c r="R604" s="200"/>
    </row>
    <row r="605" spans="1:18" s="18" customFormat="1" ht="25.5">
      <c r="A605" s="82" t="s">
        <v>30</v>
      </c>
      <c r="B605" s="84" t="s">
        <v>94</v>
      </c>
      <c r="C605" s="84" t="s">
        <v>26</v>
      </c>
      <c r="D605" s="84" t="s">
        <v>28</v>
      </c>
      <c r="E605" s="84" t="s">
        <v>884</v>
      </c>
      <c r="F605" s="84" t="s">
        <v>31</v>
      </c>
      <c r="G605" s="87">
        <f t="shared" si="149"/>
        <v>1630221</v>
      </c>
      <c r="H605" s="87">
        <f t="shared" si="149"/>
        <v>2386123</v>
      </c>
      <c r="I605" s="87">
        <f t="shared" si="149"/>
        <v>2386123</v>
      </c>
      <c r="J605" s="177"/>
      <c r="K605" s="200"/>
      <c r="L605" s="200"/>
      <c r="M605" s="200"/>
      <c r="N605" s="200"/>
      <c r="O605" s="200"/>
      <c r="P605" s="200"/>
      <c r="Q605" s="200"/>
      <c r="R605" s="200"/>
    </row>
    <row r="606" spans="1:18">
      <c r="A606" s="82" t="s">
        <v>32</v>
      </c>
      <c r="B606" s="84" t="s">
        <v>94</v>
      </c>
      <c r="C606" s="84" t="s">
        <v>26</v>
      </c>
      <c r="D606" s="84" t="s">
        <v>28</v>
      </c>
      <c r="E606" s="84" t="s">
        <v>884</v>
      </c>
      <c r="F606" s="84" t="s">
        <v>33</v>
      </c>
      <c r="G606" s="87">
        <v>1630221</v>
      </c>
      <c r="H606" s="87">
        <v>2386123</v>
      </c>
      <c r="I606" s="87">
        <v>2386123</v>
      </c>
      <c r="J606" s="177"/>
    </row>
    <row r="607" spans="1:18" s="18" customFormat="1" ht="89.25">
      <c r="A607" s="142" t="s">
        <v>373</v>
      </c>
      <c r="B607" s="84" t="s">
        <v>94</v>
      </c>
      <c r="C607" s="84" t="s">
        <v>26</v>
      </c>
      <c r="D607" s="84" t="s">
        <v>28</v>
      </c>
      <c r="E607" s="84" t="s">
        <v>667</v>
      </c>
      <c r="F607" s="84"/>
      <c r="G607" s="87">
        <f t="shared" ref="G607:I608" si="150">G608</f>
        <v>101833</v>
      </c>
      <c r="H607" s="87">
        <f t="shared" si="150"/>
        <v>0</v>
      </c>
      <c r="I607" s="87">
        <f t="shared" si="150"/>
        <v>0</v>
      </c>
      <c r="J607" s="177"/>
      <c r="K607" s="200"/>
      <c r="L607" s="200"/>
      <c r="M607" s="200"/>
      <c r="N607" s="200"/>
      <c r="O607" s="200"/>
      <c r="P607" s="200"/>
      <c r="Q607" s="200"/>
      <c r="R607" s="200"/>
    </row>
    <row r="608" spans="1:18" s="18" customFormat="1" ht="25.5">
      <c r="A608" s="82" t="s">
        <v>30</v>
      </c>
      <c r="B608" s="84" t="s">
        <v>94</v>
      </c>
      <c r="C608" s="84" t="s">
        <v>26</v>
      </c>
      <c r="D608" s="84" t="s">
        <v>28</v>
      </c>
      <c r="E608" s="84" t="s">
        <v>667</v>
      </c>
      <c r="F608" s="84" t="s">
        <v>31</v>
      </c>
      <c r="G608" s="87">
        <f t="shared" si="150"/>
        <v>101833</v>
      </c>
      <c r="H608" s="87">
        <f t="shared" si="150"/>
        <v>0</v>
      </c>
      <c r="I608" s="87">
        <f t="shared" si="150"/>
        <v>0</v>
      </c>
      <c r="J608" s="177"/>
      <c r="K608" s="200"/>
      <c r="L608" s="200"/>
      <c r="M608" s="200"/>
      <c r="N608" s="200"/>
      <c r="O608" s="200"/>
      <c r="P608" s="200"/>
      <c r="Q608" s="200"/>
      <c r="R608" s="200"/>
    </row>
    <row r="609" spans="1:18" s="18" customFormat="1">
      <c r="A609" s="82" t="s">
        <v>32</v>
      </c>
      <c r="B609" s="84" t="s">
        <v>94</v>
      </c>
      <c r="C609" s="84" t="s">
        <v>26</v>
      </c>
      <c r="D609" s="84" t="s">
        <v>28</v>
      </c>
      <c r="E609" s="84" t="s">
        <v>667</v>
      </c>
      <c r="F609" s="84" t="s">
        <v>33</v>
      </c>
      <c r="G609" s="87">
        <f>2040.87+99792.13</f>
        <v>101833</v>
      </c>
      <c r="H609" s="87">
        <v>0</v>
      </c>
      <c r="I609" s="87">
        <v>0</v>
      </c>
      <c r="J609" s="177"/>
      <c r="K609" s="200"/>
      <c r="L609" s="200"/>
      <c r="M609" s="200"/>
      <c r="N609" s="200"/>
      <c r="O609" s="200"/>
      <c r="P609" s="200"/>
      <c r="Q609" s="200"/>
      <c r="R609" s="200"/>
    </row>
    <row r="610" spans="1:18" s="3" customFormat="1" hidden="1">
      <c r="A610" s="82" t="s">
        <v>1</v>
      </c>
      <c r="B610" s="149">
        <v>774</v>
      </c>
      <c r="C610" s="84" t="s">
        <v>26</v>
      </c>
      <c r="D610" s="84" t="s">
        <v>28</v>
      </c>
      <c r="E610" s="84" t="s">
        <v>551</v>
      </c>
      <c r="F610" s="84"/>
      <c r="G610" s="87">
        <f t="shared" ref="G610:I611" si="151">G611</f>
        <v>0</v>
      </c>
      <c r="H610" s="87">
        <f t="shared" si="151"/>
        <v>0</v>
      </c>
      <c r="I610" s="87">
        <f t="shared" si="151"/>
        <v>0</v>
      </c>
      <c r="J610" s="177"/>
      <c r="K610" s="199"/>
      <c r="L610" s="199"/>
      <c r="M610" s="199"/>
      <c r="N610" s="199"/>
      <c r="O610" s="199"/>
      <c r="P610" s="199"/>
      <c r="Q610" s="199"/>
      <c r="R610" s="199"/>
    </row>
    <row r="611" spans="1:18" s="3" customFormat="1" ht="25.5" hidden="1">
      <c r="A611" s="82" t="s">
        <v>30</v>
      </c>
      <c r="B611" s="149">
        <v>774</v>
      </c>
      <c r="C611" s="84" t="s">
        <v>26</v>
      </c>
      <c r="D611" s="84" t="s">
        <v>28</v>
      </c>
      <c r="E611" s="84" t="s">
        <v>551</v>
      </c>
      <c r="F611" s="84" t="s">
        <v>31</v>
      </c>
      <c r="G611" s="87">
        <f t="shared" si="151"/>
        <v>0</v>
      </c>
      <c r="H611" s="87">
        <f t="shared" si="151"/>
        <v>0</v>
      </c>
      <c r="I611" s="87">
        <f t="shared" si="151"/>
        <v>0</v>
      </c>
      <c r="J611" s="177"/>
      <c r="K611" s="199"/>
      <c r="L611" s="199"/>
      <c r="M611" s="199"/>
      <c r="N611" s="199"/>
      <c r="O611" s="199"/>
      <c r="P611" s="199"/>
      <c r="Q611" s="199"/>
      <c r="R611" s="199"/>
    </row>
    <row r="612" spans="1:18" s="3" customFormat="1" hidden="1">
      <c r="A612" s="82" t="s">
        <v>32</v>
      </c>
      <c r="B612" s="149">
        <v>774</v>
      </c>
      <c r="C612" s="84" t="s">
        <v>26</v>
      </c>
      <c r="D612" s="84" t="s">
        <v>28</v>
      </c>
      <c r="E612" s="84" t="s">
        <v>551</v>
      </c>
      <c r="F612" s="84" t="s">
        <v>33</v>
      </c>
      <c r="G612" s="87"/>
      <c r="H612" s="87">
        <v>0</v>
      </c>
      <c r="I612" s="87">
        <v>0</v>
      </c>
      <c r="J612" s="177"/>
      <c r="K612" s="199"/>
      <c r="L612" s="199"/>
      <c r="M612" s="199"/>
      <c r="N612" s="199"/>
      <c r="O612" s="199"/>
      <c r="P612" s="199"/>
      <c r="Q612" s="199"/>
      <c r="R612" s="199"/>
    </row>
    <row r="613" spans="1:18" s="3" customFormat="1" ht="52.5" hidden="1" customHeight="1">
      <c r="A613" s="82" t="s">
        <v>415</v>
      </c>
      <c r="B613" s="149">
        <v>774</v>
      </c>
      <c r="C613" s="84" t="s">
        <v>26</v>
      </c>
      <c r="D613" s="84" t="s">
        <v>28</v>
      </c>
      <c r="E613" s="84" t="s">
        <v>614</v>
      </c>
      <c r="F613" s="84"/>
      <c r="G613" s="87">
        <f t="shared" ref="G613:I614" si="152">G614</f>
        <v>0</v>
      </c>
      <c r="H613" s="87">
        <f t="shared" si="152"/>
        <v>0</v>
      </c>
      <c r="I613" s="87">
        <f t="shared" si="152"/>
        <v>0</v>
      </c>
      <c r="J613" s="177"/>
      <c r="K613" s="199"/>
      <c r="L613" s="199"/>
      <c r="M613" s="199"/>
      <c r="N613" s="199"/>
      <c r="O613" s="199"/>
      <c r="P613" s="199"/>
      <c r="Q613" s="199"/>
      <c r="R613" s="199"/>
    </row>
    <row r="614" spans="1:18" s="3" customFormat="1" ht="25.5" hidden="1">
      <c r="A614" s="82" t="s">
        <v>30</v>
      </c>
      <c r="B614" s="149">
        <v>774</v>
      </c>
      <c r="C614" s="84" t="s">
        <v>26</v>
      </c>
      <c r="D614" s="84" t="s">
        <v>28</v>
      </c>
      <c r="E614" s="84" t="s">
        <v>614</v>
      </c>
      <c r="F614" s="84" t="s">
        <v>31</v>
      </c>
      <c r="G614" s="87">
        <f t="shared" si="152"/>
        <v>0</v>
      </c>
      <c r="H614" s="87">
        <f t="shared" si="152"/>
        <v>0</v>
      </c>
      <c r="I614" s="87">
        <f t="shared" si="152"/>
        <v>0</v>
      </c>
      <c r="J614" s="177"/>
      <c r="K614" s="199"/>
      <c r="L614" s="199"/>
      <c r="M614" s="199"/>
      <c r="N614" s="199"/>
      <c r="O614" s="199"/>
      <c r="P614" s="199"/>
      <c r="Q614" s="199"/>
      <c r="R614" s="199"/>
    </row>
    <row r="615" spans="1:18" s="3" customFormat="1" hidden="1">
      <c r="A615" s="82" t="s">
        <v>32</v>
      </c>
      <c r="B615" s="149">
        <v>774</v>
      </c>
      <c r="C615" s="84" t="s">
        <v>26</v>
      </c>
      <c r="D615" s="84" t="s">
        <v>28</v>
      </c>
      <c r="E615" s="84" t="s">
        <v>614</v>
      </c>
      <c r="F615" s="84" t="s">
        <v>33</v>
      </c>
      <c r="G615" s="87"/>
      <c r="H615" s="87"/>
      <c r="I615" s="87"/>
      <c r="J615" s="177"/>
      <c r="K615" s="199"/>
      <c r="L615" s="199"/>
      <c r="M615" s="199"/>
      <c r="N615" s="199"/>
      <c r="O615" s="199"/>
      <c r="P615" s="199"/>
      <c r="Q615" s="199"/>
      <c r="R615" s="199"/>
    </row>
    <row r="616" spans="1:18" s="18" customFormat="1" ht="89.25" hidden="1">
      <c r="A616" s="142" t="s">
        <v>780</v>
      </c>
      <c r="B616" s="84" t="s">
        <v>94</v>
      </c>
      <c r="C616" s="84" t="s">
        <v>26</v>
      </c>
      <c r="D616" s="84" t="s">
        <v>28</v>
      </c>
      <c r="E616" s="84" t="s">
        <v>779</v>
      </c>
      <c r="F616" s="84"/>
      <c r="G616" s="87">
        <f t="shared" ref="G616:I617" si="153">G617</f>
        <v>0</v>
      </c>
      <c r="H616" s="87">
        <f t="shared" si="153"/>
        <v>0</v>
      </c>
      <c r="I616" s="87">
        <f t="shared" si="153"/>
        <v>0</v>
      </c>
      <c r="J616" s="177"/>
      <c r="K616" s="200"/>
      <c r="L616" s="200"/>
      <c r="M616" s="200"/>
      <c r="N616" s="200"/>
      <c r="O616" s="200"/>
      <c r="P616" s="200"/>
      <c r="Q616" s="200"/>
      <c r="R616" s="200"/>
    </row>
    <row r="617" spans="1:18" s="18" customFormat="1" ht="25.5" hidden="1">
      <c r="A617" s="82" t="s">
        <v>30</v>
      </c>
      <c r="B617" s="84" t="s">
        <v>94</v>
      </c>
      <c r="C617" s="84" t="s">
        <v>26</v>
      </c>
      <c r="D617" s="84" t="s">
        <v>28</v>
      </c>
      <c r="E617" s="84" t="s">
        <v>779</v>
      </c>
      <c r="F617" s="84" t="s">
        <v>31</v>
      </c>
      <c r="G617" s="87">
        <f t="shared" si="153"/>
        <v>0</v>
      </c>
      <c r="H617" s="87">
        <f t="shared" si="153"/>
        <v>0</v>
      </c>
      <c r="I617" s="87">
        <f t="shared" si="153"/>
        <v>0</v>
      </c>
      <c r="J617" s="177"/>
      <c r="K617" s="200"/>
      <c r="L617" s="200"/>
      <c r="M617" s="200"/>
      <c r="N617" s="200"/>
      <c r="O617" s="200"/>
      <c r="P617" s="200"/>
      <c r="Q617" s="200"/>
      <c r="R617" s="200"/>
    </row>
    <row r="618" spans="1:18" s="18" customFormat="1" hidden="1">
      <c r="A618" s="82" t="s">
        <v>32</v>
      </c>
      <c r="B618" s="84" t="s">
        <v>94</v>
      </c>
      <c r="C618" s="84" t="s">
        <v>26</v>
      </c>
      <c r="D618" s="84" t="s">
        <v>28</v>
      </c>
      <c r="E618" s="84" t="s">
        <v>779</v>
      </c>
      <c r="F618" s="84" t="s">
        <v>33</v>
      </c>
      <c r="G618" s="87"/>
      <c r="H618" s="87"/>
      <c r="I618" s="87"/>
      <c r="J618" s="177"/>
      <c r="K618" s="200"/>
      <c r="L618" s="200"/>
      <c r="M618" s="200"/>
      <c r="N618" s="200"/>
      <c r="O618" s="200"/>
      <c r="P618" s="200"/>
      <c r="Q618" s="200"/>
      <c r="R618" s="200"/>
    </row>
    <row r="619" spans="1:18" s="18" customFormat="1" hidden="1">
      <c r="A619" s="142"/>
      <c r="B619" s="84"/>
      <c r="C619" s="84" t="s">
        <v>26</v>
      </c>
      <c r="D619" s="84" t="s">
        <v>28</v>
      </c>
      <c r="E619" s="84"/>
      <c r="F619" s="84"/>
      <c r="G619" s="87"/>
      <c r="H619" s="87"/>
      <c r="I619" s="87"/>
      <c r="J619" s="177"/>
      <c r="K619" s="200"/>
      <c r="L619" s="200"/>
      <c r="M619" s="200"/>
      <c r="N619" s="200"/>
      <c r="O619" s="200"/>
      <c r="P619" s="200"/>
      <c r="Q619" s="200"/>
      <c r="R619" s="200"/>
    </row>
    <row r="620" spans="1:18" s="18" customFormat="1" hidden="1">
      <c r="A620" s="82"/>
      <c r="B620" s="84"/>
      <c r="C620" s="84" t="s">
        <v>26</v>
      </c>
      <c r="D620" s="84" t="s">
        <v>28</v>
      </c>
      <c r="E620" s="84"/>
      <c r="F620" s="84"/>
      <c r="G620" s="87"/>
      <c r="H620" s="87"/>
      <c r="I620" s="87"/>
      <c r="J620" s="177"/>
      <c r="K620" s="200"/>
      <c r="L620" s="200"/>
      <c r="M620" s="200"/>
      <c r="N620" s="200"/>
      <c r="O620" s="200"/>
      <c r="P620" s="200"/>
      <c r="Q620" s="200"/>
      <c r="R620" s="200"/>
    </row>
    <row r="621" spans="1:18" s="18" customFormat="1" hidden="1">
      <c r="A621" s="82"/>
      <c r="B621" s="84"/>
      <c r="C621" s="84" t="s">
        <v>26</v>
      </c>
      <c r="D621" s="84" t="s">
        <v>28</v>
      </c>
      <c r="E621" s="84"/>
      <c r="F621" s="84"/>
      <c r="G621" s="87"/>
      <c r="H621" s="87"/>
      <c r="I621" s="87"/>
      <c r="J621" s="177"/>
      <c r="K621" s="200"/>
      <c r="L621" s="200"/>
      <c r="M621" s="200"/>
      <c r="N621" s="200"/>
      <c r="O621" s="200"/>
      <c r="P621" s="200"/>
      <c r="Q621" s="200"/>
      <c r="R621" s="200"/>
    </row>
    <row r="622" spans="1:18" ht="54.75" customHeight="1">
      <c r="A622" s="82" t="s">
        <v>693</v>
      </c>
      <c r="B622" s="84" t="s">
        <v>94</v>
      </c>
      <c r="C622" s="84" t="s">
        <v>26</v>
      </c>
      <c r="D622" s="84" t="s">
        <v>28</v>
      </c>
      <c r="E622" s="84" t="s">
        <v>648</v>
      </c>
      <c r="F622" s="84"/>
      <c r="G622" s="87">
        <f t="shared" ref="G622:I622" si="154">G623</f>
        <v>30279350</v>
      </c>
      <c r="H622" s="87">
        <f t="shared" si="154"/>
        <v>30279350</v>
      </c>
      <c r="I622" s="87">
        <f t="shared" si="154"/>
        <v>31162470</v>
      </c>
      <c r="J622" s="177"/>
    </row>
    <row r="623" spans="1:18" ht="25.5">
      <c r="A623" s="82" t="s">
        <v>30</v>
      </c>
      <c r="B623" s="84" t="s">
        <v>94</v>
      </c>
      <c r="C623" s="84" t="s">
        <v>26</v>
      </c>
      <c r="D623" s="84" t="s">
        <v>28</v>
      </c>
      <c r="E623" s="84" t="s">
        <v>648</v>
      </c>
      <c r="F623" s="84" t="s">
        <v>31</v>
      </c>
      <c r="G623" s="87">
        <f>G624</f>
        <v>30279350</v>
      </c>
      <c r="H623" s="87">
        <f>H624</f>
        <v>30279350</v>
      </c>
      <c r="I623" s="87">
        <f>I624</f>
        <v>31162470</v>
      </c>
      <c r="J623" s="177"/>
    </row>
    <row r="624" spans="1:18">
      <c r="A624" s="82" t="s">
        <v>32</v>
      </c>
      <c r="B624" s="84" t="s">
        <v>94</v>
      </c>
      <c r="C624" s="84" t="s">
        <v>26</v>
      </c>
      <c r="D624" s="84" t="s">
        <v>28</v>
      </c>
      <c r="E624" s="84" t="s">
        <v>648</v>
      </c>
      <c r="F624" s="84" t="s">
        <v>33</v>
      </c>
      <c r="G624" s="87">
        <v>30279350</v>
      </c>
      <c r="H624" s="87">
        <v>30279350</v>
      </c>
      <c r="I624" s="87">
        <v>31162470</v>
      </c>
      <c r="J624" s="177"/>
    </row>
    <row r="625" spans="1:18" s="3" customFormat="1">
      <c r="A625" s="82" t="s">
        <v>889</v>
      </c>
      <c r="B625" s="149">
        <v>774</v>
      </c>
      <c r="C625" s="84" t="s">
        <v>26</v>
      </c>
      <c r="D625" s="84" t="s">
        <v>28</v>
      </c>
      <c r="E625" s="84" t="s">
        <v>941</v>
      </c>
      <c r="F625" s="84"/>
      <c r="G625" s="87">
        <f t="shared" ref="G625:I626" si="155">G626</f>
        <v>0</v>
      </c>
      <c r="H625" s="87">
        <f t="shared" si="155"/>
        <v>556711</v>
      </c>
      <c r="I625" s="87">
        <f t="shared" si="155"/>
        <v>556711</v>
      </c>
      <c r="J625" s="177"/>
      <c r="K625" s="199"/>
      <c r="L625" s="199"/>
      <c r="M625" s="199"/>
      <c r="N625" s="199"/>
      <c r="O625" s="199"/>
      <c r="P625" s="199"/>
      <c r="Q625" s="199"/>
      <c r="R625" s="199"/>
    </row>
    <row r="626" spans="1:18" s="3" customFormat="1" ht="25.5">
      <c r="A626" s="82" t="s">
        <v>30</v>
      </c>
      <c r="B626" s="149">
        <v>774</v>
      </c>
      <c r="C626" s="84" t="s">
        <v>26</v>
      </c>
      <c r="D626" s="84" t="s">
        <v>28</v>
      </c>
      <c r="E626" s="84" t="s">
        <v>941</v>
      </c>
      <c r="F626" s="84" t="s">
        <v>31</v>
      </c>
      <c r="G626" s="87">
        <f t="shared" si="155"/>
        <v>0</v>
      </c>
      <c r="H626" s="87">
        <f t="shared" si="155"/>
        <v>556711</v>
      </c>
      <c r="I626" s="87">
        <f t="shared" si="155"/>
        <v>556711</v>
      </c>
      <c r="J626" s="177"/>
      <c r="K626" s="199"/>
      <c r="L626" s="199"/>
      <c r="M626" s="199"/>
      <c r="N626" s="199"/>
      <c r="O626" s="199"/>
      <c r="P626" s="199"/>
      <c r="Q626" s="199"/>
      <c r="R626" s="199"/>
    </row>
    <row r="627" spans="1:18" s="3" customFormat="1">
      <c r="A627" s="82" t="s">
        <v>32</v>
      </c>
      <c r="B627" s="149">
        <v>774</v>
      </c>
      <c r="C627" s="84" t="s">
        <v>26</v>
      </c>
      <c r="D627" s="84" t="s">
        <v>28</v>
      </c>
      <c r="E627" s="84" t="s">
        <v>941</v>
      </c>
      <c r="F627" s="84" t="s">
        <v>33</v>
      </c>
      <c r="G627" s="87">
        <f>556711-556711</f>
        <v>0</v>
      </c>
      <c r="H627" s="87">
        <v>556711</v>
      </c>
      <c r="I627" s="87">
        <v>556711</v>
      </c>
      <c r="J627" s="177"/>
      <c r="K627" s="199"/>
      <c r="L627" s="199"/>
      <c r="M627" s="199"/>
      <c r="N627" s="199"/>
      <c r="O627" s="199"/>
      <c r="P627" s="199"/>
      <c r="Q627" s="199"/>
      <c r="R627" s="199"/>
    </row>
    <row r="628" spans="1:18" ht="46.5" hidden="1" customHeight="1">
      <c r="A628" s="82" t="s">
        <v>720</v>
      </c>
      <c r="B628" s="84" t="s">
        <v>94</v>
      </c>
      <c r="C628" s="84" t="s">
        <v>26</v>
      </c>
      <c r="D628" s="84" t="s">
        <v>28</v>
      </c>
      <c r="E628" s="84" t="s">
        <v>719</v>
      </c>
      <c r="F628" s="84"/>
      <c r="G628" s="87">
        <f t="shared" ref="G628:I628" si="156">G629</f>
        <v>0</v>
      </c>
      <c r="H628" s="87">
        <f t="shared" si="156"/>
        <v>0</v>
      </c>
      <c r="I628" s="87">
        <f t="shared" si="156"/>
        <v>0</v>
      </c>
      <c r="J628" s="177"/>
    </row>
    <row r="629" spans="1:18" ht="39.75" hidden="1" customHeight="1">
      <c r="A629" s="82" t="s">
        <v>96</v>
      </c>
      <c r="B629" s="84" t="s">
        <v>94</v>
      </c>
      <c r="C629" s="84" t="s">
        <v>26</v>
      </c>
      <c r="D629" s="84" t="s">
        <v>28</v>
      </c>
      <c r="E629" s="84" t="s">
        <v>719</v>
      </c>
      <c r="F629" s="84" t="s">
        <v>31</v>
      </c>
      <c r="G629" s="87">
        <f>G630</f>
        <v>0</v>
      </c>
      <c r="H629" s="87">
        <f>H630</f>
        <v>0</v>
      </c>
      <c r="I629" s="87">
        <f>I630</f>
        <v>0</v>
      </c>
      <c r="J629" s="177"/>
    </row>
    <row r="630" spans="1:18" ht="46.5" hidden="1" customHeight="1">
      <c r="A630" s="82" t="s">
        <v>421</v>
      </c>
      <c r="B630" s="84" t="s">
        <v>94</v>
      </c>
      <c r="C630" s="84" t="s">
        <v>26</v>
      </c>
      <c r="D630" s="84" t="s">
        <v>28</v>
      </c>
      <c r="E630" s="84" t="s">
        <v>719</v>
      </c>
      <c r="F630" s="84" t="s">
        <v>33</v>
      </c>
      <c r="G630" s="87"/>
      <c r="H630" s="87">
        <v>0</v>
      </c>
      <c r="I630" s="87">
        <v>0</v>
      </c>
      <c r="J630" s="177"/>
    </row>
    <row r="631" spans="1:18" ht="54" hidden="1" customHeight="1">
      <c r="A631" s="82" t="s">
        <v>695</v>
      </c>
      <c r="B631" s="84" t="s">
        <v>94</v>
      </c>
      <c r="C631" s="84" t="s">
        <v>26</v>
      </c>
      <c r="D631" s="84" t="s">
        <v>28</v>
      </c>
      <c r="E631" s="84" t="s">
        <v>694</v>
      </c>
      <c r="F631" s="84"/>
      <c r="G631" s="87">
        <f t="shared" ref="G631:I631" si="157">G632</f>
        <v>0</v>
      </c>
      <c r="H631" s="87">
        <f t="shared" si="157"/>
        <v>0</v>
      </c>
      <c r="I631" s="87">
        <f t="shared" si="157"/>
        <v>0</v>
      </c>
      <c r="J631" s="177"/>
    </row>
    <row r="632" spans="1:18" ht="46.5" hidden="1" customHeight="1">
      <c r="A632" s="82" t="s">
        <v>96</v>
      </c>
      <c r="B632" s="84" t="s">
        <v>94</v>
      </c>
      <c r="C632" s="84" t="s">
        <v>26</v>
      </c>
      <c r="D632" s="84" t="s">
        <v>28</v>
      </c>
      <c r="E632" s="84" t="s">
        <v>694</v>
      </c>
      <c r="F632" s="84" t="s">
        <v>349</v>
      </c>
      <c r="G632" s="87">
        <f>G633</f>
        <v>0</v>
      </c>
      <c r="H632" s="87">
        <f>H633</f>
        <v>0</v>
      </c>
      <c r="I632" s="87">
        <f>I633</f>
        <v>0</v>
      </c>
      <c r="J632" s="177"/>
    </row>
    <row r="633" spans="1:18" ht="52.5" hidden="1" customHeight="1">
      <c r="A633" s="82" t="s">
        <v>421</v>
      </c>
      <c r="B633" s="84" t="s">
        <v>94</v>
      </c>
      <c r="C633" s="84" t="s">
        <v>26</v>
      </c>
      <c r="D633" s="84" t="s">
        <v>28</v>
      </c>
      <c r="E633" s="84" t="s">
        <v>694</v>
      </c>
      <c r="F633" s="84" t="s">
        <v>420</v>
      </c>
      <c r="G633" s="87"/>
      <c r="H633" s="87">
        <v>0</v>
      </c>
      <c r="I633" s="87">
        <v>0</v>
      </c>
      <c r="J633" s="177"/>
    </row>
    <row r="634" spans="1:18" ht="25.5">
      <c r="A634" s="82" t="s">
        <v>0</v>
      </c>
      <c r="B634" s="149">
        <v>774</v>
      </c>
      <c r="C634" s="84" t="s">
        <v>26</v>
      </c>
      <c r="D634" s="84" t="s">
        <v>28</v>
      </c>
      <c r="E634" s="84" t="s">
        <v>218</v>
      </c>
      <c r="F634" s="84"/>
      <c r="G634" s="85">
        <f>G718+G664+G670+G673+G676+G679+G682+G721+G635+G644+G653+G656+G659+G683+G707+G647+G652+G665+G638+G704+G710+G713+G641+G686+G689+G692+G695+G698+G701</f>
        <v>168398974.15000001</v>
      </c>
      <c r="H634" s="85">
        <f t="shared" ref="H634:I634" si="158">H718+H664+H670+H673+H676+H679+H682+H721+H635+H644+H653+H656+H659+H683+H707+H647+H652+H665+H638</f>
        <v>57747891.32</v>
      </c>
      <c r="I634" s="85">
        <f t="shared" si="158"/>
        <v>6562202</v>
      </c>
      <c r="J634" s="178"/>
    </row>
    <row r="635" spans="1:18" ht="29.25" customHeight="1">
      <c r="A635" s="82" t="s">
        <v>955</v>
      </c>
      <c r="B635" s="84" t="s">
        <v>94</v>
      </c>
      <c r="C635" s="84" t="s">
        <v>26</v>
      </c>
      <c r="D635" s="84" t="s">
        <v>28</v>
      </c>
      <c r="E635" s="84" t="s">
        <v>954</v>
      </c>
      <c r="F635" s="84"/>
      <c r="G635" s="87">
        <f t="shared" ref="G635:I642" si="159">G636</f>
        <v>2884872.88</v>
      </c>
      <c r="H635" s="87">
        <f t="shared" si="159"/>
        <v>15540116.210000001</v>
      </c>
      <c r="I635" s="87">
        <f t="shared" si="159"/>
        <v>0</v>
      </c>
      <c r="J635" s="177"/>
    </row>
    <row r="636" spans="1:18" ht="25.5">
      <c r="A636" s="82" t="s">
        <v>30</v>
      </c>
      <c r="B636" s="84" t="s">
        <v>94</v>
      </c>
      <c r="C636" s="84" t="s">
        <v>26</v>
      </c>
      <c r="D636" s="84" t="s">
        <v>28</v>
      </c>
      <c r="E636" s="84" t="s">
        <v>954</v>
      </c>
      <c r="F636" s="84" t="s">
        <v>31</v>
      </c>
      <c r="G636" s="87">
        <f t="shared" si="159"/>
        <v>2884872.88</v>
      </c>
      <c r="H636" s="87">
        <f t="shared" si="159"/>
        <v>15540116.210000001</v>
      </c>
      <c r="I636" s="87">
        <f t="shared" si="159"/>
        <v>0</v>
      </c>
      <c r="J636" s="177"/>
    </row>
    <row r="637" spans="1:18">
      <c r="A637" s="82" t="s">
        <v>32</v>
      </c>
      <c r="B637" s="84" t="s">
        <v>94</v>
      </c>
      <c r="C637" s="84" t="s">
        <v>26</v>
      </c>
      <c r="D637" s="84" t="s">
        <v>28</v>
      </c>
      <c r="E637" s="84" t="s">
        <v>954</v>
      </c>
      <c r="F637" s="84" t="s">
        <v>33</v>
      </c>
      <c r="G637" s="87">
        <v>2884872.88</v>
      </c>
      <c r="H637" s="87">
        <v>15540116.210000001</v>
      </c>
      <c r="I637" s="87">
        <v>0</v>
      </c>
      <c r="J637" s="177"/>
    </row>
    <row r="638" spans="1:18" ht="59.25" customHeight="1">
      <c r="A638" s="82" t="s">
        <v>1061</v>
      </c>
      <c r="B638" s="84" t="s">
        <v>94</v>
      </c>
      <c r="C638" s="84" t="s">
        <v>26</v>
      </c>
      <c r="D638" s="84" t="s">
        <v>28</v>
      </c>
      <c r="E638" s="84" t="s">
        <v>1060</v>
      </c>
      <c r="F638" s="84"/>
      <c r="G638" s="87">
        <f t="shared" si="159"/>
        <v>250000</v>
      </c>
      <c r="H638" s="87">
        <f t="shared" si="159"/>
        <v>0</v>
      </c>
      <c r="I638" s="87">
        <f t="shared" si="159"/>
        <v>0</v>
      </c>
      <c r="J638" s="177"/>
    </row>
    <row r="639" spans="1:18" ht="25.5">
      <c r="A639" s="82" t="s">
        <v>30</v>
      </c>
      <c r="B639" s="84" t="s">
        <v>94</v>
      </c>
      <c r="C639" s="84" t="s">
        <v>26</v>
      </c>
      <c r="D639" s="84" t="s">
        <v>28</v>
      </c>
      <c r="E639" s="84" t="s">
        <v>1060</v>
      </c>
      <c r="F639" s="84" t="s">
        <v>31</v>
      </c>
      <c r="G639" s="87">
        <f t="shared" si="159"/>
        <v>250000</v>
      </c>
      <c r="H639" s="87">
        <f t="shared" si="159"/>
        <v>0</v>
      </c>
      <c r="I639" s="87">
        <f t="shared" si="159"/>
        <v>0</v>
      </c>
      <c r="J639" s="177"/>
    </row>
    <row r="640" spans="1:18">
      <c r="A640" s="82" t="s">
        <v>32</v>
      </c>
      <c r="B640" s="84" t="s">
        <v>94</v>
      </c>
      <c r="C640" s="84" t="s">
        <v>26</v>
      </c>
      <c r="D640" s="84" t="s">
        <v>28</v>
      </c>
      <c r="E640" s="84" t="s">
        <v>1060</v>
      </c>
      <c r="F640" s="84" t="s">
        <v>33</v>
      </c>
      <c r="G640" s="87">
        <v>250000</v>
      </c>
      <c r="H640" s="87">
        <v>0</v>
      </c>
      <c r="I640" s="87">
        <v>0</v>
      </c>
      <c r="J640" s="177"/>
    </row>
    <row r="641" spans="1:18" ht="59.25" customHeight="1">
      <c r="A641" s="82" t="s">
        <v>1084</v>
      </c>
      <c r="B641" s="84" t="s">
        <v>94</v>
      </c>
      <c r="C641" s="84" t="s">
        <v>26</v>
      </c>
      <c r="D641" s="84" t="s">
        <v>28</v>
      </c>
      <c r="E641" s="84" t="s">
        <v>1083</v>
      </c>
      <c r="F641" s="84"/>
      <c r="G641" s="87">
        <f t="shared" si="159"/>
        <v>1737958.8</v>
      </c>
      <c r="H641" s="87">
        <f t="shared" si="159"/>
        <v>0</v>
      </c>
      <c r="I641" s="87">
        <f t="shared" si="159"/>
        <v>0</v>
      </c>
      <c r="J641" s="177"/>
    </row>
    <row r="642" spans="1:18" ht="25.5">
      <c r="A642" s="82" t="s">
        <v>30</v>
      </c>
      <c r="B642" s="84" t="s">
        <v>94</v>
      </c>
      <c r="C642" s="84" t="s">
        <v>26</v>
      </c>
      <c r="D642" s="84" t="s">
        <v>28</v>
      </c>
      <c r="E642" s="84" t="s">
        <v>1083</v>
      </c>
      <c r="F642" s="84" t="s">
        <v>31</v>
      </c>
      <c r="G642" s="87">
        <f t="shared" si="159"/>
        <v>1737958.8</v>
      </c>
      <c r="H642" s="87">
        <f t="shared" si="159"/>
        <v>0</v>
      </c>
      <c r="I642" s="87">
        <f t="shared" si="159"/>
        <v>0</v>
      </c>
      <c r="J642" s="177"/>
    </row>
    <row r="643" spans="1:18">
      <c r="A643" s="82" t="s">
        <v>32</v>
      </c>
      <c r="B643" s="84" t="s">
        <v>94</v>
      </c>
      <c r="C643" s="84" t="s">
        <v>26</v>
      </c>
      <c r="D643" s="84" t="s">
        <v>28</v>
      </c>
      <c r="E643" s="84" t="s">
        <v>1083</v>
      </c>
      <c r="F643" s="84" t="s">
        <v>33</v>
      </c>
      <c r="G643" s="87">
        <v>1737958.8</v>
      </c>
      <c r="H643" s="87">
        <v>0</v>
      </c>
      <c r="I643" s="87">
        <v>0</v>
      </c>
      <c r="J643" s="177"/>
    </row>
    <row r="644" spans="1:18" s="3" customFormat="1" ht="39" customHeight="1">
      <c r="A644" s="82" t="s">
        <v>822</v>
      </c>
      <c r="B644" s="149">
        <v>774</v>
      </c>
      <c r="C644" s="84" t="s">
        <v>26</v>
      </c>
      <c r="D644" s="84" t="s">
        <v>28</v>
      </c>
      <c r="E644" s="84" t="s">
        <v>447</v>
      </c>
      <c r="F644" s="84"/>
      <c r="G644" s="87">
        <f>G645</f>
        <v>500000</v>
      </c>
      <c r="H644" s="87">
        <f t="shared" ref="H644:I644" si="160">H645</f>
        <v>500000</v>
      </c>
      <c r="I644" s="87">
        <f t="shared" si="160"/>
        <v>500000</v>
      </c>
      <c r="J644" s="177"/>
      <c r="K644" s="199"/>
      <c r="L644" s="199"/>
      <c r="M644" s="199"/>
      <c r="N644" s="199"/>
      <c r="O644" s="199"/>
      <c r="P644" s="199"/>
      <c r="Q644" s="199"/>
      <c r="R644" s="199"/>
    </row>
    <row r="645" spans="1:18" s="3" customFormat="1" ht="39" customHeight="1">
      <c r="A645" s="82" t="s">
        <v>30</v>
      </c>
      <c r="B645" s="149">
        <v>774</v>
      </c>
      <c r="C645" s="84" t="s">
        <v>26</v>
      </c>
      <c r="D645" s="84" t="s">
        <v>28</v>
      </c>
      <c r="E645" s="84" t="s">
        <v>447</v>
      </c>
      <c r="F645" s="84" t="s">
        <v>31</v>
      </c>
      <c r="G645" s="87">
        <f>G646</f>
        <v>500000</v>
      </c>
      <c r="H645" s="87">
        <f t="shared" ref="H645:I645" si="161">H646</f>
        <v>500000</v>
      </c>
      <c r="I645" s="87">
        <f t="shared" si="161"/>
        <v>500000</v>
      </c>
      <c r="J645" s="177"/>
      <c r="K645" s="199"/>
      <c r="L645" s="199"/>
      <c r="M645" s="199"/>
      <c r="N645" s="199"/>
      <c r="O645" s="199"/>
      <c r="P645" s="199"/>
      <c r="Q645" s="199"/>
      <c r="R645" s="199"/>
    </row>
    <row r="646" spans="1:18" s="3" customFormat="1" ht="13.5" customHeight="1">
      <c r="A646" s="82" t="s">
        <v>32</v>
      </c>
      <c r="B646" s="149">
        <v>774</v>
      </c>
      <c r="C646" s="84" t="s">
        <v>26</v>
      </c>
      <c r="D646" s="84" t="s">
        <v>28</v>
      </c>
      <c r="E646" s="84" t="s">
        <v>447</v>
      </c>
      <c r="F646" s="84" t="s">
        <v>33</v>
      </c>
      <c r="G646" s="87">
        <v>500000</v>
      </c>
      <c r="H646" s="87">
        <v>500000</v>
      </c>
      <c r="I646" s="87">
        <v>500000</v>
      </c>
      <c r="J646" s="177"/>
      <c r="K646" s="199"/>
      <c r="L646" s="199"/>
      <c r="M646" s="199"/>
      <c r="N646" s="199"/>
      <c r="O646" s="199"/>
      <c r="P646" s="199"/>
      <c r="Q646" s="199"/>
      <c r="R646" s="199"/>
    </row>
    <row r="647" spans="1:18" s="3" customFormat="1" ht="38.25">
      <c r="A647" s="82" t="s">
        <v>902</v>
      </c>
      <c r="B647" s="149">
        <v>774</v>
      </c>
      <c r="C647" s="84" t="s">
        <v>26</v>
      </c>
      <c r="D647" s="84" t="s">
        <v>28</v>
      </c>
      <c r="E647" s="84" t="s">
        <v>901</v>
      </c>
      <c r="F647" s="84"/>
      <c r="G647" s="87">
        <f>G648</f>
        <v>600000</v>
      </c>
      <c r="H647" s="87">
        <f t="shared" ref="H647:I651" si="162">H648</f>
        <v>0</v>
      </c>
      <c r="I647" s="87">
        <f t="shared" si="162"/>
        <v>0</v>
      </c>
      <c r="J647" s="177"/>
      <c r="K647" s="199"/>
      <c r="L647" s="199"/>
      <c r="M647" s="199"/>
      <c r="N647" s="199"/>
      <c r="O647" s="199"/>
      <c r="P647" s="199"/>
      <c r="Q647" s="199"/>
      <c r="R647" s="199"/>
    </row>
    <row r="648" spans="1:18" s="3" customFormat="1" ht="33" customHeight="1">
      <c r="A648" s="82" t="s">
        <v>30</v>
      </c>
      <c r="B648" s="149">
        <v>774</v>
      </c>
      <c r="C648" s="84" t="s">
        <v>26</v>
      </c>
      <c r="D648" s="84" t="s">
        <v>28</v>
      </c>
      <c r="E648" s="84" t="s">
        <v>901</v>
      </c>
      <c r="F648" s="84" t="s">
        <v>31</v>
      </c>
      <c r="G648" s="87">
        <f>G649</f>
        <v>600000</v>
      </c>
      <c r="H648" s="87">
        <f t="shared" si="162"/>
        <v>0</v>
      </c>
      <c r="I648" s="87">
        <f t="shared" si="162"/>
        <v>0</v>
      </c>
      <c r="J648" s="177"/>
      <c r="K648" s="199"/>
      <c r="L648" s="199"/>
      <c r="M648" s="199"/>
      <c r="N648" s="199"/>
      <c r="O648" s="199"/>
      <c r="P648" s="199"/>
      <c r="Q648" s="199"/>
      <c r="R648" s="199"/>
    </row>
    <row r="649" spans="1:18" s="3" customFormat="1">
      <c r="A649" s="82" t="s">
        <v>32</v>
      </c>
      <c r="B649" s="149">
        <v>774</v>
      </c>
      <c r="C649" s="84" t="s">
        <v>26</v>
      </c>
      <c r="D649" s="84" t="s">
        <v>28</v>
      </c>
      <c r="E649" s="84" t="s">
        <v>901</v>
      </c>
      <c r="F649" s="84" t="s">
        <v>33</v>
      </c>
      <c r="G649" s="87">
        <v>600000</v>
      </c>
      <c r="H649" s="87">
        <v>0</v>
      </c>
      <c r="I649" s="87">
        <v>0</v>
      </c>
      <c r="J649" s="177"/>
      <c r="K649" s="199"/>
      <c r="L649" s="199"/>
      <c r="M649" s="199"/>
      <c r="N649" s="199"/>
      <c r="O649" s="199"/>
      <c r="P649" s="199"/>
      <c r="Q649" s="199"/>
      <c r="R649" s="199"/>
    </row>
    <row r="650" spans="1:18" s="3" customFormat="1" ht="38.25">
      <c r="A650" s="82" t="s">
        <v>904</v>
      </c>
      <c r="B650" s="149">
        <v>774</v>
      </c>
      <c r="C650" s="84" t="s">
        <v>26</v>
      </c>
      <c r="D650" s="84" t="s">
        <v>28</v>
      </c>
      <c r="E650" s="84" t="s">
        <v>903</v>
      </c>
      <c r="F650" s="84"/>
      <c r="G650" s="87">
        <f>G651</f>
        <v>0</v>
      </c>
      <c r="H650" s="87">
        <f t="shared" si="162"/>
        <v>700000</v>
      </c>
      <c r="I650" s="87">
        <f t="shared" si="162"/>
        <v>0</v>
      </c>
      <c r="J650" s="177"/>
      <c r="K650" s="199"/>
      <c r="L650" s="199"/>
      <c r="M650" s="199"/>
      <c r="N650" s="199"/>
      <c r="O650" s="199"/>
      <c r="P650" s="199"/>
      <c r="Q650" s="199"/>
      <c r="R650" s="199"/>
    </row>
    <row r="651" spans="1:18" s="3" customFormat="1" ht="33" customHeight="1">
      <c r="A651" s="82" t="s">
        <v>30</v>
      </c>
      <c r="B651" s="149">
        <v>774</v>
      </c>
      <c r="C651" s="84" t="s">
        <v>26</v>
      </c>
      <c r="D651" s="84" t="s">
        <v>28</v>
      </c>
      <c r="E651" s="84" t="s">
        <v>903</v>
      </c>
      <c r="F651" s="84" t="s">
        <v>31</v>
      </c>
      <c r="G651" s="87">
        <f>G652</f>
        <v>0</v>
      </c>
      <c r="H651" s="87">
        <f t="shared" si="162"/>
        <v>700000</v>
      </c>
      <c r="I651" s="87">
        <f t="shared" si="162"/>
        <v>0</v>
      </c>
      <c r="J651" s="177"/>
      <c r="K651" s="199"/>
      <c r="L651" s="199"/>
      <c r="M651" s="199"/>
      <c r="N651" s="199"/>
      <c r="O651" s="199"/>
      <c r="P651" s="199"/>
      <c r="Q651" s="199"/>
      <c r="R651" s="199"/>
    </row>
    <row r="652" spans="1:18" s="3" customFormat="1">
      <c r="A652" s="82" t="s">
        <v>32</v>
      </c>
      <c r="B652" s="149">
        <v>774</v>
      </c>
      <c r="C652" s="84" t="s">
        <v>26</v>
      </c>
      <c r="D652" s="84" t="s">
        <v>28</v>
      </c>
      <c r="E652" s="84" t="s">
        <v>903</v>
      </c>
      <c r="F652" s="84" t="s">
        <v>33</v>
      </c>
      <c r="G652" s="87">
        <v>0</v>
      </c>
      <c r="H652" s="87">
        <v>700000</v>
      </c>
      <c r="I652" s="87"/>
      <c r="J652" s="177"/>
      <c r="K652" s="199"/>
      <c r="L652" s="199"/>
      <c r="M652" s="199"/>
      <c r="N652" s="199"/>
      <c r="O652" s="199"/>
      <c r="P652" s="199"/>
      <c r="Q652" s="199"/>
      <c r="R652" s="199"/>
    </row>
    <row r="653" spans="1:18" s="3" customFormat="1" ht="38.25" hidden="1">
      <c r="A653" s="82" t="s">
        <v>823</v>
      </c>
      <c r="B653" s="149">
        <v>774</v>
      </c>
      <c r="C653" s="84" t="s">
        <v>26</v>
      </c>
      <c r="D653" s="84" t="s">
        <v>28</v>
      </c>
      <c r="E653" s="84" t="s">
        <v>772</v>
      </c>
      <c r="F653" s="84"/>
      <c r="G653" s="87">
        <f t="shared" ref="G653:I660" si="163">G654</f>
        <v>0</v>
      </c>
      <c r="H653" s="87">
        <f t="shared" si="163"/>
        <v>0</v>
      </c>
      <c r="I653" s="87">
        <f t="shared" si="163"/>
        <v>0</v>
      </c>
      <c r="J653" s="177"/>
      <c r="K653" s="199"/>
      <c r="L653" s="199"/>
      <c r="M653" s="199"/>
      <c r="N653" s="199"/>
      <c r="O653" s="199"/>
      <c r="P653" s="199"/>
      <c r="Q653" s="199"/>
      <c r="R653" s="199"/>
    </row>
    <row r="654" spans="1:18" s="3" customFormat="1" ht="25.5" hidden="1">
      <c r="A654" s="82" t="s">
        <v>30</v>
      </c>
      <c r="B654" s="149">
        <v>774</v>
      </c>
      <c r="C654" s="84" t="s">
        <v>26</v>
      </c>
      <c r="D654" s="84" t="s">
        <v>28</v>
      </c>
      <c r="E654" s="84" t="s">
        <v>772</v>
      </c>
      <c r="F654" s="84" t="s">
        <v>31</v>
      </c>
      <c r="G654" s="87">
        <f t="shared" si="163"/>
        <v>0</v>
      </c>
      <c r="H654" s="87">
        <f t="shared" si="163"/>
        <v>0</v>
      </c>
      <c r="I654" s="87">
        <f t="shared" si="163"/>
        <v>0</v>
      </c>
      <c r="J654" s="177"/>
      <c r="K654" s="199"/>
      <c r="L654" s="199"/>
      <c r="M654" s="199"/>
      <c r="N654" s="199"/>
      <c r="O654" s="199"/>
      <c r="P654" s="199"/>
      <c r="Q654" s="199"/>
      <c r="R654" s="199"/>
    </row>
    <row r="655" spans="1:18" s="3" customFormat="1" hidden="1">
      <c r="A655" s="82" t="s">
        <v>32</v>
      </c>
      <c r="B655" s="149">
        <v>774</v>
      </c>
      <c r="C655" s="84" t="s">
        <v>26</v>
      </c>
      <c r="D655" s="84" t="s">
        <v>28</v>
      </c>
      <c r="E655" s="84" t="s">
        <v>772</v>
      </c>
      <c r="F655" s="84" t="s">
        <v>33</v>
      </c>
      <c r="G655" s="87"/>
      <c r="H655" s="87"/>
      <c r="I655" s="87"/>
      <c r="J655" s="177"/>
      <c r="K655" s="199"/>
      <c r="L655" s="199"/>
      <c r="M655" s="199"/>
      <c r="N655" s="199"/>
      <c r="O655" s="199"/>
      <c r="P655" s="199"/>
      <c r="Q655" s="199"/>
      <c r="R655" s="199"/>
    </row>
    <row r="656" spans="1:18" s="3" customFormat="1">
      <c r="A656" s="82" t="s">
        <v>886</v>
      </c>
      <c r="B656" s="149">
        <v>774</v>
      </c>
      <c r="C656" s="84" t="s">
        <v>26</v>
      </c>
      <c r="D656" s="84" t="s">
        <v>28</v>
      </c>
      <c r="E656" s="84" t="s">
        <v>885</v>
      </c>
      <c r="F656" s="84"/>
      <c r="G656" s="87">
        <f t="shared" si="163"/>
        <v>2030562.73</v>
      </c>
      <c r="H656" s="87">
        <f t="shared" si="163"/>
        <v>337450.6</v>
      </c>
      <c r="I656" s="87">
        <f t="shared" si="163"/>
        <v>0</v>
      </c>
      <c r="J656" s="177"/>
      <c r="K656" s="199"/>
      <c r="L656" s="199"/>
      <c r="M656" s="199"/>
      <c r="N656" s="199"/>
      <c r="O656" s="199"/>
      <c r="P656" s="199"/>
      <c r="Q656" s="199"/>
      <c r="R656" s="199"/>
    </row>
    <row r="657" spans="1:18" s="3" customFormat="1" ht="25.5">
      <c r="A657" s="82" t="s">
        <v>30</v>
      </c>
      <c r="B657" s="149">
        <v>774</v>
      </c>
      <c r="C657" s="84" t="s">
        <v>26</v>
      </c>
      <c r="D657" s="84" t="s">
        <v>28</v>
      </c>
      <c r="E657" s="84" t="s">
        <v>885</v>
      </c>
      <c r="F657" s="84" t="s">
        <v>31</v>
      </c>
      <c r="G657" s="87">
        <f t="shared" si="163"/>
        <v>2030562.73</v>
      </c>
      <c r="H657" s="87">
        <f t="shared" si="163"/>
        <v>337450.6</v>
      </c>
      <c r="I657" s="87">
        <f t="shared" si="163"/>
        <v>0</v>
      </c>
      <c r="J657" s="177"/>
      <c r="K657" s="199"/>
      <c r="L657" s="199"/>
      <c r="M657" s="199"/>
      <c r="N657" s="199"/>
      <c r="O657" s="199"/>
      <c r="P657" s="199"/>
      <c r="Q657" s="199"/>
      <c r="R657" s="199"/>
    </row>
    <row r="658" spans="1:18" s="3" customFormat="1">
      <c r="A658" s="82" t="s">
        <v>32</v>
      </c>
      <c r="B658" s="149">
        <v>774</v>
      </c>
      <c r="C658" s="84" t="s">
        <v>26</v>
      </c>
      <c r="D658" s="84" t="s">
        <v>28</v>
      </c>
      <c r="E658" s="84" t="s">
        <v>885</v>
      </c>
      <c r="F658" s="84" t="s">
        <v>33</v>
      </c>
      <c r="G658" s="87">
        <f>3764124-1733561.27</f>
        <v>2030562.73</v>
      </c>
      <c r="H658" s="87">
        <v>337450.6</v>
      </c>
      <c r="I658" s="87">
        <v>0</v>
      </c>
      <c r="J658" s="177"/>
      <c r="K658" s="199"/>
      <c r="L658" s="199"/>
      <c r="M658" s="199"/>
      <c r="N658" s="199"/>
      <c r="O658" s="199"/>
      <c r="P658" s="199"/>
      <c r="Q658" s="199"/>
      <c r="R658" s="199"/>
    </row>
    <row r="659" spans="1:18" s="3" customFormat="1" ht="25.5" customHeight="1">
      <c r="A659" s="82" t="s">
        <v>888</v>
      </c>
      <c r="B659" s="149">
        <v>774</v>
      </c>
      <c r="C659" s="84" t="s">
        <v>26</v>
      </c>
      <c r="D659" s="84" t="s">
        <v>28</v>
      </c>
      <c r="E659" s="84" t="s">
        <v>887</v>
      </c>
      <c r="F659" s="84"/>
      <c r="G659" s="87">
        <f t="shared" si="163"/>
        <v>500000</v>
      </c>
      <c r="H659" s="87">
        <f t="shared" si="163"/>
        <v>500000</v>
      </c>
      <c r="I659" s="87">
        <f t="shared" si="163"/>
        <v>500000</v>
      </c>
      <c r="J659" s="177"/>
      <c r="K659" s="199"/>
      <c r="L659" s="199"/>
      <c r="M659" s="199"/>
      <c r="N659" s="199"/>
      <c r="O659" s="199"/>
      <c r="P659" s="199"/>
      <c r="Q659" s="199"/>
      <c r="R659" s="199"/>
    </row>
    <row r="660" spans="1:18" s="3" customFormat="1" ht="25.5">
      <c r="A660" s="82" t="s">
        <v>30</v>
      </c>
      <c r="B660" s="149">
        <v>774</v>
      </c>
      <c r="C660" s="84" t="s">
        <v>26</v>
      </c>
      <c r="D660" s="84" t="s">
        <v>28</v>
      </c>
      <c r="E660" s="84" t="s">
        <v>887</v>
      </c>
      <c r="F660" s="84" t="s">
        <v>31</v>
      </c>
      <c r="G660" s="87">
        <f t="shared" si="163"/>
        <v>500000</v>
      </c>
      <c r="H660" s="87">
        <f t="shared" si="163"/>
        <v>500000</v>
      </c>
      <c r="I660" s="87">
        <f t="shared" si="163"/>
        <v>500000</v>
      </c>
      <c r="J660" s="177"/>
      <c r="K660" s="199"/>
      <c r="L660" s="199"/>
      <c r="M660" s="199"/>
      <c r="N660" s="199"/>
      <c r="O660" s="199"/>
      <c r="P660" s="199"/>
      <c r="Q660" s="199"/>
      <c r="R660" s="199"/>
    </row>
    <row r="661" spans="1:18" s="3" customFormat="1">
      <c r="A661" s="82" t="s">
        <v>32</v>
      </c>
      <c r="B661" s="149">
        <v>774</v>
      </c>
      <c r="C661" s="84" t="s">
        <v>26</v>
      </c>
      <c r="D661" s="84" t="s">
        <v>28</v>
      </c>
      <c r="E661" s="84" t="s">
        <v>887</v>
      </c>
      <c r="F661" s="84" t="s">
        <v>33</v>
      </c>
      <c r="G661" s="87">
        <v>500000</v>
      </c>
      <c r="H661" s="87">
        <v>500000</v>
      </c>
      <c r="I661" s="87">
        <v>500000</v>
      </c>
      <c r="J661" s="177"/>
      <c r="K661" s="199"/>
      <c r="L661" s="199"/>
      <c r="M661" s="199"/>
      <c r="N661" s="199"/>
      <c r="O661" s="199"/>
      <c r="P661" s="199"/>
      <c r="Q661" s="199"/>
      <c r="R661" s="199"/>
    </row>
    <row r="662" spans="1:18" s="3" customFormat="1" ht="25.5">
      <c r="A662" s="82" t="s">
        <v>1015</v>
      </c>
      <c r="B662" s="149">
        <v>774</v>
      </c>
      <c r="C662" s="84" t="s">
        <v>26</v>
      </c>
      <c r="D662" s="84" t="s">
        <v>28</v>
      </c>
      <c r="E662" s="84" t="s">
        <v>219</v>
      </c>
      <c r="F662" s="84"/>
      <c r="G662" s="87">
        <f t="shared" ref="G662:I666" si="164">G663</f>
        <v>336259</v>
      </c>
      <c r="H662" s="87">
        <f t="shared" si="164"/>
        <v>2383020</v>
      </c>
      <c r="I662" s="87">
        <f t="shared" si="164"/>
        <v>0</v>
      </c>
      <c r="J662" s="177"/>
      <c r="K662" s="199"/>
      <c r="L662" s="199"/>
      <c r="M662" s="199"/>
      <c r="N662" s="199"/>
      <c r="O662" s="199"/>
      <c r="P662" s="199"/>
      <c r="Q662" s="199"/>
      <c r="R662" s="199"/>
    </row>
    <row r="663" spans="1:18" s="3" customFormat="1" ht="25.5">
      <c r="A663" s="82" t="s">
        <v>30</v>
      </c>
      <c r="B663" s="149">
        <v>774</v>
      </c>
      <c r="C663" s="84" t="s">
        <v>26</v>
      </c>
      <c r="D663" s="84" t="s">
        <v>28</v>
      </c>
      <c r="E663" s="84" t="s">
        <v>219</v>
      </c>
      <c r="F663" s="84" t="s">
        <v>31</v>
      </c>
      <c r="G663" s="87">
        <f t="shared" si="164"/>
        <v>336259</v>
      </c>
      <c r="H663" s="87">
        <f t="shared" si="164"/>
        <v>2383020</v>
      </c>
      <c r="I663" s="87">
        <f t="shared" si="164"/>
        <v>0</v>
      </c>
      <c r="J663" s="177"/>
      <c r="K663" s="199"/>
      <c r="L663" s="199"/>
      <c r="M663" s="199"/>
      <c r="N663" s="199"/>
      <c r="O663" s="199"/>
      <c r="P663" s="199"/>
      <c r="Q663" s="199"/>
      <c r="R663" s="199"/>
    </row>
    <row r="664" spans="1:18" s="3" customFormat="1">
      <c r="A664" s="82" t="s">
        <v>32</v>
      </c>
      <c r="B664" s="149">
        <v>774</v>
      </c>
      <c r="C664" s="84" t="s">
        <v>26</v>
      </c>
      <c r="D664" s="84" t="s">
        <v>28</v>
      </c>
      <c r="E664" s="84" t="s">
        <v>219</v>
      </c>
      <c r="F664" s="84" t="s">
        <v>33</v>
      </c>
      <c r="G664" s="87">
        <f>336259</f>
        <v>336259</v>
      </c>
      <c r="H664" s="87">
        <v>2383020</v>
      </c>
      <c r="I664" s="87">
        <v>0</v>
      </c>
      <c r="J664" s="177"/>
      <c r="K664" s="199"/>
      <c r="L664" s="199"/>
      <c r="M664" s="199"/>
      <c r="N664" s="199"/>
      <c r="O664" s="199"/>
      <c r="P664" s="199"/>
      <c r="Q664" s="199"/>
      <c r="R664" s="199"/>
    </row>
    <row r="665" spans="1:18" s="3" customFormat="1" ht="25.5">
      <c r="A665" s="82" t="s">
        <v>1014</v>
      </c>
      <c r="B665" s="149">
        <v>774</v>
      </c>
      <c r="C665" s="84" t="s">
        <v>26</v>
      </c>
      <c r="D665" s="84" t="s">
        <v>28</v>
      </c>
      <c r="E665" s="84" t="s">
        <v>1012</v>
      </c>
      <c r="F665" s="84"/>
      <c r="G665" s="87">
        <f t="shared" si="164"/>
        <v>2155919.15</v>
      </c>
      <c r="H665" s="87">
        <f t="shared" si="164"/>
        <v>1375565</v>
      </c>
      <c r="I665" s="87">
        <f t="shared" si="164"/>
        <v>2375565</v>
      </c>
      <c r="J665" s="177"/>
      <c r="K665" s="199"/>
      <c r="L665" s="199"/>
      <c r="M665" s="199"/>
      <c r="N665" s="199"/>
      <c r="O665" s="199"/>
      <c r="P665" s="199"/>
      <c r="Q665" s="199"/>
      <c r="R665" s="199"/>
    </row>
    <row r="666" spans="1:18" s="3" customFormat="1" ht="25.5">
      <c r="A666" s="82" t="s">
        <v>30</v>
      </c>
      <c r="B666" s="149">
        <v>774</v>
      </c>
      <c r="C666" s="84" t="s">
        <v>26</v>
      </c>
      <c r="D666" s="84" t="s">
        <v>28</v>
      </c>
      <c r="E666" s="84" t="s">
        <v>1012</v>
      </c>
      <c r="F666" s="84" t="s">
        <v>31</v>
      </c>
      <c r="G666" s="87">
        <f t="shared" si="164"/>
        <v>2155919.15</v>
      </c>
      <c r="H666" s="87">
        <f t="shared" si="164"/>
        <v>1375565</v>
      </c>
      <c r="I666" s="87">
        <f t="shared" si="164"/>
        <v>2375565</v>
      </c>
      <c r="J666" s="177"/>
      <c r="K666" s="199"/>
      <c r="L666" s="199"/>
      <c r="M666" s="199"/>
      <c r="N666" s="199"/>
      <c r="O666" s="199"/>
      <c r="P666" s="199"/>
      <c r="Q666" s="199"/>
      <c r="R666" s="199"/>
    </row>
    <row r="667" spans="1:18" s="3" customFormat="1">
      <c r="A667" s="82" t="s">
        <v>32</v>
      </c>
      <c r="B667" s="149">
        <v>774</v>
      </c>
      <c r="C667" s="84" t="s">
        <v>26</v>
      </c>
      <c r="D667" s="84" t="s">
        <v>28</v>
      </c>
      <c r="E667" s="84" t="s">
        <v>1012</v>
      </c>
      <c r="F667" s="84" t="s">
        <v>33</v>
      </c>
      <c r="G667" s="87">
        <f>1755460+100000+300459.15</f>
        <v>2155919.15</v>
      </c>
      <c r="H667" s="87">
        <v>1375565</v>
      </c>
      <c r="I667" s="87">
        <v>2375565</v>
      </c>
      <c r="J667" s="177"/>
      <c r="K667" s="199"/>
      <c r="L667" s="199"/>
      <c r="M667" s="199"/>
      <c r="N667" s="199"/>
      <c r="O667" s="199"/>
      <c r="P667" s="199"/>
      <c r="Q667" s="199"/>
      <c r="R667" s="199"/>
    </row>
    <row r="668" spans="1:18" s="3" customFormat="1" ht="25.5">
      <c r="A668" s="82" t="s">
        <v>295</v>
      </c>
      <c r="B668" s="149">
        <v>774</v>
      </c>
      <c r="C668" s="84" t="s">
        <v>26</v>
      </c>
      <c r="D668" s="84" t="s">
        <v>28</v>
      </c>
      <c r="E668" s="84" t="s">
        <v>294</v>
      </c>
      <c r="F668" s="84"/>
      <c r="G668" s="87">
        <f t="shared" ref="G668:I669" si="165">G669</f>
        <v>1186637</v>
      </c>
      <c r="H668" s="87">
        <f t="shared" si="165"/>
        <v>1186637</v>
      </c>
      <c r="I668" s="87">
        <f t="shared" si="165"/>
        <v>1186637</v>
      </c>
      <c r="J668" s="177"/>
      <c r="K668" s="199"/>
      <c r="L668" s="199"/>
      <c r="M668" s="199"/>
      <c r="N668" s="199"/>
      <c r="O668" s="199"/>
      <c r="P668" s="199"/>
      <c r="Q668" s="199"/>
      <c r="R668" s="199"/>
    </row>
    <row r="669" spans="1:18" s="3" customFormat="1" ht="25.5">
      <c r="A669" s="82" t="s">
        <v>30</v>
      </c>
      <c r="B669" s="149">
        <v>774</v>
      </c>
      <c r="C669" s="84" t="s">
        <v>26</v>
      </c>
      <c r="D669" s="84" t="s">
        <v>28</v>
      </c>
      <c r="E669" s="84" t="s">
        <v>294</v>
      </c>
      <c r="F669" s="84" t="s">
        <v>31</v>
      </c>
      <c r="G669" s="87">
        <f t="shared" si="165"/>
        <v>1186637</v>
      </c>
      <c r="H669" s="87">
        <f t="shared" si="165"/>
        <v>1186637</v>
      </c>
      <c r="I669" s="87">
        <f t="shared" si="165"/>
        <v>1186637</v>
      </c>
      <c r="J669" s="177"/>
      <c r="K669" s="199"/>
      <c r="L669" s="199"/>
      <c r="M669" s="199"/>
      <c r="N669" s="199"/>
      <c r="O669" s="199"/>
      <c r="P669" s="199"/>
      <c r="Q669" s="199"/>
      <c r="R669" s="199"/>
    </row>
    <row r="670" spans="1:18" s="3" customFormat="1">
      <c r="A670" s="82" t="s">
        <v>32</v>
      </c>
      <c r="B670" s="149">
        <v>774</v>
      </c>
      <c r="C670" s="84" t="s">
        <v>26</v>
      </c>
      <c r="D670" s="84" t="s">
        <v>28</v>
      </c>
      <c r="E670" s="84" t="s">
        <v>294</v>
      </c>
      <c r="F670" s="84" t="s">
        <v>33</v>
      </c>
      <c r="G670" s="87">
        <f>961637+225000</f>
        <v>1186637</v>
      </c>
      <c r="H670" s="87">
        <f t="shared" ref="H670:I670" si="166">961637+225000</f>
        <v>1186637</v>
      </c>
      <c r="I670" s="87">
        <f t="shared" si="166"/>
        <v>1186637</v>
      </c>
      <c r="J670" s="177"/>
      <c r="K670" s="199"/>
      <c r="L670" s="199"/>
      <c r="M670" s="199"/>
      <c r="N670" s="199"/>
      <c r="O670" s="199"/>
      <c r="P670" s="199"/>
      <c r="Q670" s="199"/>
      <c r="R670" s="199"/>
    </row>
    <row r="671" spans="1:18" s="3" customFormat="1" ht="33" hidden="1" customHeight="1">
      <c r="A671" s="82" t="s">
        <v>731</v>
      </c>
      <c r="B671" s="149">
        <v>774</v>
      </c>
      <c r="C671" s="84" t="s">
        <v>26</v>
      </c>
      <c r="D671" s="84" t="s">
        <v>28</v>
      </c>
      <c r="E671" s="84" t="s">
        <v>730</v>
      </c>
      <c r="F671" s="84"/>
      <c r="G671" s="87">
        <f t="shared" ref="G671:I678" si="167">G672</f>
        <v>0</v>
      </c>
      <c r="H671" s="87">
        <f t="shared" si="167"/>
        <v>0</v>
      </c>
      <c r="I671" s="87">
        <f t="shared" si="167"/>
        <v>0</v>
      </c>
      <c r="J671" s="177"/>
      <c r="K671" s="199"/>
      <c r="L671" s="199"/>
      <c r="M671" s="199"/>
      <c r="N671" s="199"/>
      <c r="O671" s="199"/>
      <c r="P671" s="199"/>
      <c r="Q671" s="199"/>
      <c r="R671" s="199"/>
    </row>
    <row r="672" spans="1:18" s="3" customFormat="1" ht="25.5" hidden="1">
      <c r="A672" s="82" t="s">
        <v>30</v>
      </c>
      <c r="B672" s="149">
        <v>774</v>
      </c>
      <c r="C672" s="84" t="s">
        <v>26</v>
      </c>
      <c r="D672" s="84" t="s">
        <v>28</v>
      </c>
      <c r="E672" s="84" t="s">
        <v>730</v>
      </c>
      <c r="F672" s="84" t="s">
        <v>31</v>
      </c>
      <c r="G672" s="87">
        <f t="shared" si="167"/>
        <v>0</v>
      </c>
      <c r="H672" s="87">
        <f t="shared" si="167"/>
        <v>0</v>
      </c>
      <c r="I672" s="87">
        <f t="shared" si="167"/>
        <v>0</v>
      </c>
      <c r="J672" s="177"/>
      <c r="K672" s="199"/>
      <c r="L672" s="199"/>
      <c r="M672" s="199"/>
      <c r="N672" s="199"/>
      <c r="O672" s="199"/>
      <c r="P672" s="199"/>
      <c r="Q672" s="199"/>
      <c r="R672" s="199"/>
    </row>
    <row r="673" spans="1:18" s="3" customFormat="1" hidden="1">
      <c r="A673" s="82" t="s">
        <v>32</v>
      </c>
      <c r="B673" s="149">
        <v>774</v>
      </c>
      <c r="C673" s="84" t="s">
        <v>26</v>
      </c>
      <c r="D673" s="84" t="s">
        <v>28</v>
      </c>
      <c r="E673" s="84" t="s">
        <v>730</v>
      </c>
      <c r="F673" s="84" t="s">
        <v>33</v>
      </c>
      <c r="G673" s="87"/>
      <c r="H673" s="87"/>
      <c r="I673" s="87"/>
      <c r="J673" s="177"/>
      <c r="K673" s="199"/>
      <c r="L673" s="199"/>
      <c r="M673" s="199"/>
      <c r="N673" s="199"/>
      <c r="O673" s="199"/>
      <c r="P673" s="199"/>
      <c r="Q673" s="199"/>
      <c r="R673" s="199"/>
    </row>
    <row r="674" spans="1:18" s="3" customFormat="1" ht="54.75" hidden="1" customHeight="1">
      <c r="A674" s="82" t="s">
        <v>749</v>
      </c>
      <c r="B674" s="149">
        <v>774</v>
      </c>
      <c r="C674" s="84" t="s">
        <v>26</v>
      </c>
      <c r="D674" s="84" t="s">
        <v>28</v>
      </c>
      <c r="E674" s="84" t="s">
        <v>737</v>
      </c>
      <c r="F674" s="84"/>
      <c r="G674" s="87">
        <f t="shared" si="167"/>
        <v>0</v>
      </c>
      <c r="H674" s="87">
        <f t="shared" si="167"/>
        <v>0</v>
      </c>
      <c r="I674" s="87">
        <f t="shared" si="167"/>
        <v>0</v>
      </c>
      <c r="J674" s="177"/>
      <c r="K674" s="199"/>
      <c r="L674" s="199"/>
      <c r="M674" s="199"/>
      <c r="N674" s="199"/>
      <c r="O674" s="199"/>
      <c r="P674" s="199"/>
      <c r="Q674" s="199"/>
      <c r="R674" s="199"/>
    </row>
    <row r="675" spans="1:18" s="3" customFormat="1" ht="25.5" hidden="1">
      <c r="A675" s="82" t="s">
        <v>30</v>
      </c>
      <c r="B675" s="149">
        <v>774</v>
      </c>
      <c r="C675" s="84" t="s">
        <v>26</v>
      </c>
      <c r="D675" s="84" t="s">
        <v>28</v>
      </c>
      <c r="E675" s="84" t="s">
        <v>737</v>
      </c>
      <c r="F675" s="84" t="s">
        <v>31</v>
      </c>
      <c r="G675" s="87">
        <f t="shared" si="167"/>
        <v>0</v>
      </c>
      <c r="H675" s="87">
        <f t="shared" si="167"/>
        <v>0</v>
      </c>
      <c r="I675" s="87">
        <f t="shared" si="167"/>
        <v>0</v>
      </c>
      <c r="J675" s="177"/>
      <c r="K675" s="199"/>
      <c r="L675" s="199"/>
      <c r="M675" s="199"/>
      <c r="N675" s="199"/>
      <c r="O675" s="199"/>
      <c r="P675" s="199"/>
      <c r="Q675" s="199"/>
      <c r="R675" s="199"/>
    </row>
    <row r="676" spans="1:18" s="3" customFormat="1" hidden="1">
      <c r="A676" s="82" t="s">
        <v>32</v>
      </c>
      <c r="B676" s="149">
        <v>774</v>
      </c>
      <c r="C676" s="84" t="s">
        <v>26</v>
      </c>
      <c r="D676" s="84" t="s">
        <v>28</v>
      </c>
      <c r="E676" s="84" t="s">
        <v>737</v>
      </c>
      <c r="F676" s="84" t="s">
        <v>33</v>
      </c>
      <c r="G676" s="87"/>
      <c r="H676" s="87">
        <v>0</v>
      </c>
      <c r="I676" s="87">
        <v>0</v>
      </c>
      <c r="J676" s="177"/>
      <c r="K676" s="199"/>
      <c r="L676" s="199"/>
      <c r="M676" s="199"/>
      <c r="N676" s="199"/>
      <c r="O676" s="199"/>
      <c r="P676" s="199"/>
      <c r="Q676" s="199"/>
      <c r="R676" s="199"/>
    </row>
    <row r="677" spans="1:18" s="3" customFormat="1" ht="65.25" customHeight="1">
      <c r="A677" s="82" t="s">
        <v>965</v>
      </c>
      <c r="B677" s="149">
        <v>774</v>
      </c>
      <c r="C677" s="84" t="s">
        <v>26</v>
      </c>
      <c r="D677" s="84" t="s">
        <v>28</v>
      </c>
      <c r="E677" s="84" t="s">
        <v>739</v>
      </c>
      <c r="F677" s="84"/>
      <c r="G677" s="87">
        <f t="shared" si="167"/>
        <v>3892741</v>
      </c>
      <c r="H677" s="87">
        <f t="shared" si="167"/>
        <v>1000000</v>
      </c>
      <c r="I677" s="87">
        <f t="shared" si="167"/>
        <v>1000000</v>
      </c>
      <c r="J677" s="177"/>
      <c r="K677" s="199"/>
      <c r="L677" s="199"/>
      <c r="M677" s="199"/>
      <c r="N677" s="199"/>
      <c r="O677" s="199"/>
      <c r="P677" s="199"/>
      <c r="Q677" s="199"/>
      <c r="R677" s="199"/>
    </row>
    <row r="678" spans="1:18" s="3" customFormat="1" ht="25.5">
      <c r="A678" s="82" t="s">
        <v>30</v>
      </c>
      <c r="B678" s="149">
        <v>774</v>
      </c>
      <c r="C678" s="84" t="s">
        <v>26</v>
      </c>
      <c r="D678" s="84" t="s">
        <v>28</v>
      </c>
      <c r="E678" s="84" t="s">
        <v>739</v>
      </c>
      <c r="F678" s="84" t="s">
        <v>31</v>
      </c>
      <c r="G678" s="87">
        <f t="shared" si="167"/>
        <v>3892741</v>
      </c>
      <c r="H678" s="87">
        <f t="shared" si="167"/>
        <v>1000000</v>
      </c>
      <c r="I678" s="87">
        <f t="shared" si="167"/>
        <v>1000000</v>
      </c>
      <c r="J678" s="177"/>
      <c r="K678" s="199"/>
      <c r="L678" s="199"/>
      <c r="M678" s="199"/>
      <c r="N678" s="199"/>
      <c r="O678" s="199"/>
      <c r="P678" s="199"/>
      <c r="Q678" s="199"/>
      <c r="R678" s="199"/>
    </row>
    <row r="679" spans="1:18" s="3" customFormat="1">
      <c r="A679" s="82" t="s">
        <v>32</v>
      </c>
      <c r="B679" s="149">
        <v>774</v>
      </c>
      <c r="C679" s="84" t="s">
        <v>26</v>
      </c>
      <c r="D679" s="84" t="s">
        <v>28</v>
      </c>
      <c r="E679" s="84" t="s">
        <v>739</v>
      </c>
      <c r="F679" s="84" t="s">
        <v>33</v>
      </c>
      <c r="G679" s="87">
        <f>1500000+163741+600000+1510000+40000+39000+40000</f>
        <v>3892741</v>
      </c>
      <c r="H679" s="87">
        <v>1000000</v>
      </c>
      <c r="I679" s="87">
        <v>1000000</v>
      </c>
      <c r="J679" s="177"/>
      <c r="K679" s="199"/>
      <c r="L679" s="199"/>
      <c r="M679" s="199"/>
      <c r="N679" s="199"/>
      <c r="O679" s="199"/>
      <c r="P679" s="199"/>
      <c r="Q679" s="199"/>
      <c r="R679" s="199"/>
    </row>
    <row r="680" spans="1:18" s="3" customFormat="1" ht="38.25" hidden="1" customHeight="1">
      <c r="A680" s="82" t="s">
        <v>640</v>
      </c>
      <c r="B680" s="149">
        <v>774</v>
      </c>
      <c r="C680" s="84" t="s">
        <v>26</v>
      </c>
      <c r="D680" s="84" t="s">
        <v>28</v>
      </c>
      <c r="E680" s="84" t="s">
        <v>639</v>
      </c>
      <c r="F680" s="84"/>
      <c r="G680" s="87">
        <f t="shared" ref="G680:I681" si="168">G681</f>
        <v>0</v>
      </c>
      <c r="H680" s="87">
        <f t="shared" si="168"/>
        <v>0</v>
      </c>
      <c r="I680" s="87">
        <f t="shared" si="168"/>
        <v>0</v>
      </c>
      <c r="J680" s="177"/>
      <c r="K680" s="199"/>
      <c r="L680" s="199"/>
      <c r="M680" s="199"/>
      <c r="N680" s="199"/>
      <c r="O680" s="199"/>
      <c r="P680" s="199"/>
      <c r="Q680" s="199"/>
      <c r="R680" s="199"/>
    </row>
    <row r="681" spans="1:18" s="3" customFormat="1" ht="25.5" hidden="1" customHeight="1">
      <c r="A681" s="82" t="s">
        <v>30</v>
      </c>
      <c r="B681" s="149">
        <v>774</v>
      </c>
      <c r="C681" s="84" t="s">
        <v>26</v>
      </c>
      <c r="D681" s="84" t="s">
        <v>28</v>
      </c>
      <c r="E681" s="84" t="s">
        <v>639</v>
      </c>
      <c r="F681" s="84" t="s">
        <v>31</v>
      </c>
      <c r="G681" s="87">
        <f t="shared" si="168"/>
        <v>0</v>
      </c>
      <c r="H681" s="87">
        <f t="shared" si="168"/>
        <v>0</v>
      </c>
      <c r="I681" s="87">
        <f t="shared" si="168"/>
        <v>0</v>
      </c>
      <c r="J681" s="177"/>
      <c r="K681" s="199"/>
      <c r="L681" s="199"/>
      <c r="M681" s="199"/>
      <c r="N681" s="199"/>
      <c r="O681" s="199"/>
      <c r="P681" s="199"/>
      <c r="Q681" s="199"/>
      <c r="R681" s="199"/>
    </row>
    <row r="682" spans="1:18" s="3" customFormat="1" ht="12.75" hidden="1" customHeight="1">
      <c r="A682" s="82" t="s">
        <v>32</v>
      </c>
      <c r="B682" s="149">
        <v>774</v>
      </c>
      <c r="C682" s="84" t="s">
        <v>26</v>
      </c>
      <c r="D682" s="84" t="s">
        <v>28</v>
      </c>
      <c r="E682" s="84" t="s">
        <v>639</v>
      </c>
      <c r="F682" s="84" t="s">
        <v>33</v>
      </c>
      <c r="G682" s="87"/>
      <c r="H682" s="87"/>
      <c r="I682" s="87"/>
      <c r="J682" s="177"/>
      <c r="K682" s="199"/>
      <c r="L682" s="199"/>
      <c r="M682" s="199"/>
      <c r="N682" s="199"/>
      <c r="O682" s="199"/>
      <c r="P682" s="199"/>
      <c r="Q682" s="199"/>
      <c r="R682" s="199"/>
    </row>
    <row r="683" spans="1:18" s="3" customFormat="1" ht="49.5" customHeight="1">
      <c r="A683" s="82" t="s">
        <v>915</v>
      </c>
      <c r="B683" s="149">
        <v>774</v>
      </c>
      <c r="C683" s="84" t="s">
        <v>26</v>
      </c>
      <c r="D683" s="84" t="s">
        <v>28</v>
      </c>
      <c r="E683" s="84" t="s">
        <v>899</v>
      </c>
      <c r="F683" s="84"/>
      <c r="G683" s="87">
        <f t="shared" ref="G683:I714" si="169">G684</f>
        <v>378810.19999999995</v>
      </c>
      <c r="H683" s="87">
        <f t="shared" si="169"/>
        <v>0</v>
      </c>
      <c r="I683" s="87">
        <f t="shared" si="169"/>
        <v>0</v>
      </c>
      <c r="J683" s="177"/>
      <c r="K683" s="199"/>
      <c r="L683" s="199"/>
      <c r="M683" s="199"/>
      <c r="N683" s="199"/>
      <c r="O683" s="199"/>
      <c r="P683" s="199"/>
      <c r="Q683" s="199"/>
      <c r="R683" s="199"/>
    </row>
    <row r="684" spans="1:18" s="3" customFormat="1" ht="25.5">
      <c r="A684" s="82" t="s">
        <v>30</v>
      </c>
      <c r="B684" s="149">
        <v>774</v>
      </c>
      <c r="C684" s="84" t="s">
        <v>26</v>
      </c>
      <c r="D684" s="84" t="s">
        <v>28</v>
      </c>
      <c r="E684" s="84" t="s">
        <v>899</v>
      </c>
      <c r="F684" s="84" t="s">
        <v>31</v>
      </c>
      <c r="G684" s="87">
        <f t="shared" si="169"/>
        <v>378810.19999999995</v>
      </c>
      <c r="H684" s="87">
        <f t="shared" si="169"/>
        <v>0</v>
      </c>
      <c r="I684" s="87">
        <f t="shared" si="169"/>
        <v>0</v>
      </c>
      <c r="J684" s="177"/>
      <c r="K684" s="199"/>
      <c r="L684" s="199"/>
      <c r="M684" s="199"/>
      <c r="N684" s="199"/>
      <c r="O684" s="199"/>
      <c r="P684" s="199"/>
      <c r="Q684" s="199"/>
      <c r="R684" s="199"/>
    </row>
    <row r="685" spans="1:18" s="3" customFormat="1">
      <c r="A685" s="82" t="s">
        <v>32</v>
      </c>
      <c r="B685" s="149">
        <v>774</v>
      </c>
      <c r="C685" s="84" t="s">
        <v>26</v>
      </c>
      <c r="D685" s="84" t="s">
        <v>28</v>
      </c>
      <c r="E685" s="84" t="s">
        <v>899</v>
      </c>
      <c r="F685" s="84" t="s">
        <v>33</v>
      </c>
      <c r="G685" s="87">
        <f>718810.2-40000-300000</f>
        <v>378810.19999999995</v>
      </c>
      <c r="H685" s="87">
        <v>0</v>
      </c>
      <c r="I685" s="87">
        <v>0</v>
      </c>
      <c r="J685" s="177"/>
      <c r="K685" s="199"/>
      <c r="L685" s="199"/>
      <c r="M685" s="199"/>
      <c r="N685" s="199"/>
      <c r="O685" s="199"/>
      <c r="P685" s="199"/>
      <c r="Q685" s="199"/>
      <c r="R685" s="199"/>
    </row>
    <row r="686" spans="1:18" s="151" customFormat="1" ht="61.5" customHeight="1">
      <c r="A686" s="82" t="s">
        <v>1094</v>
      </c>
      <c r="B686" s="149">
        <v>774</v>
      </c>
      <c r="C686" s="84" t="s">
        <v>26</v>
      </c>
      <c r="D686" s="84" t="s">
        <v>28</v>
      </c>
      <c r="E686" s="84" t="s">
        <v>1089</v>
      </c>
      <c r="F686" s="84"/>
      <c r="G686" s="87">
        <f t="shared" si="169"/>
        <v>55000</v>
      </c>
      <c r="H686" s="87">
        <f t="shared" si="169"/>
        <v>0</v>
      </c>
      <c r="I686" s="87">
        <f t="shared" si="169"/>
        <v>0</v>
      </c>
      <c r="J686" s="177"/>
      <c r="K686" s="199"/>
      <c r="L686" s="199"/>
      <c r="M686" s="199"/>
      <c r="N686" s="199"/>
      <c r="O686" s="199"/>
      <c r="P686" s="199"/>
      <c r="Q686" s="199"/>
      <c r="R686" s="199"/>
    </row>
    <row r="687" spans="1:18" s="3" customFormat="1" ht="25.5">
      <c r="A687" s="82" t="s">
        <v>30</v>
      </c>
      <c r="B687" s="149">
        <v>774</v>
      </c>
      <c r="C687" s="84" t="s">
        <v>26</v>
      </c>
      <c r="D687" s="84" t="s">
        <v>28</v>
      </c>
      <c r="E687" s="84" t="s">
        <v>1089</v>
      </c>
      <c r="F687" s="84" t="s">
        <v>31</v>
      </c>
      <c r="G687" s="87">
        <f t="shared" si="169"/>
        <v>55000</v>
      </c>
      <c r="H687" s="87">
        <f t="shared" si="169"/>
        <v>0</v>
      </c>
      <c r="I687" s="87">
        <f t="shared" si="169"/>
        <v>0</v>
      </c>
      <c r="J687" s="177"/>
      <c r="K687" s="199"/>
      <c r="L687" s="199"/>
      <c r="M687" s="199"/>
      <c r="N687" s="199"/>
      <c r="O687" s="199"/>
      <c r="P687" s="199"/>
      <c r="Q687" s="199"/>
      <c r="R687" s="199"/>
    </row>
    <row r="688" spans="1:18" s="3" customFormat="1">
      <c r="A688" s="82" t="s">
        <v>32</v>
      </c>
      <c r="B688" s="149">
        <v>774</v>
      </c>
      <c r="C688" s="84" t="s">
        <v>26</v>
      </c>
      <c r="D688" s="84" t="s">
        <v>28</v>
      </c>
      <c r="E688" s="84" t="s">
        <v>1089</v>
      </c>
      <c r="F688" s="84" t="s">
        <v>33</v>
      </c>
      <c r="G688" s="87">
        <v>55000</v>
      </c>
      <c r="H688" s="87">
        <v>0</v>
      </c>
      <c r="I688" s="87">
        <v>0</v>
      </c>
      <c r="J688" s="177"/>
      <c r="K688" s="199"/>
      <c r="L688" s="199"/>
      <c r="M688" s="199"/>
      <c r="N688" s="199"/>
      <c r="O688" s="199"/>
      <c r="P688" s="199"/>
      <c r="Q688" s="199"/>
      <c r="R688" s="199"/>
    </row>
    <row r="689" spans="1:18" s="3" customFormat="1" ht="38.25" customHeight="1">
      <c r="A689" s="82" t="s">
        <v>1114</v>
      </c>
      <c r="B689" s="149">
        <v>774</v>
      </c>
      <c r="C689" s="84" t="s">
        <v>26</v>
      </c>
      <c r="D689" s="84" t="s">
        <v>28</v>
      </c>
      <c r="E689" s="84" t="s">
        <v>1090</v>
      </c>
      <c r="F689" s="84"/>
      <c r="G689" s="87">
        <f t="shared" si="169"/>
        <v>157511</v>
      </c>
      <c r="H689" s="87">
        <f t="shared" si="169"/>
        <v>0</v>
      </c>
      <c r="I689" s="87">
        <f t="shared" si="169"/>
        <v>0</v>
      </c>
      <c r="J689" s="177"/>
      <c r="K689" s="199"/>
      <c r="L689" s="199"/>
      <c r="M689" s="199"/>
      <c r="N689" s="199"/>
      <c r="O689" s="199"/>
      <c r="P689" s="199"/>
      <c r="Q689" s="199"/>
      <c r="R689" s="199"/>
    </row>
    <row r="690" spans="1:18" s="3" customFormat="1" ht="25.5">
      <c r="A690" s="82" t="s">
        <v>30</v>
      </c>
      <c r="B690" s="149">
        <v>774</v>
      </c>
      <c r="C690" s="84" t="s">
        <v>26</v>
      </c>
      <c r="D690" s="84" t="s">
        <v>28</v>
      </c>
      <c r="E690" s="84" t="s">
        <v>1090</v>
      </c>
      <c r="F690" s="84" t="s">
        <v>31</v>
      </c>
      <c r="G690" s="87">
        <f t="shared" si="169"/>
        <v>157511</v>
      </c>
      <c r="H690" s="87">
        <f t="shared" si="169"/>
        <v>0</v>
      </c>
      <c r="I690" s="87">
        <f t="shared" si="169"/>
        <v>0</v>
      </c>
      <c r="J690" s="177"/>
      <c r="K690" s="199"/>
      <c r="L690" s="199"/>
      <c r="M690" s="199"/>
      <c r="N690" s="199"/>
      <c r="O690" s="199"/>
      <c r="P690" s="199"/>
      <c r="Q690" s="199"/>
      <c r="R690" s="199"/>
    </row>
    <row r="691" spans="1:18" s="3" customFormat="1">
      <c r="A691" s="82" t="s">
        <v>32</v>
      </c>
      <c r="B691" s="149">
        <v>774</v>
      </c>
      <c r="C691" s="84" t="s">
        <v>26</v>
      </c>
      <c r="D691" s="84" t="s">
        <v>28</v>
      </c>
      <c r="E691" s="84" t="s">
        <v>1090</v>
      </c>
      <c r="F691" s="84" t="s">
        <v>33</v>
      </c>
      <c r="G691" s="87">
        <v>157511</v>
      </c>
      <c r="H691" s="87">
        <v>0</v>
      </c>
      <c r="I691" s="87">
        <v>0</v>
      </c>
      <c r="J691" s="177"/>
      <c r="K691" s="199"/>
      <c r="L691" s="199"/>
      <c r="M691" s="199"/>
      <c r="N691" s="199"/>
      <c r="O691" s="199"/>
      <c r="P691" s="199"/>
      <c r="Q691" s="199"/>
      <c r="R691" s="199"/>
    </row>
    <row r="692" spans="1:18" s="3" customFormat="1" ht="36" customHeight="1">
      <c r="A692" s="82" t="s">
        <v>1095</v>
      </c>
      <c r="B692" s="149">
        <v>774</v>
      </c>
      <c r="C692" s="84" t="s">
        <v>26</v>
      </c>
      <c r="D692" s="84" t="s">
        <v>28</v>
      </c>
      <c r="E692" s="84" t="s">
        <v>1091</v>
      </c>
      <c r="F692" s="84"/>
      <c r="G692" s="87">
        <f t="shared" si="169"/>
        <v>102969.74</v>
      </c>
      <c r="H692" s="87">
        <f t="shared" si="169"/>
        <v>0</v>
      </c>
      <c r="I692" s="87">
        <f t="shared" si="169"/>
        <v>0</v>
      </c>
      <c r="J692" s="177"/>
      <c r="K692" s="199"/>
      <c r="L692" s="199"/>
      <c r="M692" s="199"/>
      <c r="N692" s="199"/>
      <c r="O692" s="199"/>
      <c r="P692" s="199"/>
      <c r="Q692" s="199"/>
      <c r="R692" s="199"/>
    </row>
    <row r="693" spans="1:18" s="3" customFormat="1" ht="25.5">
      <c r="A693" s="82" t="s">
        <v>30</v>
      </c>
      <c r="B693" s="149">
        <v>774</v>
      </c>
      <c r="C693" s="84" t="s">
        <v>26</v>
      </c>
      <c r="D693" s="84" t="s">
        <v>28</v>
      </c>
      <c r="E693" s="84" t="s">
        <v>1091</v>
      </c>
      <c r="F693" s="84" t="s">
        <v>31</v>
      </c>
      <c r="G693" s="87">
        <f t="shared" si="169"/>
        <v>102969.74</v>
      </c>
      <c r="H693" s="87">
        <f t="shared" si="169"/>
        <v>0</v>
      </c>
      <c r="I693" s="87">
        <f t="shared" si="169"/>
        <v>0</v>
      </c>
      <c r="J693" s="177"/>
      <c r="K693" s="199"/>
      <c r="L693" s="199"/>
      <c r="M693" s="199"/>
      <c r="N693" s="199"/>
      <c r="O693" s="199"/>
      <c r="P693" s="199"/>
      <c r="Q693" s="199"/>
      <c r="R693" s="199"/>
    </row>
    <row r="694" spans="1:18" s="3" customFormat="1">
      <c r="A694" s="82" t="s">
        <v>32</v>
      </c>
      <c r="B694" s="149">
        <v>774</v>
      </c>
      <c r="C694" s="84" t="s">
        <v>26</v>
      </c>
      <c r="D694" s="84" t="s">
        <v>28</v>
      </c>
      <c r="E694" s="84" t="s">
        <v>1091</v>
      </c>
      <c r="F694" s="84" t="s">
        <v>33</v>
      </c>
      <c r="G694" s="87">
        <v>102969.74</v>
      </c>
      <c r="H694" s="87">
        <v>0</v>
      </c>
      <c r="I694" s="87">
        <v>0</v>
      </c>
      <c r="J694" s="177"/>
      <c r="K694" s="199"/>
      <c r="L694" s="199"/>
      <c r="M694" s="199"/>
      <c r="N694" s="199"/>
      <c r="O694" s="199"/>
      <c r="P694" s="199"/>
      <c r="Q694" s="199"/>
      <c r="R694" s="199"/>
    </row>
    <row r="695" spans="1:18" s="3" customFormat="1" ht="49.5" customHeight="1">
      <c r="A695" s="82" t="s">
        <v>1097</v>
      </c>
      <c r="B695" s="149">
        <v>774</v>
      </c>
      <c r="C695" s="84" t="s">
        <v>26</v>
      </c>
      <c r="D695" s="84" t="s">
        <v>28</v>
      </c>
      <c r="E695" s="84" t="s">
        <v>1092</v>
      </c>
      <c r="F695" s="84"/>
      <c r="G695" s="87">
        <f t="shared" si="169"/>
        <v>181777.27</v>
      </c>
      <c r="H695" s="87">
        <f t="shared" si="169"/>
        <v>0</v>
      </c>
      <c r="I695" s="87">
        <f t="shared" si="169"/>
        <v>0</v>
      </c>
      <c r="J695" s="177"/>
      <c r="K695" s="199"/>
      <c r="L695" s="199"/>
      <c r="M695" s="199"/>
      <c r="N695" s="199"/>
      <c r="O695" s="199"/>
      <c r="P695" s="199"/>
      <c r="Q695" s="199"/>
      <c r="R695" s="199"/>
    </row>
    <row r="696" spans="1:18" s="3" customFormat="1" ht="25.5">
      <c r="A696" s="82" t="s">
        <v>30</v>
      </c>
      <c r="B696" s="149">
        <v>774</v>
      </c>
      <c r="C696" s="84" t="s">
        <v>26</v>
      </c>
      <c r="D696" s="84" t="s">
        <v>28</v>
      </c>
      <c r="E696" s="84" t="s">
        <v>1092</v>
      </c>
      <c r="F696" s="84" t="s">
        <v>31</v>
      </c>
      <c r="G696" s="87">
        <f t="shared" si="169"/>
        <v>181777.27</v>
      </c>
      <c r="H696" s="87">
        <f t="shared" si="169"/>
        <v>0</v>
      </c>
      <c r="I696" s="87">
        <f t="shared" si="169"/>
        <v>0</v>
      </c>
      <c r="J696" s="177"/>
      <c r="K696" s="199"/>
      <c r="L696" s="199"/>
      <c r="M696" s="199"/>
      <c r="N696" s="199"/>
      <c r="O696" s="199"/>
      <c r="P696" s="199"/>
      <c r="Q696" s="199"/>
      <c r="R696" s="199"/>
    </row>
    <row r="697" spans="1:18" s="3" customFormat="1">
      <c r="A697" s="82" t="s">
        <v>32</v>
      </c>
      <c r="B697" s="149">
        <v>774</v>
      </c>
      <c r="C697" s="84" t="s">
        <v>26</v>
      </c>
      <c r="D697" s="84" t="s">
        <v>28</v>
      </c>
      <c r="E697" s="84" t="s">
        <v>1092</v>
      </c>
      <c r="F697" s="84" t="s">
        <v>33</v>
      </c>
      <c r="G697" s="87">
        <v>181777.27</v>
      </c>
      <c r="H697" s="87">
        <v>0</v>
      </c>
      <c r="I697" s="87">
        <v>0</v>
      </c>
      <c r="J697" s="177"/>
      <c r="K697" s="199"/>
      <c r="L697" s="199"/>
      <c r="M697" s="199"/>
      <c r="N697" s="199"/>
      <c r="O697" s="199"/>
      <c r="P697" s="199"/>
      <c r="Q697" s="199"/>
      <c r="R697" s="199"/>
    </row>
    <row r="698" spans="1:18" s="3" customFormat="1" ht="49.5" customHeight="1">
      <c r="A698" s="82" t="s">
        <v>1096</v>
      </c>
      <c r="B698" s="149">
        <v>774</v>
      </c>
      <c r="C698" s="84" t="s">
        <v>26</v>
      </c>
      <c r="D698" s="84" t="s">
        <v>28</v>
      </c>
      <c r="E698" s="84" t="s">
        <v>1093</v>
      </c>
      <c r="F698" s="84"/>
      <c r="G698" s="87">
        <f t="shared" si="169"/>
        <v>478000</v>
      </c>
      <c r="H698" s="87">
        <f t="shared" si="169"/>
        <v>0</v>
      </c>
      <c r="I698" s="87">
        <f t="shared" si="169"/>
        <v>0</v>
      </c>
      <c r="J698" s="177"/>
      <c r="K698" s="199"/>
      <c r="L698" s="199"/>
      <c r="M698" s="199"/>
      <c r="N698" s="199"/>
      <c r="O698" s="199"/>
      <c r="P698" s="199"/>
      <c r="Q698" s="199"/>
      <c r="R698" s="199"/>
    </row>
    <row r="699" spans="1:18" s="3" customFormat="1" ht="25.5">
      <c r="A699" s="82" t="s">
        <v>30</v>
      </c>
      <c r="B699" s="149">
        <v>774</v>
      </c>
      <c r="C699" s="84" t="s">
        <v>26</v>
      </c>
      <c r="D699" s="84" t="s">
        <v>28</v>
      </c>
      <c r="E699" s="84" t="s">
        <v>1093</v>
      </c>
      <c r="F699" s="84" t="s">
        <v>31</v>
      </c>
      <c r="G699" s="87">
        <f t="shared" si="169"/>
        <v>478000</v>
      </c>
      <c r="H699" s="87">
        <f t="shared" si="169"/>
        <v>0</v>
      </c>
      <c r="I699" s="87">
        <f t="shared" si="169"/>
        <v>0</v>
      </c>
      <c r="J699" s="177"/>
      <c r="K699" s="199"/>
      <c r="L699" s="199"/>
      <c r="M699" s="199"/>
      <c r="N699" s="199"/>
      <c r="O699" s="199"/>
      <c r="P699" s="199"/>
      <c r="Q699" s="199"/>
      <c r="R699" s="199"/>
    </row>
    <row r="700" spans="1:18" s="3" customFormat="1" ht="23.25" customHeight="1">
      <c r="A700" s="82" t="s">
        <v>32</v>
      </c>
      <c r="B700" s="149">
        <v>774</v>
      </c>
      <c r="C700" s="84" t="s">
        <v>26</v>
      </c>
      <c r="D700" s="84" t="s">
        <v>28</v>
      </c>
      <c r="E700" s="84" t="s">
        <v>1093</v>
      </c>
      <c r="F700" s="84" t="s">
        <v>33</v>
      </c>
      <c r="G700" s="87">
        <v>478000</v>
      </c>
      <c r="H700" s="87">
        <v>0</v>
      </c>
      <c r="I700" s="87">
        <v>0</v>
      </c>
      <c r="J700" s="177"/>
      <c r="K700" s="199"/>
      <c r="L700" s="199"/>
      <c r="M700" s="199"/>
      <c r="N700" s="199"/>
      <c r="O700" s="199"/>
      <c r="P700" s="199"/>
      <c r="Q700" s="199"/>
      <c r="R700" s="199"/>
    </row>
    <row r="701" spans="1:18" s="3" customFormat="1" ht="35.25" customHeight="1">
      <c r="A701" s="82" t="s">
        <v>1109</v>
      </c>
      <c r="B701" s="149">
        <v>774</v>
      </c>
      <c r="C701" s="84" t="s">
        <v>26</v>
      </c>
      <c r="D701" s="84" t="s">
        <v>28</v>
      </c>
      <c r="E701" s="84" t="s">
        <v>1105</v>
      </c>
      <c r="F701" s="84"/>
      <c r="G701" s="87">
        <f t="shared" si="169"/>
        <v>550308.69999999995</v>
      </c>
      <c r="H701" s="87">
        <f t="shared" si="169"/>
        <v>0</v>
      </c>
      <c r="I701" s="87">
        <f t="shared" si="169"/>
        <v>0</v>
      </c>
      <c r="J701" s="177"/>
      <c r="K701" s="199"/>
      <c r="L701" s="199"/>
      <c r="M701" s="199"/>
      <c r="N701" s="199"/>
      <c r="O701" s="199"/>
      <c r="P701" s="199"/>
      <c r="Q701" s="199"/>
      <c r="R701" s="199"/>
    </row>
    <row r="702" spans="1:18" s="3" customFormat="1" ht="25.5">
      <c r="A702" s="82" t="s">
        <v>30</v>
      </c>
      <c r="B702" s="149">
        <v>774</v>
      </c>
      <c r="C702" s="84" t="s">
        <v>26</v>
      </c>
      <c r="D702" s="84" t="s">
        <v>28</v>
      </c>
      <c r="E702" s="84" t="s">
        <v>1105</v>
      </c>
      <c r="F702" s="84" t="s">
        <v>31</v>
      </c>
      <c r="G702" s="87">
        <f t="shared" si="169"/>
        <v>550308.69999999995</v>
      </c>
      <c r="H702" s="87">
        <f t="shared" si="169"/>
        <v>0</v>
      </c>
      <c r="I702" s="87">
        <f t="shared" si="169"/>
        <v>0</v>
      </c>
      <c r="J702" s="177"/>
      <c r="K702" s="199"/>
      <c r="L702" s="199"/>
      <c r="M702" s="199"/>
      <c r="N702" s="199"/>
      <c r="O702" s="199"/>
      <c r="P702" s="199"/>
      <c r="Q702" s="199"/>
      <c r="R702" s="199"/>
    </row>
    <row r="703" spans="1:18" s="3" customFormat="1">
      <c r="A703" s="82" t="s">
        <v>32</v>
      </c>
      <c r="B703" s="149">
        <v>774</v>
      </c>
      <c r="C703" s="84" t="s">
        <v>26</v>
      </c>
      <c r="D703" s="84" t="s">
        <v>28</v>
      </c>
      <c r="E703" s="84" t="s">
        <v>1105</v>
      </c>
      <c r="F703" s="84" t="s">
        <v>33</v>
      </c>
      <c r="G703" s="87">
        <v>550308.69999999995</v>
      </c>
      <c r="H703" s="87">
        <v>0</v>
      </c>
      <c r="I703" s="87">
        <v>0</v>
      </c>
      <c r="J703" s="177"/>
      <c r="K703" s="199"/>
      <c r="L703" s="199"/>
      <c r="M703" s="199"/>
      <c r="N703" s="199"/>
      <c r="O703" s="199"/>
      <c r="P703" s="199"/>
      <c r="Q703" s="199"/>
      <c r="R703" s="199"/>
    </row>
    <row r="704" spans="1:18" s="3" customFormat="1" ht="49.5" customHeight="1">
      <c r="A704" s="82" t="s">
        <v>1063</v>
      </c>
      <c r="B704" s="149">
        <v>774</v>
      </c>
      <c r="C704" s="84" t="s">
        <v>26</v>
      </c>
      <c r="D704" s="84" t="s">
        <v>28</v>
      </c>
      <c r="E704" s="84" t="s">
        <v>1062</v>
      </c>
      <c r="F704" s="84"/>
      <c r="G704" s="87">
        <f t="shared" si="169"/>
        <v>40000</v>
      </c>
      <c r="H704" s="87">
        <f t="shared" si="169"/>
        <v>0</v>
      </c>
      <c r="I704" s="87">
        <f t="shared" si="169"/>
        <v>0</v>
      </c>
      <c r="J704" s="177"/>
      <c r="K704" s="199"/>
      <c r="L704" s="199"/>
      <c r="M704" s="199"/>
      <c r="N704" s="199"/>
      <c r="O704" s="199"/>
      <c r="P704" s="199"/>
      <c r="Q704" s="199"/>
      <c r="R704" s="199"/>
    </row>
    <row r="705" spans="1:18" s="3" customFormat="1" ht="25.5">
      <c r="A705" s="82" t="s">
        <v>30</v>
      </c>
      <c r="B705" s="149">
        <v>774</v>
      </c>
      <c r="C705" s="84" t="s">
        <v>26</v>
      </c>
      <c r="D705" s="84" t="s">
        <v>28</v>
      </c>
      <c r="E705" s="84" t="s">
        <v>1062</v>
      </c>
      <c r="F705" s="84" t="s">
        <v>31</v>
      </c>
      <c r="G705" s="87">
        <f t="shared" si="169"/>
        <v>40000</v>
      </c>
      <c r="H705" s="87">
        <f t="shared" si="169"/>
        <v>0</v>
      </c>
      <c r="I705" s="87">
        <f t="shared" si="169"/>
        <v>0</v>
      </c>
      <c r="J705" s="177"/>
      <c r="K705" s="199"/>
      <c r="L705" s="199"/>
      <c r="M705" s="199"/>
      <c r="N705" s="199"/>
      <c r="O705" s="199"/>
      <c r="P705" s="199"/>
      <c r="Q705" s="199"/>
      <c r="R705" s="199"/>
    </row>
    <row r="706" spans="1:18" s="3" customFormat="1">
      <c r="A706" s="82" t="s">
        <v>32</v>
      </c>
      <c r="B706" s="149">
        <v>774</v>
      </c>
      <c r="C706" s="84" t="s">
        <v>26</v>
      </c>
      <c r="D706" s="84" t="s">
        <v>28</v>
      </c>
      <c r="E706" s="84" t="s">
        <v>1062</v>
      </c>
      <c r="F706" s="84" t="s">
        <v>33</v>
      </c>
      <c r="G706" s="87">
        <v>40000</v>
      </c>
      <c r="H706" s="87">
        <v>0</v>
      </c>
      <c r="I706" s="87">
        <v>0</v>
      </c>
      <c r="J706" s="177"/>
      <c r="K706" s="199"/>
      <c r="L706" s="199"/>
      <c r="M706" s="199"/>
      <c r="N706" s="199"/>
      <c r="O706" s="199"/>
      <c r="P706" s="199"/>
      <c r="Q706" s="199"/>
      <c r="R706" s="199"/>
    </row>
    <row r="707" spans="1:18" s="3" customFormat="1" ht="49.5" customHeight="1">
      <c r="A707" s="82" t="s">
        <v>916</v>
      </c>
      <c r="B707" s="149">
        <v>774</v>
      </c>
      <c r="C707" s="84" t="s">
        <v>26</v>
      </c>
      <c r="D707" s="84" t="s">
        <v>28</v>
      </c>
      <c r="E707" s="84" t="s">
        <v>900</v>
      </c>
      <c r="F707" s="84"/>
      <c r="G707" s="87">
        <f t="shared" si="169"/>
        <v>0</v>
      </c>
      <c r="H707" s="87">
        <f t="shared" si="169"/>
        <v>2337991.4</v>
      </c>
      <c r="I707" s="87">
        <f t="shared" si="169"/>
        <v>0</v>
      </c>
      <c r="J707" s="177"/>
      <c r="K707" s="199"/>
      <c r="L707" s="199"/>
      <c r="M707" s="199"/>
      <c r="N707" s="199"/>
      <c r="O707" s="199"/>
      <c r="P707" s="199"/>
      <c r="Q707" s="199"/>
      <c r="R707" s="199"/>
    </row>
    <row r="708" spans="1:18" s="3" customFormat="1" ht="25.5">
      <c r="A708" s="82" t="s">
        <v>30</v>
      </c>
      <c r="B708" s="149">
        <v>774</v>
      </c>
      <c r="C708" s="84" t="s">
        <v>26</v>
      </c>
      <c r="D708" s="84" t="s">
        <v>28</v>
      </c>
      <c r="E708" s="84" t="s">
        <v>900</v>
      </c>
      <c r="F708" s="84" t="s">
        <v>31</v>
      </c>
      <c r="G708" s="87">
        <f t="shared" si="169"/>
        <v>0</v>
      </c>
      <c r="H708" s="87">
        <f t="shared" si="169"/>
        <v>2337991.4</v>
      </c>
      <c r="I708" s="87">
        <f t="shared" si="169"/>
        <v>0</v>
      </c>
      <c r="J708" s="177"/>
      <c r="K708" s="199"/>
      <c r="L708" s="199"/>
      <c r="M708" s="199"/>
      <c r="N708" s="199"/>
      <c r="O708" s="199"/>
      <c r="P708" s="199"/>
      <c r="Q708" s="199"/>
      <c r="R708" s="199"/>
    </row>
    <row r="709" spans="1:18" s="3" customFormat="1">
      <c r="A709" s="82" t="s">
        <v>32</v>
      </c>
      <c r="B709" s="149">
        <v>774</v>
      </c>
      <c r="C709" s="84" t="s">
        <v>26</v>
      </c>
      <c r="D709" s="84" t="s">
        <v>28</v>
      </c>
      <c r="E709" s="84" t="s">
        <v>900</v>
      </c>
      <c r="F709" s="84" t="s">
        <v>33</v>
      </c>
      <c r="G709" s="87">
        <f>624075.24-624075.24</f>
        <v>0</v>
      </c>
      <c r="H709" s="87">
        <f>1713916.16+624075.24</f>
        <v>2337991.4</v>
      </c>
      <c r="I709" s="87">
        <v>0</v>
      </c>
      <c r="J709" s="177"/>
      <c r="K709" s="199"/>
      <c r="L709" s="199"/>
      <c r="M709" s="199"/>
      <c r="N709" s="199"/>
      <c r="O709" s="199"/>
      <c r="P709" s="199"/>
      <c r="Q709" s="199"/>
      <c r="R709" s="199"/>
    </row>
    <row r="710" spans="1:18" s="3" customFormat="1" ht="49.5" customHeight="1">
      <c r="A710" s="82" t="s">
        <v>1069</v>
      </c>
      <c r="B710" s="149">
        <v>774</v>
      </c>
      <c r="C710" s="84" t="s">
        <v>26</v>
      </c>
      <c r="D710" s="84" t="s">
        <v>28</v>
      </c>
      <c r="E710" s="84" t="s">
        <v>1068</v>
      </c>
      <c r="F710" s="84"/>
      <c r="G710" s="87">
        <f t="shared" si="169"/>
        <v>750000</v>
      </c>
      <c r="H710" s="87">
        <f t="shared" si="169"/>
        <v>0</v>
      </c>
      <c r="I710" s="87">
        <f t="shared" si="169"/>
        <v>0</v>
      </c>
      <c r="J710" s="177"/>
      <c r="K710" s="199"/>
      <c r="L710" s="199"/>
      <c r="M710" s="199"/>
      <c r="N710" s="199"/>
      <c r="O710" s="199"/>
      <c r="P710" s="199"/>
      <c r="Q710" s="199"/>
      <c r="R710" s="199"/>
    </row>
    <row r="711" spans="1:18" s="3" customFormat="1" ht="25.5">
      <c r="A711" s="82" t="s">
        <v>30</v>
      </c>
      <c r="B711" s="149">
        <v>774</v>
      </c>
      <c r="C711" s="84" t="s">
        <v>26</v>
      </c>
      <c r="D711" s="84" t="s">
        <v>28</v>
      </c>
      <c r="E711" s="84" t="s">
        <v>1068</v>
      </c>
      <c r="F711" s="84" t="s">
        <v>31</v>
      </c>
      <c r="G711" s="87">
        <f t="shared" si="169"/>
        <v>750000</v>
      </c>
      <c r="H711" s="87">
        <f t="shared" si="169"/>
        <v>0</v>
      </c>
      <c r="I711" s="87">
        <f t="shared" si="169"/>
        <v>0</v>
      </c>
      <c r="J711" s="177"/>
      <c r="K711" s="199"/>
      <c r="L711" s="199"/>
      <c r="M711" s="199"/>
      <c r="N711" s="199"/>
      <c r="O711" s="199"/>
      <c r="P711" s="199"/>
      <c r="Q711" s="199"/>
      <c r="R711" s="199"/>
    </row>
    <row r="712" spans="1:18" s="3" customFormat="1">
      <c r="A712" s="82" t="s">
        <v>32</v>
      </c>
      <c r="B712" s="149">
        <v>774</v>
      </c>
      <c r="C712" s="84" t="s">
        <v>26</v>
      </c>
      <c r="D712" s="84" t="s">
        <v>28</v>
      </c>
      <c r="E712" s="84" t="s">
        <v>1068</v>
      </c>
      <c r="F712" s="84" t="s">
        <v>33</v>
      </c>
      <c r="G712" s="87">
        <f>155924.76+594075.24</f>
        <v>750000</v>
      </c>
      <c r="H712" s="87">
        <v>0</v>
      </c>
      <c r="I712" s="87">
        <v>0</v>
      </c>
      <c r="J712" s="177"/>
      <c r="K712" s="199"/>
      <c r="L712" s="199"/>
      <c r="M712" s="199"/>
      <c r="N712" s="199"/>
      <c r="O712" s="199"/>
      <c r="P712" s="199"/>
      <c r="Q712" s="199"/>
      <c r="R712" s="199"/>
    </row>
    <row r="713" spans="1:18" s="3" customFormat="1" ht="49.5" customHeight="1">
      <c r="A713" s="82" t="s">
        <v>1073</v>
      </c>
      <c r="B713" s="149">
        <v>774</v>
      </c>
      <c r="C713" s="84" t="s">
        <v>26</v>
      </c>
      <c r="D713" s="84" t="s">
        <v>28</v>
      </c>
      <c r="E713" s="84" t="s">
        <v>1072</v>
      </c>
      <c r="F713" s="84"/>
      <c r="G713" s="87">
        <f t="shared" si="169"/>
        <v>30000</v>
      </c>
      <c r="H713" s="87">
        <f t="shared" si="169"/>
        <v>0</v>
      </c>
      <c r="I713" s="87">
        <f t="shared" si="169"/>
        <v>0</v>
      </c>
      <c r="J713" s="177"/>
      <c r="K713" s="199"/>
      <c r="L713" s="199"/>
      <c r="M713" s="199"/>
      <c r="N713" s="199"/>
      <c r="O713" s="199"/>
      <c r="P713" s="199"/>
      <c r="Q713" s="199"/>
      <c r="R713" s="199"/>
    </row>
    <row r="714" spans="1:18" s="3" customFormat="1" ht="25.5">
      <c r="A714" s="82" t="s">
        <v>30</v>
      </c>
      <c r="B714" s="149">
        <v>774</v>
      </c>
      <c r="C714" s="84" t="s">
        <v>26</v>
      </c>
      <c r="D714" s="84" t="s">
        <v>28</v>
      </c>
      <c r="E714" s="84" t="s">
        <v>1072</v>
      </c>
      <c r="F714" s="84" t="s">
        <v>31</v>
      </c>
      <c r="G714" s="87">
        <f t="shared" si="169"/>
        <v>30000</v>
      </c>
      <c r="H714" s="87">
        <f t="shared" si="169"/>
        <v>0</v>
      </c>
      <c r="I714" s="87">
        <f t="shared" si="169"/>
        <v>0</v>
      </c>
      <c r="J714" s="177"/>
      <c r="K714" s="199"/>
      <c r="L714" s="199"/>
      <c r="M714" s="199"/>
      <c r="N714" s="199"/>
      <c r="O714" s="199"/>
      <c r="P714" s="199"/>
      <c r="Q714" s="199"/>
      <c r="R714" s="199"/>
    </row>
    <row r="715" spans="1:18" s="3" customFormat="1">
      <c r="A715" s="82" t="s">
        <v>32</v>
      </c>
      <c r="B715" s="149">
        <v>774</v>
      </c>
      <c r="C715" s="84" t="s">
        <v>26</v>
      </c>
      <c r="D715" s="84" t="s">
        <v>28</v>
      </c>
      <c r="E715" s="84" t="s">
        <v>1072</v>
      </c>
      <c r="F715" s="84" t="s">
        <v>33</v>
      </c>
      <c r="G715" s="87">
        <v>30000</v>
      </c>
      <c r="H715" s="87">
        <v>0</v>
      </c>
      <c r="I715" s="87">
        <v>0</v>
      </c>
      <c r="J715" s="177"/>
      <c r="K715" s="199"/>
      <c r="L715" s="199"/>
      <c r="M715" s="199"/>
      <c r="N715" s="199"/>
      <c r="O715" s="199"/>
      <c r="P715" s="199"/>
      <c r="Q715" s="199"/>
      <c r="R715" s="199"/>
    </row>
    <row r="716" spans="1:18" ht="38.25">
      <c r="A716" s="82" t="s">
        <v>414</v>
      </c>
      <c r="B716" s="149">
        <v>774</v>
      </c>
      <c r="C716" s="84" t="s">
        <v>26</v>
      </c>
      <c r="D716" s="84" t="s">
        <v>28</v>
      </c>
      <c r="E716" s="84" t="s">
        <v>829</v>
      </c>
      <c r="F716" s="84"/>
      <c r="G716" s="85">
        <f>G717</f>
        <v>0</v>
      </c>
      <c r="H716" s="85">
        <f t="shared" ref="G716:I720" si="170">H717</f>
        <v>1000000</v>
      </c>
      <c r="I716" s="85">
        <f t="shared" si="170"/>
        <v>1000000</v>
      </c>
      <c r="J716" s="178"/>
    </row>
    <row r="717" spans="1:18" ht="25.5">
      <c r="A717" s="82" t="s">
        <v>30</v>
      </c>
      <c r="B717" s="149">
        <v>774</v>
      </c>
      <c r="C717" s="84" t="s">
        <v>26</v>
      </c>
      <c r="D717" s="84" t="s">
        <v>28</v>
      </c>
      <c r="E717" s="84" t="s">
        <v>829</v>
      </c>
      <c r="F717" s="84" t="s">
        <v>31</v>
      </c>
      <c r="G717" s="85">
        <f t="shared" si="170"/>
        <v>0</v>
      </c>
      <c r="H717" s="85">
        <f t="shared" si="170"/>
        <v>1000000</v>
      </c>
      <c r="I717" s="85">
        <f t="shared" si="170"/>
        <v>1000000</v>
      </c>
      <c r="J717" s="178"/>
    </row>
    <row r="718" spans="1:18">
      <c r="A718" s="82" t="s">
        <v>32</v>
      </c>
      <c r="B718" s="149">
        <v>774</v>
      </c>
      <c r="C718" s="84" t="s">
        <v>26</v>
      </c>
      <c r="D718" s="84" t="s">
        <v>28</v>
      </c>
      <c r="E718" s="84" t="s">
        <v>829</v>
      </c>
      <c r="F718" s="84" t="s">
        <v>33</v>
      </c>
      <c r="G718" s="85">
        <v>0</v>
      </c>
      <c r="H718" s="85">
        <v>1000000</v>
      </c>
      <c r="I718" s="85">
        <v>1000000</v>
      </c>
      <c r="J718" s="178"/>
    </row>
    <row r="719" spans="1:18" ht="25.5">
      <c r="A719" s="82" t="s">
        <v>943</v>
      </c>
      <c r="B719" s="149">
        <v>774</v>
      </c>
      <c r="C719" s="84" t="s">
        <v>26</v>
      </c>
      <c r="D719" s="84" t="s">
        <v>28</v>
      </c>
      <c r="E719" s="84" t="s">
        <v>942</v>
      </c>
      <c r="F719" s="84"/>
      <c r="G719" s="85">
        <f>G720</f>
        <v>149599646.68000001</v>
      </c>
      <c r="H719" s="85">
        <f t="shared" si="170"/>
        <v>30887111.109999999</v>
      </c>
      <c r="I719" s="85">
        <f t="shared" si="170"/>
        <v>0</v>
      </c>
      <c r="J719" s="178"/>
    </row>
    <row r="720" spans="1:18" ht="25.5">
      <c r="A720" s="82" t="s">
        <v>30</v>
      </c>
      <c r="B720" s="149">
        <v>774</v>
      </c>
      <c r="C720" s="84" t="s">
        <v>26</v>
      </c>
      <c r="D720" s="84" t="s">
        <v>28</v>
      </c>
      <c r="E720" s="84" t="s">
        <v>942</v>
      </c>
      <c r="F720" s="84" t="s">
        <v>31</v>
      </c>
      <c r="G720" s="85">
        <f t="shared" si="170"/>
        <v>149599646.68000001</v>
      </c>
      <c r="H720" s="85">
        <f t="shared" si="170"/>
        <v>30887111.109999999</v>
      </c>
      <c r="I720" s="85">
        <f t="shared" si="170"/>
        <v>0</v>
      </c>
      <c r="J720" s="178"/>
    </row>
    <row r="721" spans="1:18">
      <c r="A721" s="82" t="s">
        <v>32</v>
      </c>
      <c r="B721" s="149">
        <v>774</v>
      </c>
      <c r="C721" s="84" t="s">
        <v>26</v>
      </c>
      <c r="D721" s="84" t="s">
        <v>28</v>
      </c>
      <c r="E721" s="84" t="s">
        <v>942</v>
      </c>
      <c r="F721" s="84" t="s">
        <v>33</v>
      </c>
      <c r="G721" s="85">
        <v>149599646.68000001</v>
      </c>
      <c r="H721" s="85">
        <v>30887111.109999999</v>
      </c>
      <c r="I721" s="85">
        <v>0</v>
      </c>
      <c r="J721" s="178"/>
    </row>
    <row r="722" spans="1:18" s="3" customFormat="1" ht="30" customHeight="1">
      <c r="A722" s="82" t="s">
        <v>24</v>
      </c>
      <c r="B722" s="149">
        <v>774</v>
      </c>
      <c r="C722" s="84" t="s">
        <v>26</v>
      </c>
      <c r="D722" s="84" t="s">
        <v>28</v>
      </c>
      <c r="E722" s="84" t="s">
        <v>224</v>
      </c>
      <c r="F722" s="84"/>
      <c r="G722" s="87">
        <f t="shared" ref="G722:I723" si="171">G723</f>
        <v>104578.61</v>
      </c>
      <c r="H722" s="87">
        <f t="shared" si="171"/>
        <v>105000</v>
      </c>
      <c r="I722" s="87">
        <f t="shared" si="171"/>
        <v>105000</v>
      </c>
      <c r="J722" s="177"/>
      <c r="K722" s="199"/>
      <c r="L722" s="199"/>
      <c r="M722" s="199"/>
      <c r="N722" s="199"/>
      <c r="O722" s="199"/>
      <c r="P722" s="199"/>
      <c r="Q722" s="199"/>
      <c r="R722" s="199"/>
    </row>
    <row r="723" spans="1:18" s="3" customFormat="1" ht="24.75" customHeight="1">
      <c r="A723" s="82" t="s">
        <v>142</v>
      </c>
      <c r="B723" s="149">
        <v>774</v>
      </c>
      <c r="C723" s="84" t="s">
        <v>26</v>
      </c>
      <c r="D723" s="84" t="s">
        <v>28</v>
      </c>
      <c r="E723" s="84" t="s">
        <v>225</v>
      </c>
      <c r="F723" s="84"/>
      <c r="G723" s="87">
        <f t="shared" si="171"/>
        <v>104578.61</v>
      </c>
      <c r="H723" s="87">
        <f t="shared" si="171"/>
        <v>105000</v>
      </c>
      <c r="I723" s="87">
        <f t="shared" si="171"/>
        <v>105000</v>
      </c>
      <c r="J723" s="177"/>
      <c r="K723" s="199"/>
      <c r="L723" s="199"/>
      <c r="M723" s="199"/>
      <c r="N723" s="199"/>
      <c r="O723" s="199"/>
      <c r="P723" s="199"/>
      <c r="Q723" s="199"/>
      <c r="R723" s="199"/>
    </row>
    <row r="724" spans="1:18" s="18" customFormat="1" ht="25.5">
      <c r="A724" s="82" t="s">
        <v>30</v>
      </c>
      <c r="B724" s="84" t="s">
        <v>94</v>
      </c>
      <c r="C724" s="84" t="s">
        <v>26</v>
      </c>
      <c r="D724" s="84" t="s">
        <v>28</v>
      </c>
      <c r="E724" s="84" t="s">
        <v>225</v>
      </c>
      <c r="F724" s="84" t="s">
        <v>31</v>
      </c>
      <c r="G724" s="87">
        <f>G725</f>
        <v>104578.61</v>
      </c>
      <c r="H724" s="87">
        <f>H725</f>
        <v>105000</v>
      </c>
      <c r="I724" s="87">
        <f>I725</f>
        <v>105000</v>
      </c>
      <c r="J724" s="177"/>
      <c r="K724" s="200"/>
      <c r="L724" s="200"/>
      <c r="M724" s="200"/>
      <c r="N724" s="200"/>
      <c r="O724" s="200"/>
      <c r="P724" s="200"/>
      <c r="Q724" s="200"/>
      <c r="R724" s="200"/>
    </row>
    <row r="725" spans="1:18" s="18" customFormat="1">
      <c r="A725" s="82" t="s">
        <v>32</v>
      </c>
      <c r="B725" s="84" t="s">
        <v>94</v>
      </c>
      <c r="C725" s="84" t="s">
        <v>26</v>
      </c>
      <c r="D725" s="84" t="s">
        <v>28</v>
      </c>
      <c r="E725" s="84" t="s">
        <v>225</v>
      </c>
      <c r="F725" s="84" t="s">
        <v>33</v>
      </c>
      <c r="G725" s="87">
        <v>104578.61</v>
      </c>
      <c r="H725" s="87">
        <v>105000</v>
      </c>
      <c r="I725" s="87">
        <v>105000</v>
      </c>
      <c r="J725" s="177"/>
      <c r="K725" s="200"/>
      <c r="L725" s="200"/>
      <c r="M725" s="200"/>
      <c r="N725" s="200"/>
      <c r="O725" s="200"/>
      <c r="P725" s="200"/>
      <c r="Q725" s="200"/>
      <c r="R725" s="200"/>
    </row>
    <row r="726" spans="1:18" s="18" customFormat="1" ht="25.5" hidden="1" customHeight="1">
      <c r="A726" s="135" t="s">
        <v>483</v>
      </c>
      <c r="B726" s="149">
        <v>774</v>
      </c>
      <c r="C726" s="84" t="s">
        <v>26</v>
      </c>
      <c r="D726" s="84" t="s">
        <v>28</v>
      </c>
      <c r="E726" s="84" t="s">
        <v>220</v>
      </c>
      <c r="F726" s="84"/>
      <c r="G726" s="87">
        <f t="shared" ref="G726:I728" si="172">G727</f>
        <v>0</v>
      </c>
      <c r="H726" s="87">
        <f t="shared" si="172"/>
        <v>0</v>
      </c>
      <c r="I726" s="87">
        <f t="shared" si="172"/>
        <v>0</v>
      </c>
      <c r="J726" s="177"/>
      <c r="K726" s="200"/>
      <c r="L726" s="200"/>
      <c r="M726" s="200"/>
      <c r="N726" s="200"/>
      <c r="O726" s="200"/>
      <c r="P726" s="200"/>
      <c r="Q726" s="200"/>
      <c r="R726" s="200"/>
    </row>
    <row r="727" spans="1:18" s="18" customFormat="1" ht="25.5" hidden="1">
      <c r="A727" s="82" t="s">
        <v>99</v>
      </c>
      <c r="B727" s="84" t="s">
        <v>94</v>
      </c>
      <c r="C727" s="84" t="s">
        <v>26</v>
      </c>
      <c r="D727" s="84" t="s">
        <v>28</v>
      </c>
      <c r="E727" s="84" t="s">
        <v>221</v>
      </c>
      <c r="F727" s="84"/>
      <c r="G727" s="87">
        <f t="shared" si="172"/>
        <v>0</v>
      </c>
      <c r="H727" s="87">
        <f t="shared" si="172"/>
        <v>0</v>
      </c>
      <c r="I727" s="87">
        <f t="shared" si="172"/>
        <v>0</v>
      </c>
      <c r="J727" s="177"/>
      <c r="K727" s="200"/>
      <c r="L727" s="200"/>
      <c r="M727" s="200"/>
      <c r="N727" s="200"/>
      <c r="O727" s="200"/>
      <c r="P727" s="200"/>
      <c r="Q727" s="200"/>
      <c r="R727" s="200"/>
    </row>
    <row r="728" spans="1:18" s="18" customFormat="1" ht="30.75" hidden="1" customHeight="1">
      <c r="A728" s="82" t="s">
        <v>30</v>
      </c>
      <c r="B728" s="84" t="s">
        <v>94</v>
      </c>
      <c r="C728" s="84" t="s">
        <v>26</v>
      </c>
      <c r="D728" s="84" t="s">
        <v>28</v>
      </c>
      <c r="E728" s="84" t="s">
        <v>221</v>
      </c>
      <c r="F728" s="84" t="s">
        <v>31</v>
      </c>
      <c r="G728" s="87">
        <f t="shared" si="172"/>
        <v>0</v>
      </c>
      <c r="H728" s="87">
        <f t="shared" si="172"/>
        <v>0</v>
      </c>
      <c r="I728" s="87">
        <f t="shared" si="172"/>
        <v>0</v>
      </c>
      <c r="J728" s="177"/>
      <c r="K728" s="200"/>
      <c r="L728" s="200"/>
      <c r="M728" s="200"/>
      <c r="N728" s="200"/>
      <c r="O728" s="200"/>
      <c r="P728" s="200"/>
      <c r="Q728" s="200"/>
      <c r="R728" s="200"/>
    </row>
    <row r="729" spans="1:18" s="18" customFormat="1" hidden="1">
      <c r="A729" s="82" t="s">
        <v>32</v>
      </c>
      <c r="B729" s="84" t="s">
        <v>94</v>
      </c>
      <c r="C729" s="84" t="s">
        <v>26</v>
      </c>
      <c r="D729" s="84" t="s">
        <v>28</v>
      </c>
      <c r="E729" s="84" t="s">
        <v>221</v>
      </c>
      <c r="F729" s="84" t="s">
        <v>33</v>
      </c>
      <c r="G729" s="87"/>
      <c r="H729" s="87"/>
      <c r="I729" s="87"/>
      <c r="J729" s="177"/>
      <c r="K729" s="200"/>
      <c r="L729" s="200"/>
      <c r="M729" s="200"/>
      <c r="N729" s="200"/>
      <c r="O729" s="200"/>
      <c r="P729" s="200"/>
      <c r="Q729" s="200"/>
      <c r="R729" s="200"/>
    </row>
    <row r="730" spans="1:18" s="18" customFormat="1" ht="38.25" hidden="1">
      <c r="A730" s="82" t="s">
        <v>460</v>
      </c>
      <c r="B730" s="84" t="s">
        <v>94</v>
      </c>
      <c r="C730" s="84" t="s">
        <v>26</v>
      </c>
      <c r="D730" s="84" t="s">
        <v>28</v>
      </c>
      <c r="E730" s="84" t="s">
        <v>459</v>
      </c>
      <c r="F730" s="84"/>
      <c r="G730" s="87">
        <f>G731</f>
        <v>0</v>
      </c>
      <c r="H730" s="87">
        <f t="shared" ref="H730:I731" si="173">H731</f>
        <v>0</v>
      </c>
      <c r="I730" s="87">
        <f t="shared" si="173"/>
        <v>0</v>
      </c>
      <c r="J730" s="177"/>
      <c r="K730" s="200"/>
      <c r="L730" s="200"/>
      <c r="M730" s="200"/>
      <c r="N730" s="200"/>
      <c r="O730" s="200"/>
      <c r="P730" s="200"/>
      <c r="Q730" s="200"/>
      <c r="R730" s="200"/>
    </row>
    <row r="731" spans="1:18" s="18" customFormat="1" ht="52.5" hidden="1" customHeight="1">
      <c r="A731" s="82" t="s">
        <v>745</v>
      </c>
      <c r="B731" s="84" t="s">
        <v>94</v>
      </c>
      <c r="C731" s="84" t="s">
        <v>26</v>
      </c>
      <c r="D731" s="84" t="s">
        <v>28</v>
      </c>
      <c r="E731" s="84" t="s">
        <v>746</v>
      </c>
      <c r="F731" s="84"/>
      <c r="G731" s="87">
        <f>G732</f>
        <v>0</v>
      </c>
      <c r="H731" s="87">
        <f t="shared" si="173"/>
        <v>0</v>
      </c>
      <c r="I731" s="87">
        <f t="shared" si="173"/>
        <v>0</v>
      </c>
      <c r="J731" s="177"/>
      <c r="K731" s="200"/>
      <c r="L731" s="200"/>
      <c r="M731" s="200"/>
      <c r="N731" s="200"/>
      <c r="O731" s="200"/>
      <c r="P731" s="200"/>
      <c r="Q731" s="200"/>
      <c r="R731" s="200"/>
    </row>
    <row r="732" spans="1:18" s="18" customFormat="1" ht="25.5" hidden="1">
      <c r="A732" s="82" t="s">
        <v>96</v>
      </c>
      <c r="B732" s="84" t="s">
        <v>94</v>
      </c>
      <c r="C732" s="84" t="s">
        <v>26</v>
      </c>
      <c r="D732" s="84" t="s">
        <v>28</v>
      </c>
      <c r="E732" s="84" t="s">
        <v>746</v>
      </c>
      <c r="F732" s="84" t="s">
        <v>349</v>
      </c>
      <c r="G732" s="87"/>
      <c r="H732" s="87"/>
      <c r="I732" s="87"/>
      <c r="J732" s="177"/>
      <c r="K732" s="200"/>
      <c r="L732" s="200"/>
      <c r="M732" s="200"/>
      <c r="N732" s="200"/>
      <c r="O732" s="200"/>
      <c r="P732" s="200"/>
      <c r="Q732" s="200"/>
      <c r="R732" s="200"/>
    </row>
    <row r="733" spans="1:18" s="18" customFormat="1" ht="89.25" hidden="1">
      <c r="A733" s="133" t="s">
        <v>421</v>
      </c>
      <c r="B733" s="84" t="s">
        <v>94</v>
      </c>
      <c r="C733" s="84" t="s">
        <v>26</v>
      </c>
      <c r="D733" s="84" t="s">
        <v>28</v>
      </c>
      <c r="E733" s="84" t="s">
        <v>746</v>
      </c>
      <c r="F733" s="84" t="s">
        <v>420</v>
      </c>
      <c r="G733" s="87"/>
      <c r="H733" s="87"/>
      <c r="I733" s="87"/>
      <c r="J733" s="177"/>
      <c r="K733" s="200"/>
      <c r="L733" s="200"/>
      <c r="M733" s="200"/>
      <c r="N733" s="200"/>
      <c r="O733" s="200"/>
      <c r="P733" s="200"/>
      <c r="Q733" s="200"/>
      <c r="R733" s="200"/>
    </row>
    <row r="734" spans="1:18" s="18" customFormat="1" ht="38.25" hidden="1">
      <c r="A734" s="82" t="s">
        <v>460</v>
      </c>
      <c r="B734" s="84" t="s">
        <v>94</v>
      </c>
      <c r="C734" s="84" t="s">
        <v>26</v>
      </c>
      <c r="D734" s="84" t="s">
        <v>28</v>
      </c>
      <c r="E734" s="84" t="s">
        <v>459</v>
      </c>
      <c r="F734" s="84"/>
      <c r="G734" s="87">
        <f>G735</f>
        <v>0</v>
      </c>
      <c r="H734" s="87">
        <f t="shared" ref="H734:I734" si="174">H735</f>
        <v>0</v>
      </c>
      <c r="I734" s="87">
        <f t="shared" si="174"/>
        <v>0</v>
      </c>
      <c r="J734" s="177"/>
      <c r="K734" s="200"/>
      <c r="L734" s="200"/>
      <c r="M734" s="200"/>
      <c r="N734" s="200"/>
      <c r="O734" s="200"/>
      <c r="P734" s="200"/>
      <c r="Q734" s="200"/>
      <c r="R734" s="200"/>
    </row>
    <row r="735" spans="1:18" s="18" customFormat="1" ht="52.5" hidden="1" customHeight="1">
      <c r="A735" s="82" t="s">
        <v>745</v>
      </c>
      <c r="B735" s="84" t="s">
        <v>94</v>
      </c>
      <c r="C735" s="84" t="s">
        <v>26</v>
      </c>
      <c r="D735" s="84" t="s">
        <v>28</v>
      </c>
      <c r="E735" s="84" t="s">
        <v>746</v>
      </c>
      <c r="F735" s="84"/>
      <c r="G735" s="87">
        <f>G736</f>
        <v>0</v>
      </c>
      <c r="H735" s="87">
        <f t="shared" ref="H735:I735" si="175">H736</f>
        <v>0</v>
      </c>
      <c r="I735" s="87">
        <f t="shared" si="175"/>
        <v>0</v>
      </c>
      <c r="J735" s="177"/>
      <c r="K735" s="200"/>
      <c r="L735" s="200"/>
      <c r="M735" s="200"/>
      <c r="N735" s="200"/>
      <c r="O735" s="200"/>
      <c r="P735" s="200"/>
      <c r="Q735" s="200"/>
      <c r="R735" s="200"/>
    </row>
    <row r="736" spans="1:18" s="18" customFormat="1" ht="25.5" hidden="1">
      <c r="A736" s="82" t="s">
        <v>96</v>
      </c>
      <c r="B736" s="84" t="s">
        <v>94</v>
      </c>
      <c r="C736" s="84" t="s">
        <v>26</v>
      </c>
      <c r="D736" s="84" t="s">
        <v>28</v>
      </c>
      <c r="E736" s="84" t="s">
        <v>746</v>
      </c>
      <c r="F736" s="84" t="s">
        <v>349</v>
      </c>
      <c r="G736" s="87">
        <f>G737</f>
        <v>0</v>
      </c>
      <c r="H736" s="87">
        <f t="shared" ref="H736:I736" si="176">H737</f>
        <v>0</v>
      </c>
      <c r="I736" s="87">
        <f t="shared" si="176"/>
        <v>0</v>
      </c>
      <c r="J736" s="177"/>
      <c r="K736" s="200"/>
      <c r="L736" s="200"/>
      <c r="M736" s="200"/>
      <c r="N736" s="200"/>
      <c r="O736" s="200"/>
      <c r="P736" s="200"/>
      <c r="Q736" s="200"/>
      <c r="R736" s="200"/>
    </row>
    <row r="737" spans="1:18" s="18" customFormat="1" ht="89.25" hidden="1">
      <c r="A737" s="133" t="s">
        <v>421</v>
      </c>
      <c r="B737" s="84" t="s">
        <v>94</v>
      </c>
      <c r="C737" s="84" t="s">
        <v>26</v>
      </c>
      <c r="D737" s="84" t="s">
        <v>28</v>
      </c>
      <c r="E737" s="84" t="s">
        <v>746</v>
      </c>
      <c r="F737" s="84" t="s">
        <v>420</v>
      </c>
      <c r="G737" s="87"/>
      <c r="H737" s="87"/>
      <c r="I737" s="87"/>
      <c r="J737" s="177"/>
      <c r="K737" s="200"/>
      <c r="L737" s="200"/>
      <c r="M737" s="200"/>
      <c r="N737" s="200"/>
      <c r="O737" s="200"/>
      <c r="P737" s="200"/>
      <c r="Q737" s="200"/>
      <c r="R737" s="200"/>
    </row>
    <row r="738" spans="1:18" s="18" customFormat="1" ht="51" hidden="1">
      <c r="A738" s="82" t="s">
        <v>514</v>
      </c>
      <c r="B738" s="84" t="s">
        <v>94</v>
      </c>
      <c r="C738" s="84" t="s">
        <v>26</v>
      </c>
      <c r="D738" s="84" t="s">
        <v>28</v>
      </c>
      <c r="E738" s="84" t="s">
        <v>214</v>
      </c>
      <c r="F738" s="84"/>
      <c r="G738" s="87">
        <f>G739</f>
        <v>0</v>
      </c>
      <c r="H738" s="87">
        <f>H739+H742</f>
        <v>0</v>
      </c>
      <c r="I738" s="87">
        <f t="shared" ref="H738:I740" si="177">I739</f>
        <v>0</v>
      </c>
      <c r="J738" s="177"/>
      <c r="K738" s="200"/>
      <c r="L738" s="200"/>
      <c r="M738" s="200"/>
      <c r="N738" s="200"/>
      <c r="O738" s="200"/>
      <c r="P738" s="200"/>
      <c r="Q738" s="200"/>
      <c r="R738" s="200"/>
    </row>
    <row r="739" spans="1:18" s="18" customFormat="1" ht="25.5" hidden="1">
      <c r="A739" s="82" t="s">
        <v>506</v>
      </c>
      <c r="B739" s="84" t="s">
        <v>94</v>
      </c>
      <c r="C739" s="84" t="s">
        <v>26</v>
      </c>
      <c r="D739" s="84" t="s">
        <v>28</v>
      </c>
      <c r="E739" s="84" t="s">
        <v>505</v>
      </c>
      <c r="F739" s="84"/>
      <c r="G739" s="87">
        <f>G740</f>
        <v>0</v>
      </c>
      <c r="H739" s="87">
        <f t="shared" si="177"/>
        <v>0</v>
      </c>
      <c r="I739" s="87">
        <f t="shared" si="177"/>
        <v>0</v>
      </c>
      <c r="J739" s="177"/>
      <c r="K739" s="200"/>
      <c r="L739" s="200"/>
      <c r="M739" s="200"/>
      <c r="N739" s="200"/>
      <c r="O739" s="200"/>
      <c r="P739" s="200"/>
      <c r="Q739" s="200"/>
      <c r="R739" s="200"/>
    </row>
    <row r="740" spans="1:18" s="18" customFormat="1" ht="36" hidden="1" customHeight="1">
      <c r="A740" s="82" t="s">
        <v>96</v>
      </c>
      <c r="B740" s="84" t="s">
        <v>94</v>
      </c>
      <c r="C740" s="84" t="s">
        <v>26</v>
      </c>
      <c r="D740" s="84" t="s">
        <v>28</v>
      </c>
      <c r="E740" s="84" t="s">
        <v>505</v>
      </c>
      <c r="F740" s="84" t="s">
        <v>349</v>
      </c>
      <c r="G740" s="87">
        <f>G741</f>
        <v>0</v>
      </c>
      <c r="H740" s="87">
        <f t="shared" si="177"/>
        <v>0</v>
      </c>
      <c r="I740" s="87">
        <f t="shared" si="177"/>
        <v>0</v>
      </c>
      <c r="J740" s="177"/>
      <c r="K740" s="200"/>
      <c r="L740" s="200"/>
      <c r="M740" s="200"/>
      <c r="N740" s="200"/>
      <c r="O740" s="200"/>
      <c r="P740" s="200"/>
      <c r="Q740" s="200"/>
      <c r="R740" s="200"/>
    </row>
    <row r="741" spans="1:18" s="18" customFormat="1" ht="99" hidden="1" customHeight="1">
      <c r="A741" s="133" t="s">
        <v>421</v>
      </c>
      <c r="B741" s="84" t="s">
        <v>94</v>
      </c>
      <c r="C741" s="84" t="s">
        <v>26</v>
      </c>
      <c r="D741" s="84" t="s">
        <v>28</v>
      </c>
      <c r="E741" s="84" t="s">
        <v>505</v>
      </c>
      <c r="F741" s="84" t="s">
        <v>420</v>
      </c>
      <c r="G741" s="87">
        <v>0</v>
      </c>
      <c r="H741" s="87"/>
      <c r="I741" s="87">
        <v>0</v>
      </c>
      <c r="J741" s="177"/>
      <c r="K741" s="200"/>
      <c r="L741" s="200"/>
      <c r="M741" s="200"/>
      <c r="N741" s="200"/>
      <c r="O741" s="200"/>
      <c r="P741" s="200"/>
      <c r="Q741" s="200"/>
      <c r="R741" s="200"/>
    </row>
    <row r="742" spans="1:18" s="18" customFormat="1" ht="25.5" hidden="1">
      <c r="A742" s="82" t="s">
        <v>508</v>
      </c>
      <c r="B742" s="84" t="s">
        <v>94</v>
      </c>
      <c r="C742" s="84" t="s">
        <v>26</v>
      </c>
      <c r="D742" s="84" t="s">
        <v>28</v>
      </c>
      <c r="E742" s="84" t="s">
        <v>507</v>
      </c>
      <c r="F742" s="84"/>
      <c r="G742" s="87">
        <f>G743</f>
        <v>0</v>
      </c>
      <c r="H742" s="87">
        <f t="shared" ref="H742:I743" si="178">H743</f>
        <v>0</v>
      </c>
      <c r="I742" s="87">
        <f t="shared" si="178"/>
        <v>0</v>
      </c>
      <c r="J742" s="177"/>
      <c r="K742" s="200"/>
      <c r="L742" s="200"/>
      <c r="M742" s="200"/>
      <c r="N742" s="200"/>
      <c r="O742" s="200"/>
      <c r="P742" s="200"/>
      <c r="Q742" s="200"/>
      <c r="R742" s="200"/>
    </row>
    <row r="743" spans="1:18" s="18" customFormat="1" ht="36" hidden="1" customHeight="1">
      <c r="A743" s="82" t="s">
        <v>96</v>
      </c>
      <c r="B743" s="84" t="s">
        <v>94</v>
      </c>
      <c r="C743" s="84" t="s">
        <v>26</v>
      </c>
      <c r="D743" s="84" t="s">
        <v>28</v>
      </c>
      <c r="E743" s="84" t="s">
        <v>507</v>
      </c>
      <c r="F743" s="84" t="s">
        <v>349</v>
      </c>
      <c r="G743" s="87">
        <f>G744</f>
        <v>0</v>
      </c>
      <c r="H743" s="87">
        <f t="shared" si="178"/>
        <v>0</v>
      </c>
      <c r="I743" s="87">
        <f t="shared" si="178"/>
        <v>0</v>
      </c>
      <c r="J743" s="177"/>
      <c r="K743" s="200"/>
      <c r="L743" s="200"/>
      <c r="M743" s="200"/>
      <c r="N743" s="200"/>
      <c r="O743" s="200"/>
      <c r="P743" s="200"/>
      <c r="Q743" s="200"/>
      <c r="R743" s="200"/>
    </row>
    <row r="744" spans="1:18" s="18" customFormat="1" ht="99" hidden="1" customHeight="1">
      <c r="A744" s="133" t="s">
        <v>421</v>
      </c>
      <c r="B744" s="84" t="s">
        <v>94</v>
      </c>
      <c r="C744" s="84" t="s">
        <v>26</v>
      </c>
      <c r="D744" s="84" t="s">
        <v>28</v>
      </c>
      <c r="E744" s="84" t="s">
        <v>507</v>
      </c>
      <c r="F744" s="84" t="s">
        <v>420</v>
      </c>
      <c r="G744" s="87">
        <v>0</v>
      </c>
      <c r="H744" s="87"/>
      <c r="I744" s="87">
        <v>0</v>
      </c>
      <c r="J744" s="177"/>
      <c r="K744" s="200"/>
      <c r="L744" s="200"/>
      <c r="M744" s="200"/>
      <c r="N744" s="200"/>
      <c r="O744" s="200"/>
      <c r="P744" s="200"/>
      <c r="Q744" s="200"/>
      <c r="R744" s="200"/>
    </row>
    <row r="745" spans="1:18" s="76" customFormat="1" ht="24.75" hidden="1" customHeight="1">
      <c r="A745" s="139" t="s">
        <v>169</v>
      </c>
      <c r="B745" s="84" t="s">
        <v>94</v>
      </c>
      <c r="C745" s="84" t="s">
        <v>26</v>
      </c>
      <c r="D745" s="84" t="s">
        <v>28</v>
      </c>
      <c r="E745" s="84" t="s">
        <v>234</v>
      </c>
      <c r="F745" s="159"/>
      <c r="G745" s="87">
        <f>G746</f>
        <v>0</v>
      </c>
      <c r="H745" s="87">
        <v>0</v>
      </c>
      <c r="I745" s="87">
        <v>0</v>
      </c>
      <c r="J745" s="177"/>
      <c r="K745" s="216"/>
      <c r="L745" s="217"/>
      <c r="M745" s="217"/>
      <c r="N745" s="217"/>
      <c r="O745" s="217"/>
      <c r="P745" s="217"/>
      <c r="Q745" s="217"/>
      <c r="R745" s="217"/>
    </row>
    <row r="746" spans="1:18" ht="25.5" hidden="1">
      <c r="A746" s="139" t="s">
        <v>169</v>
      </c>
      <c r="B746" s="84" t="s">
        <v>94</v>
      </c>
      <c r="C746" s="84" t="s">
        <v>26</v>
      </c>
      <c r="D746" s="84" t="s">
        <v>28</v>
      </c>
      <c r="E746" s="84" t="s">
        <v>276</v>
      </c>
      <c r="F746" s="149"/>
      <c r="G746" s="87">
        <f>G747</f>
        <v>0</v>
      </c>
      <c r="H746" s="87">
        <v>0</v>
      </c>
      <c r="I746" s="87">
        <v>0</v>
      </c>
      <c r="J746" s="177"/>
      <c r="K746" s="209"/>
    </row>
    <row r="747" spans="1:18" hidden="1">
      <c r="A747" s="82" t="s">
        <v>63</v>
      </c>
      <c r="B747" s="84" t="s">
        <v>94</v>
      </c>
      <c r="C747" s="84" t="s">
        <v>26</v>
      </c>
      <c r="D747" s="84" t="s">
        <v>28</v>
      </c>
      <c r="E747" s="84" t="s">
        <v>276</v>
      </c>
      <c r="F747" s="84" t="s">
        <v>31</v>
      </c>
      <c r="G747" s="87">
        <f>G748</f>
        <v>0</v>
      </c>
      <c r="H747" s="87">
        <f>H748</f>
        <v>0</v>
      </c>
      <c r="I747" s="87">
        <f>I748</f>
        <v>0</v>
      </c>
      <c r="J747" s="177"/>
      <c r="K747" s="209"/>
    </row>
    <row r="748" spans="1:18" ht="19.5" hidden="1" customHeight="1">
      <c r="A748" s="82" t="s">
        <v>180</v>
      </c>
      <c r="B748" s="84" t="s">
        <v>94</v>
      </c>
      <c r="C748" s="84" t="s">
        <v>26</v>
      </c>
      <c r="D748" s="84" t="s">
        <v>28</v>
      </c>
      <c r="E748" s="84" t="s">
        <v>276</v>
      </c>
      <c r="F748" s="84" t="s">
        <v>33</v>
      </c>
      <c r="G748" s="87"/>
      <c r="H748" s="87">
        <f>'прил 5,'!H236</f>
        <v>0</v>
      </c>
      <c r="I748" s="87">
        <f>'прил 5,'!I236</f>
        <v>0</v>
      </c>
      <c r="J748" s="177"/>
      <c r="K748" s="209"/>
    </row>
    <row r="749" spans="1:18" ht="30" hidden="1" customHeight="1">
      <c r="A749" s="82" t="s">
        <v>334</v>
      </c>
      <c r="B749" s="84" t="s">
        <v>94</v>
      </c>
      <c r="C749" s="84" t="s">
        <v>26</v>
      </c>
      <c r="D749" s="84" t="s">
        <v>28</v>
      </c>
      <c r="E749" s="84" t="s">
        <v>211</v>
      </c>
      <c r="F749" s="84"/>
      <c r="G749" s="87">
        <f>G750</f>
        <v>0</v>
      </c>
      <c r="H749" s="87"/>
      <c r="I749" s="87"/>
      <c r="J749" s="177"/>
      <c r="K749" s="209"/>
    </row>
    <row r="750" spans="1:18" ht="29.25" hidden="1" customHeight="1">
      <c r="A750" s="82" t="s">
        <v>30</v>
      </c>
      <c r="B750" s="84" t="s">
        <v>94</v>
      </c>
      <c r="C750" s="84" t="s">
        <v>26</v>
      </c>
      <c r="D750" s="84" t="s">
        <v>28</v>
      </c>
      <c r="E750" s="84" t="s">
        <v>211</v>
      </c>
      <c r="F750" s="84" t="s">
        <v>31</v>
      </c>
      <c r="G750" s="87">
        <f>G751</f>
        <v>0</v>
      </c>
      <c r="H750" s="87"/>
      <c r="I750" s="87"/>
      <c r="J750" s="177"/>
      <c r="K750" s="209"/>
    </row>
    <row r="751" spans="1:18" ht="19.5" hidden="1" customHeight="1">
      <c r="A751" s="82" t="s">
        <v>32</v>
      </c>
      <c r="B751" s="84" t="s">
        <v>94</v>
      </c>
      <c r="C751" s="84" t="s">
        <v>26</v>
      </c>
      <c r="D751" s="84" t="s">
        <v>28</v>
      </c>
      <c r="E751" s="84" t="s">
        <v>211</v>
      </c>
      <c r="F751" s="84" t="s">
        <v>33</v>
      </c>
      <c r="G751" s="87"/>
      <c r="H751" s="87"/>
      <c r="I751" s="87"/>
      <c r="J751" s="177"/>
      <c r="K751" s="209"/>
    </row>
    <row r="752" spans="1:18" s="165" customFormat="1" ht="30.75" hidden="1" customHeight="1">
      <c r="A752" s="139" t="s">
        <v>273</v>
      </c>
      <c r="B752" s="84" t="s">
        <v>94</v>
      </c>
      <c r="C752" s="84" t="s">
        <v>26</v>
      </c>
      <c r="D752" s="84" t="s">
        <v>28</v>
      </c>
      <c r="E752" s="84" t="s">
        <v>571</v>
      </c>
      <c r="F752" s="84"/>
      <c r="G752" s="87">
        <f>G753</f>
        <v>0</v>
      </c>
      <c r="H752" s="274">
        <v>0</v>
      </c>
      <c r="I752" s="274">
        <v>0</v>
      </c>
      <c r="J752" s="193"/>
      <c r="K752" s="206"/>
      <c r="L752" s="206"/>
      <c r="M752" s="206"/>
      <c r="N752" s="206"/>
      <c r="O752" s="206"/>
      <c r="P752" s="206"/>
      <c r="Q752" s="206"/>
      <c r="R752" s="206"/>
    </row>
    <row r="753" spans="1:18" ht="30.75" hidden="1" customHeight="1">
      <c r="A753" s="82" t="s">
        <v>273</v>
      </c>
      <c r="B753" s="84" t="s">
        <v>94</v>
      </c>
      <c r="C753" s="84" t="s">
        <v>26</v>
      </c>
      <c r="D753" s="84" t="s">
        <v>28</v>
      </c>
      <c r="E753" s="84" t="s">
        <v>572</v>
      </c>
      <c r="F753" s="84"/>
      <c r="G753" s="87">
        <f>G760</f>
        <v>0</v>
      </c>
      <c r="H753" s="87">
        <v>0</v>
      </c>
      <c r="I753" s="87">
        <v>0</v>
      </c>
      <c r="J753" s="177"/>
    </row>
    <row r="754" spans="1:18" ht="30.75" hidden="1" customHeight="1">
      <c r="A754" s="82" t="s">
        <v>36</v>
      </c>
      <c r="B754" s="84" t="s">
        <v>94</v>
      </c>
      <c r="C754" s="84" t="s">
        <v>26</v>
      </c>
      <c r="D754" s="84" t="s">
        <v>28</v>
      </c>
      <c r="E754" s="84" t="s">
        <v>572</v>
      </c>
      <c r="F754" s="84" t="s">
        <v>37</v>
      </c>
      <c r="G754" s="87">
        <f>G755</f>
        <v>45000</v>
      </c>
      <c r="H754" s="87">
        <v>0</v>
      </c>
      <c r="I754" s="87">
        <v>0</v>
      </c>
      <c r="J754" s="177"/>
    </row>
    <row r="755" spans="1:18" ht="30.75" hidden="1" customHeight="1">
      <c r="A755" s="82" t="s">
        <v>38</v>
      </c>
      <c r="B755" s="84" t="s">
        <v>94</v>
      </c>
      <c r="C755" s="84" t="s">
        <v>26</v>
      </c>
      <c r="D755" s="84" t="s">
        <v>28</v>
      </c>
      <c r="E755" s="84" t="s">
        <v>572</v>
      </c>
      <c r="F755" s="84" t="s">
        <v>39</v>
      </c>
      <c r="G755" s="87">
        <f>'прил 5,'!G1219</f>
        <v>45000</v>
      </c>
      <c r="H755" s="87">
        <v>0</v>
      </c>
      <c r="I755" s="87">
        <v>0</v>
      </c>
      <c r="J755" s="177"/>
    </row>
    <row r="756" spans="1:18" ht="23.25" hidden="1" customHeight="1">
      <c r="A756" s="82" t="s">
        <v>148</v>
      </c>
      <c r="B756" s="84" t="s">
        <v>94</v>
      </c>
      <c r="C756" s="84" t="s">
        <v>26</v>
      </c>
      <c r="D756" s="84" t="s">
        <v>28</v>
      </c>
      <c r="E756" s="84" t="s">
        <v>572</v>
      </c>
      <c r="F756" s="84" t="s">
        <v>149</v>
      </c>
      <c r="G756" s="87">
        <f>G757</f>
        <v>1186637</v>
      </c>
      <c r="H756" s="87">
        <v>0</v>
      </c>
      <c r="I756" s="87">
        <v>0</v>
      </c>
      <c r="J756" s="177"/>
    </row>
    <row r="757" spans="1:18" ht="30.75" hidden="1" customHeight="1">
      <c r="A757" s="82" t="s">
        <v>150</v>
      </c>
      <c r="B757" s="84" t="s">
        <v>94</v>
      </c>
      <c r="C757" s="84" t="s">
        <v>26</v>
      </c>
      <c r="D757" s="84" t="s">
        <v>28</v>
      </c>
      <c r="E757" s="84" t="s">
        <v>572</v>
      </c>
      <c r="F757" s="84" t="s">
        <v>151</v>
      </c>
      <c r="G757" s="87">
        <f>'прил 5,'!G669</f>
        <v>1186637</v>
      </c>
      <c r="H757" s="87">
        <v>0</v>
      </c>
      <c r="I757" s="87">
        <v>0</v>
      </c>
      <c r="J757" s="177"/>
    </row>
    <row r="758" spans="1:18" ht="21.75" hidden="1" customHeight="1">
      <c r="A758" s="82" t="s">
        <v>156</v>
      </c>
      <c r="B758" s="84" t="s">
        <v>94</v>
      </c>
      <c r="C758" s="84" t="s">
        <v>26</v>
      </c>
      <c r="D758" s="84" t="s">
        <v>28</v>
      </c>
      <c r="E758" s="84" t="s">
        <v>572</v>
      </c>
      <c r="F758" s="84" t="s">
        <v>157</v>
      </c>
      <c r="G758" s="87">
        <f>G759</f>
        <v>0</v>
      </c>
      <c r="H758" s="87">
        <v>0</v>
      </c>
      <c r="I758" s="87">
        <v>0</v>
      </c>
      <c r="J758" s="177"/>
    </row>
    <row r="759" spans="1:18" ht="22.5" hidden="1" customHeight="1">
      <c r="A759" s="82" t="s">
        <v>178</v>
      </c>
      <c r="B759" s="84" t="s">
        <v>94</v>
      </c>
      <c r="C759" s="84" t="s">
        <v>26</v>
      </c>
      <c r="D759" s="84" t="s">
        <v>28</v>
      </c>
      <c r="E759" s="84" t="s">
        <v>572</v>
      </c>
      <c r="F759" s="84" t="s">
        <v>179</v>
      </c>
      <c r="G759" s="87"/>
      <c r="H759" s="87">
        <v>0</v>
      </c>
      <c r="I759" s="87">
        <v>0</v>
      </c>
      <c r="J759" s="177"/>
    </row>
    <row r="760" spans="1:18" ht="25.5" hidden="1">
      <c r="A760" s="82" t="s">
        <v>30</v>
      </c>
      <c r="B760" s="84" t="s">
        <v>94</v>
      </c>
      <c r="C760" s="84" t="s">
        <v>26</v>
      </c>
      <c r="D760" s="84" t="s">
        <v>28</v>
      </c>
      <c r="E760" s="84" t="s">
        <v>572</v>
      </c>
      <c r="F760" s="84" t="s">
        <v>31</v>
      </c>
      <c r="G760" s="85">
        <f t="shared" ref="G760:I760" si="179">G761</f>
        <v>0</v>
      </c>
      <c r="H760" s="85">
        <f t="shared" si="179"/>
        <v>0</v>
      </c>
      <c r="I760" s="85">
        <f t="shared" si="179"/>
        <v>0</v>
      </c>
      <c r="J760" s="178"/>
    </row>
    <row r="761" spans="1:18" hidden="1">
      <c r="A761" s="82" t="s">
        <v>32</v>
      </c>
      <c r="B761" s="84" t="s">
        <v>94</v>
      </c>
      <c r="C761" s="84" t="s">
        <v>26</v>
      </c>
      <c r="D761" s="84" t="s">
        <v>28</v>
      </c>
      <c r="E761" s="84" t="s">
        <v>572</v>
      </c>
      <c r="F761" s="84" t="s">
        <v>33</v>
      </c>
      <c r="G761" s="85"/>
      <c r="H761" s="85"/>
      <c r="I761" s="85"/>
      <c r="J761" s="178"/>
    </row>
    <row r="762" spans="1:18" s="165" customFormat="1" ht="30.75" hidden="1" customHeight="1">
      <c r="A762" s="139" t="s">
        <v>169</v>
      </c>
      <c r="B762" s="84" t="s">
        <v>94</v>
      </c>
      <c r="C762" s="84" t="s">
        <v>26</v>
      </c>
      <c r="D762" s="84" t="s">
        <v>28</v>
      </c>
      <c r="E762" s="84" t="s">
        <v>234</v>
      </c>
      <c r="F762" s="84"/>
      <c r="G762" s="87">
        <f>G763</f>
        <v>0</v>
      </c>
      <c r="H762" s="274">
        <v>0</v>
      </c>
      <c r="I762" s="274">
        <v>0</v>
      </c>
      <c r="J762" s="193"/>
      <c r="K762" s="206"/>
      <c r="L762" s="206"/>
      <c r="M762" s="206"/>
      <c r="N762" s="206"/>
      <c r="O762" s="206"/>
      <c r="P762" s="206"/>
      <c r="Q762" s="206"/>
      <c r="R762" s="206"/>
    </row>
    <row r="763" spans="1:18" ht="30.75" hidden="1" customHeight="1">
      <c r="A763" s="82" t="s">
        <v>169</v>
      </c>
      <c r="B763" s="84" t="s">
        <v>94</v>
      </c>
      <c r="C763" s="84" t="s">
        <v>26</v>
      </c>
      <c r="D763" s="84" t="s">
        <v>28</v>
      </c>
      <c r="E763" s="84" t="s">
        <v>830</v>
      </c>
      <c r="F763" s="84"/>
      <c r="G763" s="87">
        <f>G770</f>
        <v>0</v>
      </c>
      <c r="H763" s="87">
        <v>0</v>
      </c>
      <c r="I763" s="87">
        <v>0</v>
      </c>
      <c r="J763" s="177"/>
    </row>
    <row r="764" spans="1:18" ht="30.75" hidden="1" customHeight="1">
      <c r="A764" s="82" t="s">
        <v>36</v>
      </c>
      <c r="B764" s="84" t="s">
        <v>94</v>
      </c>
      <c r="C764" s="84" t="s">
        <v>26</v>
      </c>
      <c r="D764" s="84" t="s">
        <v>28</v>
      </c>
      <c r="E764" s="84" t="s">
        <v>572</v>
      </c>
      <c r="F764" s="84" t="s">
        <v>37</v>
      </c>
      <c r="G764" s="87">
        <f>G765</f>
        <v>6721909</v>
      </c>
      <c r="H764" s="87">
        <v>0</v>
      </c>
      <c r="I764" s="87">
        <v>0</v>
      </c>
      <c r="J764" s="177"/>
    </row>
    <row r="765" spans="1:18" ht="30.75" hidden="1" customHeight="1">
      <c r="A765" s="82" t="s">
        <v>38</v>
      </c>
      <c r="B765" s="84" t="s">
        <v>94</v>
      </c>
      <c r="C765" s="84" t="s">
        <v>26</v>
      </c>
      <c r="D765" s="84" t="s">
        <v>28</v>
      </c>
      <c r="E765" s="84" t="s">
        <v>572</v>
      </c>
      <c r="F765" s="84" t="s">
        <v>39</v>
      </c>
      <c r="G765" s="87">
        <f>'прил 5,'!G1232</f>
        <v>6721909</v>
      </c>
      <c r="H765" s="87">
        <v>0</v>
      </c>
      <c r="I765" s="87">
        <v>0</v>
      </c>
      <c r="J765" s="177"/>
    </row>
    <row r="766" spans="1:18" ht="23.25" hidden="1" customHeight="1">
      <c r="A766" s="82" t="s">
        <v>148</v>
      </c>
      <c r="B766" s="84" t="s">
        <v>94</v>
      </c>
      <c r="C766" s="84" t="s">
        <v>26</v>
      </c>
      <c r="D766" s="84" t="s">
        <v>28</v>
      </c>
      <c r="E766" s="84" t="s">
        <v>572</v>
      </c>
      <c r="F766" s="84" t="s">
        <v>149</v>
      </c>
      <c r="G766" s="87">
        <f>G767</f>
        <v>3892741</v>
      </c>
      <c r="H766" s="87">
        <v>0</v>
      </c>
      <c r="I766" s="87">
        <v>0</v>
      </c>
      <c r="J766" s="177"/>
    </row>
    <row r="767" spans="1:18" ht="30.75" hidden="1" customHeight="1">
      <c r="A767" s="82" t="s">
        <v>150</v>
      </c>
      <c r="B767" s="84" t="s">
        <v>94</v>
      </c>
      <c r="C767" s="84" t="s">
        <v>26</v>
      </c>
      <c r="D767" s="84" t="s">
        <v>28</v>
      </c>
      <c r="E767" s="84" t="s">
        <v>572</v>
      </c>
      <c r="F767" s="84" t="s">
        <v>151</v>
      </c>
      <c r="G767" s="87">
        <f>'прил 5,'!G679</f>
        <v>3892741</v>
      </c>
      <c r="H767" s="87">
        <v>0</v>
      </c>
      <c r="I767" s="87">
        <v>0</v>
      </c>
      <c r="J767" s="177"/>
    </row>
    <row r="768" spans="1:18" ht="21.75" hidden="1" customHeight="1">
      <c r="A768" s="82" t="s">
        <v>156</v>
      </c>
      <c r="B768" s="84" t="s">
        <v>94</v>
      </c>
      <c r="C768" s="84" t="s">
        <v>26</v>
      </c>
      <c r="D768" s="84" t="s">
        <v>28</v>
      </c>
      <c r="E768" s="84" t="s">
        <v>572</v>
      </c>
      <c r="F768" s="84" t="s">
        <v>157</v>
      </c>
      <c r="G768" s="87">
        <f>G769</f>
        <v>0</v>
      </c>
      <c r="H768" s="87">
        <v>0</v>
      </c>
      <c r="I768" s="87">
        <v>0</v>
      </c>
      <c r="J768" s="177"/>
    </row>
    <row r="769" spans="1:18" ht="22.5" hidden="1" customHeight="1">
      <c r="A769" s="82" t="s">
        <v>178</v>
      </c>
      <c r="B769" s="84" t="s">
        <v>94</v>
      </c>
      <c r="C769" s="84" t="s">
        <v>26</v>
      </c>
      <c r="D769" s="84" t="s">
        <v>28</v>
      </c>
      <c r="E769" s="84" t="s">
        <v>572</v>
      </c>
      <c r="F769" s="84" t="s">
        <v>179</v>
      </c>
      <c r="G769" s="87"/>
      <c r="H769" s="87">
        <v>0</v>
      </c>
      <c r="I769" s="87">
        <v>0</v>
      </c>
      <c r="J769" s="177"/>
    </row>
    <row r="770" spans="1:18" ht="25.5" hidden="1">
      <c r="A770" s="82" t="s">
        <v>30</v>
      </c>
      <c r="B770" s="84" t="s">
        <v>94</v>
      </c>
      <c r="C770" s="84" t="s">
        <v>26</v>
      </c>
      <c r="D770" s="84" t="s">
        <v>28</v>
      </c>
      <c r="E770" s="84" t="s">
        <v>830</v>
      </c>
      <c r="F770" s="84" t="s">
        <v>31</v>
      </c>
      <c r="G770" s="85">
        <f t="shared" ref="G770:I770" si="180">G771</f>
        <v>0</v>
      </c>
      <c r="H770" s="85">
        <f t="shared" si="180"/>
        <v>0</v>
      </c>
      <c r="I770" s="85">
        <f t="shared" si="180"/>
        <v>0</v>
      </c>
      <c r="J770" s="178"/>
    </row>
    <row r="771" spans="1:18" hidden="1">
      <c r="A771" s="82" t="s">
        <v>32</v>
      </c>
      <c r="B771" s="84" t="s">
        <v>94</v>
      </c>
      <c r="C771" s="84" t="s">
        <v>26</v>
      </c>
      <c r="D771" s="84" t="s">
        <v>28</v>
      </c>
      <c r="E771" s="84" t="s">
        <v>830</v>
      </c>
      <c r="F771" s="84" t="s">
        <v>33</v>
      </c>
      <c r="G771" s="85"/>
      <c r="H771" s="85"/>
      <c r="I771" s="85"/>
      <c r="J771" s="178"/>
    </row>
    <row r="772" spans="1:18" s="169" customFormat="1" ht="28.5" hidden="1" customHeight="1">
      <c r="A772" s="139" t="s">
        <v>485</v>
      </c>
      <c r="B772" s="84" t="s">
        <v>94</v>
      </c>
      <c r="C772" s="84" t="s">
        <v>26</v>
      </c>
      <c r="D772" s="84" t="s">
        <v>28</v>
      </c>
      <c r="E772" s="84" t="s">
        <v>195</v>
      </c>
      <c r="F772" s="84"/>
      <c r="G772" s="87">
        <f>G776</f>
        <v>0</v>
      </c>
      <c r="H772" s="87">
        <f t="shared" ref="H772:I772" si="181">H776</f>
        <v>0</v>
      </c>
      <c r="I772" s="87">
        <f t="shared" si="181"/>
        <v>0</v>
      </c>
      <c r="J772" s="177"/>
      <c r="K772" s="204"/>
      <c r="L772" s="204"/>
      <c r="M772" s="204"/>
      <c r="N772" s="204"/>
      <c r="O772" s="204"/>
      <c r="P772" s="204"/>
      <c r="Q772" s="204"/>
      <c r="R772" s="204"/>
    </row>
    <row r="773" spans="1:18" s="169" customFormat="1" ht="27.75" hidden="1" customHeight="1">
      <c r="A773" s="139" t="s">
        <v>73</v>
      </c>
      <c r="B773" s="84" t="s">
        <v>94</v>
      </c>
      <c r="C773" s="84" t="s">
        <v>26</v>
      </c>
      <c r="D773" s="84" t="s">
        <v>70</v>
      </c>
      <c r="E773" s="84" t="s">
        <v>206</v>
      </c>
      <c r="F773" s="84"/>
      <c r="G773" s="87">
        <f>G774</f>
        <v>0</v>
      </c>
      <c r="H773" s="87">
        <f t="shared" ref="H773:I773" si="182">H774</f>
        <v>0</v>
      </c>
      <c r="I773" s="87">
        <f t="shared" si="182"/>
        <v>0</v>
      </c>
      <c r="J773" s="177"/>
      <c r="K773" s="204"/>
      <c r="L773" s="204"/>
      <c r="M773" s="204"/>
      <c r="N773" s="204"/>
      <c r="O773" s="204"/>
      <c r="P773" s="204"/>
      <c r="Q773" s="204"/>
      <c r="R773" s="204"/>
    </row>
    <row r="774" spans="1:18" s="227" customFormat="1" ht="28.5" hidden="1" customHeight="1">
      <c r="A774" s="82" t="s">
        <v>36</v>
      </c>
      <c r="B774" s="84" t="s">
        <v>94</v>
      </c>
      <c r="C774" s="84" t="s">
        <v>26</v>
      </c>
      <c r="D774" s="84" t="s">
        <v>70</v>
      </c>
      <c r="E774" s="84" t="s">
        <v>206</v>
      </c>
      <c r="F774" s="84" t="s">
        <v>37</v>
      </c>
      <c r="G774" s="87">
        <f>G775</f>
        <v>0</v>
      </c>
      <c r="H774" s="87">
        <f>H775</f>
        <v>0</v>
      </c>
      <c r="I774" s="87">
        <f>I775</f>
        <v>0</v>
      </c>
      <c r="J774" s="177"/>
      <c r="K774" s="203"/>
      <c r="L774" s="203"/>
      <c r="M774" s="203"/>
      <c r="N774" s="203"/>
      <c r="O774" s="203"/>
      <c r="P774" s="203"/>
      <c r="Q774" s="203"/>
      <c r="R774" s="203"/>
    </row>
    <row r="775" spans="1:18" s="227" customFormat="1" hidden="1">
      <c r="A775" s="82"/>
      <c r="B775" s="84" t="s">
        <v>94</v>
      </c>
      <c r="C775" s="84" t="s">
        <v>26</v>
      </c>
      <c r="D775" s="84" t="s">
        <v>70</v>
      </c>
      <c r="E775" s="84"/>
      <c r="F775" s="84"/>
      <c r="G775" s="87"/>
      <c r="H775" s="87"/>
      <c r="I775" s="87"/>
      <c r="J775" s="177"/>
      <c r="K775" s="205"/>
      <c r="L775" s="203"/>
      <c r="M775" s="203"/>
      <c r="N775" s="203"/>
      <c r="O775" s="203"/>
      <c r="P775" s="203"/>
      <c r="Q775" s="203"/>
      <c r="R775" s="203"/>
    </row>
    <row r="776" spans="1:18" s="169" customFormat="1" ht="65.25" hidden="1" customHeight="1">
      <c r="A776" s="139" t="s">
        <v>985</v>
      </c>
      <c r="B776" s="84" t="s">
        <v>94</v>
      </c>
      <c r="C776" s="84" t="s">
        <v>26</v>
      </c>
      <c r="D776" s="84" t="s">
        <v>28</v>
      </c>
      <c r="E776" s="84" t="s">
        <v>961</v>
      </c>
      <c r="F776" s="84"/>
      <c r="G776" s="87">
        <f>G777</f>
        <v>0</v>
      </c>
      <c r="H776" s="87">
        <f t="shared" ref="H776:I776" si="183">H777</f>
        <v>0</v>
      </c>
      <c r="I776" s="87">
        <f t="shared" si="183"/>
        <v>0</v>
      </c>
      <c r="J776" s="177"/>
      <c r="K776" s="204"/>
      <c r="L776" s="204"/>
      <c r="M776" s="204"/>
      <c r="N776" s="204"/>
      <c r="O776" s="204"/>
      <c r="P776" s="204"/>
      <c r="Q776" s="204"/>
      <c r="R776" s="204"/>
    </row>
    <row r="777" spans="1:18" s="227" customFormat="1" ht="28.5" hidden="1" customHeight="1">
      <c r="A777" s="82" t="s">
        <v>30</v>
      </c>
      <c r="B777" s="84" t="s">
        <v>94</v>
      </c>
      <c r="C777" s="84" t="s">
        <v>26</v>
      </c>
      <c r="D777" s="84" t="s">
        <v>28</v>
      </c>
      <c r="E777" s="84" t="s">
        <v>961</v>
      </c>
      <c r="F777" s="84" t="s">
        <v>31</v>
      </c>
      <c r="G777" s="87">
        <f>G778</f>
        <v>0</v>
      </c>
      <c r="H777" s="87">
        <f>H778</f>
        <v>0</v>
      </c>
      <c r="I777" s="87">
        <f>I778</f>
        <v>0</v>
      </c>
      <c r="J777" s="177"/>
      <c r="K777" s="203"/>
      <c r="L777" s="203"/>
      <c r="M777" s="203"/>
      <c r="N777" s="203"/>
      <c r="O777" s="203"/>
      <c r="P777" s="203"/>
      <c r="Q777" s="203"/>
      <c r="R777" s="203"/>
    </row>
    <row r="778" spans="1:18" s="227" customFormat="1" hidden="1">
      <c r="A778" s="82" t="s">
        <v>32</v>
      </c>
      <c r="B778" s="84" t="s">
        <v>94</v>
      </c>
      <c r="C778" s="84" t="s">
        <v>26</v>
      </c>
      <c r="D778" s="84" t="s">
        <v>28</v>
      </c>
      <c r="E778" s="84" t="s">
        <v>961</v>
      </c>
      <c r="F778" s="84" t="s">
        <v>33</v>
      </c>
      <c r="G778" s="87">
        <v>0</v>
      </c>
      <c r="H778" s="87">
        <v>0</v>
      </c>
      <c r="I778" s="87">
        <v>0</v>
      </c>
      <c r="J778" s="177"/>
      <c r="K778" s="205"/>
      <c r="L778" s="203"/>
      <c r="M778" s="203"/>
      <c r="N778" s="203"/>
      <c r="O778" s="203"/>
      <c r="P778" s="203"/>
      <c r="Q778" s="203"/>
      <c r="R778" s="203"/>
    </row>
    <row r="779" spans="1:18" s="33" customFormat="1" ht="27" customHeight="1">
      <c r="A779" s="82" t="s">
        <v>98</v>
      </c>
      <c r="B779" s="149">
        <v>774</v>
      </c>
      <c r="C779" s="84" t="s">
        <v>26</v>
      </c>
      <c r="D779" s="84" t="s">
        <v>28</v>
      </c>
      <c r="E779" s="149" t="s">
        <v>210</v>
      </c>
      <c r="F779" s="84"/>
      <c r="G779" s="87">
        <f>G780+G783</f>
        <v>290000</v>
      </c>
      <c r="H779" s="87">
        <f t="shared" ref="H779:I780" si="184">H780</f>
        <v>0</v>
      </c>
      <c r="I779" s="87">
        <f t="shared" si="184"/>
        <v>0</v>
      </c>
      <c r="J779" s="177"/>
      <c r="K779" s="211"/>
      <c r="L779" s="211"/>
      <c r="M779" s="211"/>
      <c r="N779" s="211"/>
      <c r="O779" s="211"/>
      <c r="P779" s="211"/>
      <c r="Q779" s="211"/>
      <c r="R779" s="211"/>
    </row>
    <row r="780" spans="1:18" ht="19.5" customHeight="1">
      <c r="A780" s="82" t="s">
        <v>833</v>
      </c>
      <c r="B780" s="149">
        <v>774</v>
      </c>
      <c r="C780" s="84" t="s">
        <v>26</v>
      </c>
      <c r="D780" s="84" t="s">
        <v>28</v>
      </c>
      <c r="E780" s="84" t="s">
        <v>834</v>
      </c>
      <c r="F780" s="84"/>
      <c r="G780" s="87">
        <f>G781</f>
        <v>90000</v>
      </c>
      <c r="H780" s="87">
        <f t="shared" si="184"/>
        <v>0</v>
      </c>
      <c r="I780" s="87">
        <f t="shared" si="184"/>
        <v>0</v>
      </c>
      <c r="J780" s="177"/>
    </row>
    <row r="781" spans="1:18" ht="30.75" customHeight="1">
      <c r="A781" s="82" t="s">
        <v>30</v>
      </c>
      <c r="B781" s="149">
        <v>774</v>
      </c>
      <c r="C781" s="84" t="s">
        <v>26</v>
      </c>
      <c r="D781" s="84" t="s">
        <v>28</v>
      </c>
      <c r="E781" s="84" t="s">
        <v>834</v>
      </c>
      <c r="F781" s="84" t="s">
        <v>31</v>
      </c>
      <c r="G781" s="87">
        <f>G782</f>
        <v>90000</v>
      </c>
      <c r="H781" s="87">
        <f>H782</f>
        <v>0</v>
      </c>
      <c r="I781" s="87">
        <f>I782</f>
        <v>0</v>
      </c>
      <c r="J781" s="177"/>
    </row>
    <row r="782" spans="1:18" ht="18.75" customHeight="1">
      <c r="A782" s="82" t="s">
        <v>32</v>
      </c>
      <c r="B782" s="149">
        <v>774</v>
      </c>
      <c r="C782" s="84" t="s">
        <v>26</v>
      </c>
      <c r="D782" s="84" t="s">
        <v>28</v>
      </c>
      <c r="E782" s="84" t="s">
        <v>834</v>
      </c>
      <c r="F782" s="84" t="s">
        <v>33</v>
      </c>
      <c r="G782" s="87">
        <f>30000+60000</f>
        <v>90000</v>
      </c>
      <c r="H782" s="87">
        <v>0</v>
      </c>
      <c r="I782" s="87">
        <v>0</v>
      </c>
      <c r="J782" s="177"/>
    </row>
    <row r="783" spans="1:18" ht="19.5" customHeight="1">
      <c r="A783" s="82" t="s">
        <v>1051</v>
      </c>
      <c r="B783" s="149">
        <v>774</v>
      </c>
      <c r="C783" s="84" t="s">
        <v>26</v>
      </c>
      <c r="D783" s="84" t="s">
        <v>28</v>
      </c>
      <c r="E783" s="84" t="s">
        <v>1052</v>
      </c>
      <c r="F783" s="84"/>
      <c r="G783" s="87">
        <f>G784</f>
        <v>200000</v>
      </c>
      <c r="H783" s="87">
        <f t="shared" ref="H783:I783" si="185">H784</f>
        <v>0</v>
      </c>
      <c r="I783" s="87">
        <f t="shared" si="185"/>
        <v>0</v>
      </c>
      <c r="J783" s="177"/>
    </row>
    <row r="784" spans="1:18" ht="30.75" customHeight="1">
      <c r="A784" s="82" t="s">
        <v>30</v>
      </c>
      <c r="B784" s="149">
        <v>774</v>
      </c>
      <c r="C784" s="84" t="s">
        <v>26</v>
      </c>
      <c r="D784" s="84" t="s">
        <v>28</v>
      </c>
      <c r="E784" s="84" t="s">
        <v>1052</v>
      </c>
      <c r="F784" s="84" t="s">
        <v>31</v>
      </c>
      <c r="G784" s="87">
        <f>G785</f>
        <v>200000</v>
      </c>
      <c r="H784" s="87">
        <f>H785</f>
        <v>0</v>
      </c>
      <c r="I784" s="87">
        <f>I785</f>
        <v>0</v>
      </c>
      <c r="J784" s="177"/>
    </row>
    <row r="785" spans="1:18" ht="18.75" customHeight="1">
      <c r="A785" s="82" t="s">
        <v>32</v>
      </c>
      <c r="B785" s="149">
        <v>774</v>
      </c>
      <c r="C785" s="84" t="s">
        <v>26</v>
      </c>
      <c r="D785" s="84" t="s">
        <v>28</v>
      </c>
      <c r="E785" s="84" t="s">
        <v>1052</v>
      </c>
      <c r="F785" s="84" t="s">
        <v>33</v>
      </c>
      <c r="G785" s="87">
        <v>200000</v>
      </c>
      <c r="H785" s="87">
        <v>0</v>
      </c>
      <c r="I785" s="87">
        <v>0</v>
      </c>
      <c r="J785" s="177"/>
    </row>
    <row r="786" spans="1:18" s="33" customFormat="1" ht="27" customHeight="1">
      <c r="A786" s="82" t="s">
        <v>273</v>
      </c>
      <c r="B786" s="149">
        <v>774</v>
      </c>
      <c r="C786" s="84" t="s">
        <v>26</v>
      </c>
      <c r="D786" s="84" t="s">
        <v>28</v>
      </c>
      <c r="E786" s="149" t="s">
        <v>571</v>
      </c>
      <c r="F786" s="84"/>
      <c r="G786" s="87">
        <f>G787</f>
        <v>1000000</v>
      </c>
      <c r="H786" s="87">
        <f t="shared" ref="H786:I787" si="186">H787</f>
        <v>0</v>
      </c>
      <c r="I786" s="87">
        <f t="shared" si="186"/>
        <v>0</v>
      </c>
      <c r="J786" s="177"/>
      <c r="K786" s="211"/>
      <c r="L786" s="211"/>
      <c r="M786" s="211"/>
      <c r="N786" s="211"/>
      <c r="O786" s="211"/>
      <c r="P786" s="211"/>
      <c r="Q786" s="211"/>
      <c r="R786" s="211"/>
    </row>
    <row r="787" spans="1:18" ht="19.5" customHeight="1">
      <c r="A787" s="82" t="s">
        <v>273</v>
      </c>
      <c r="B787" s="149">
        <v>774</v>
      </c>
      <c r="C787" s="84" t="s">
        <v>26</v>
      </c>
      <c r="D787" s="84" t="s">
        <v>28</v>
      </c>
      <c r="E787" s="84" t="s">
        <v>572</v>
      </c>
      <c r="F787" s="84"/>
      <c r="G787" s="87">
        <f>G788</f>
        <v>1000000</v>
      </c>
      <c r="H787" s="87">
        <f t="shared" si="186"/>
        <v>0</v>
      </c>
      <c r="I787" s="87">
        <f t="shared" si="186"/>
        <v>0</v>
      </c>
      <c r="J787" s="177"/>
    </row>
    <row r="788" spans="1:18" ht="30.75" customHeight="1">
      <c r="A788" s="82" t="s">
        <v>30</v>
      </c>
      <c r="B788" s="149">
        <v>774</v>
      </c>
      <c r="C788" s="84" t="s">
        <v>26</v>
      </c>
      <c r="D788" s="84" t="s">
        <v>28</v>
      </c>
      <c r="E788" s="84" t="s">
        <v>572</v>
      </c>
      <c r="F788" s="84" t="s">
        <v>31</v>
      </c>
      <c r="G788" s="87">
        <f>G789</f>
        <v>1000000</v>
      </c>
      <c r="H788" s="87">
        <f>H789</f>
        <v>0</v>
      </c>
      <c r="I788" s="87">
        <f>I789</f>
        <v>0</v>
      </c>
      <c r="J788" s="177"/>
    </row>
    <row r="789" spans="1:18" ht="18.75" customHeight="1">
      <c r="A789" s="82" t="s">
        <v>32</v>
      </c>
      <c r="B789" s="149">
        <v>774</v>
      </c>
      <c r="C789" s="84" t="s">
        <v>26</v>
      </c>
      <c r="D789" s="84" t="s">
        <v>28</v>
      </c>
      <c r="E789" s="84" t="s">
        <v>572</v>
      </c>
      <c r="F789" s="84" t="s">
        <v>33</v>
      </c>
      <c r="G789" s="87">
        <v>1000000</v>
      </c>
      <c r="H789" s="87">
        <v>0</v>
      </c>
      <c r="I789" s="87">
        <v>0</v>
      </c>
      <c r="J789" s="177"/>
    </row>
    <row r="790" spans="1:18" ht="18.75" customHeight="1">
      <c r="A790" s="82" t="s">
        <v>95</v>
      </c>
      <c r="B790" s="149">
        <v>774</v>
      </c>
      <c r="C790" s="84" t="s">
        <v>26</v>
      </c>
      <c r="D790" s="84" t="s">
        <v>70</v>
      </c>
      <c r="E790" s="84"/>
      <c r="F790" s="149"/>
      <c r="G790" s="87">
        <f>G791+G854+G850+G862+G869+G889+G899+G903</f>
        <v>102097113.93000001</v>
      </c>
      <c r="H790" s="87">
        <f>H791+H854+H850+H862+H869+H889+H899+H903</f>
        <v>98534971.280000001</v>
      </c>
      <c r="I790" s="87">
        <f>I791+I854+I850+I862+I869+I889+I899+I903</f>
        <v>98766076.530000001</v>
      </c>
      <c r="J790" s="177"/>
    </row>
    <row r="791" spans="1:18" s="28" customFormat="1" ht="25.5">
      <c r="A791" s="82" t="s">
        <v>478</v>
      </c>
      <c r="B791" s="84" t="s">
        <v>94</v>
      </c>
      <c r="C791" s="84" t="s">
        <v>26</v>
      </c>
      <c r="D791" s="84" t="s">
        <v>70</v>
      </c>
      <c r="E791" s="84" t="s">
        <v>189</v>
      </c>
      <c r="F791" s="168"/>
      <c r="G791" s="87">
        <f>G792+G846+G827+G811</f>
        <v>98871183.930000007</v>
      </c>
      <c r="H791" s="87">
        <f t="shared" ref="H791:I791" si="187">H792+H846+H827+H811</f>
        <v>98534971.280000001</v>
      </c>
      <c r="I791" s="87">
        <f t="shared" si="187"/>
        <v>98766076.530000001</v>
      </c>
      <c r="J791" s="177"/>
      <c r="K791" s="204"/>
      <c r="L791" s="204"/>
      <c r="M791" s="204"/>
      <c r="N791" s="204"/>
      <c r="O791" s="204"/>
      <c r="P791" s="204"/>
      <c r="Q791" s="204"/>
      <c r="R791" s="204"/>
    </row>
    <row r="792" spans="1:18" ht="30.75" customHeight="1">
      <c r="A792" s="82" t="s">
        <v>90</v>
      </c>
      <c r="B792" s="84" t="s">
        <v>94</v>
      </c>
      <c r="C792" s="84" t="s">
        <v>26</v>
      </c>
      <c r="D792" s="84" t="s">
        <v>70</v>
      </c>
      <c r="E792" s="84" t="s">
        <v>215</v>
      </c>
      <c r="F792" s="84"/>
      <c r="G792" s="87">
        <f>G796+G799+G793+G817+G808+G814+G805+G802+G824</f>
        <v>96951751.930000007</v>
      </c>
      <c r="H792" s="87">
        <f t="shared" ref="H792:I792" si="188">H796+H799+H793+H817+H808+H814+H805+H802+H824</f>
        <v>97979045.280000001</v>
      </c>
      <c r="I792" s="87">
        <f t="shared" si="188"/>
        <v>96752900.530000001</v>
      </c>
      <c r="J792" s="177"/>
    </row>
    <row r="793" spans="1:18" ht="45" customHeight="1">
      <c r="A793" s="82" t="s">
        <v>3</v>
      </c>
      <c r="B793" s="84" t="s">
        <v>94</v>
      </c>
      <c r="C793" s="84" t="s">
        <v>26</v>
      </c>
      <c r="D793" s="84" t="s">
        <v>70</v>
      </c>
      <c r="E793" s="84" t="s">
        <v>913</v>
      </c>
      <c r="F793" s="84"/>
      <c r="G793" s="87">
        <f t="shared" ref="G793:I794" si="189">G794</f>
        <v>1154809</v>
      </c>
      <c r="H793" s="87">
        <f t="shared" si="189"/>
        <v>1195000</v>
      </c>
      <c r="I793" s="87">
        <f t="shared" si="189"/>
        <v>1341133</v>
      </c>
      <c r="J793" s="177"/>
    </row>
    <row r="794" spans="1:18" s="18" customFormat="1" ht="25.5">
      <c r="A794" s="82" t="s">
        <v>30</v>
      </c>
      <c r="B794" s="84" t="s">
        <v>94</v>
      </c>
      <c r="C794" s="84" t="s">
        <v>26</v>
      </c>
      <c r="D794" s="84" t="s">
        <v>70</v>
      </c>
      <c r="E794" s="84" t="s">
        <v>913</v>
      </c>
      <c r="F794" s="84" t="s">
        <v>31</v>
      </c>
      <c r="G794" s="87">
        <f t="shared" si="189"/>
        <v>1154809</v>
      </c>
      <c r="H794" s="87">
        <f t="shared" si="189"/>
        <v>1195000</v>
      </c>
      <c r="I794" s="87">
        <f t="shared" si="189"/>
        <v>1341133</v>
      </c>
      <c r="J794" s="177"/>
      <c r="K794" s="200"/>
      <c r="L794" s="200"/>
      <c r="M794" s="200"/>
      <c r="N794" s="200"/>
      <c r="O794" s="200"/>
      <c r="P794" s="200"/>
      <c r="Q794" s="200"/>
      <c r="R794" s="200"/>
    </row>
    <row r="795" spans="1:18" s="18" customFormat="1">
      <c r="A795" s="82" t="s">
        <v>32</v>
      </c>
      <c r="B795" s="84" t="s">
        <v>94</v>
      </c>
      <c r="C795" s="84" t="s">
        <v>26</v>
      </c>
      <c r="D795" s="84" t="s">
        <v>70</v>
      </c>
      <c r="E795" s="84" t="s">
        <v>913</v>
      </c>
      <c r="F795" s="84" t="s">
        <v>33</v>
      </c>
      <c r="G795" s="87">
        <v>1154809</v>
      </c>
      <c r="H795" s="87">
        <v>1195000</v>
      </c>
      <c r="I795" s="87">
        <v>1341133</v>
      </c>
      <c r="J795" s="177"/>
      <c r="K795" s="200"/>
      <c r="L795" s="200"/>
      <c r="M795" s="200"/>
      <c r="N795" s="200"/>
      <c r="O795" s="200"/>
      <c r="P795" s="200"/>
      <c r="Q795" s="200"/>
      <c r="R795" s="200"/>
    </row>
    <row r="796" spans="1:18" s="18" customFormat="1" ht="15" customHeight="1">
      <c r="A796" s="82" t="s">
        <v>91</v>
      </c>
      <c r="B796" s="84" t="s">
        <v>94</v>
      </c>
      <c r="C796" s="84" t="s">
        <v>26</v>
      </c>
      <c r="D796" s="84" t="s">
        <v>70</v>
      </c>
      <c r="E796" s="84" t="s">
        <v>134</v>
      </c>
      <c r="F796" s="84"/>
      <c r="G796" s="87">
        <f t="shared" ref="G796:I809" si="190">G797</f>
        <v>64378848.93</v>
      </c>
      <c r="H796" s="87">
        <f t="shared" si="190"/>
        <v>67049924.280000001</v>
      </c>
      <c r="I796" s="87">
        <f t="shared" si="190"/>
        <v>69810871.530000001</v>
      </c>
      <c r="J796" s="177"/>
      <c r="K796" s="200"/>
      <c r="L796" s="200"/>
      <c r="M796" s="200"/>
      <c r="N796" s="200"/>
      <c r="O796" s="200"/>
      <c r="P796" s="200"/>
      <c r="Q796" s="200"/>
      <c r="R796" s="200"/>
    </row>
    <row r="797" spans="1:18" s="18" customFormat="1" ht="25.5">
      <c r="A797" s="82" t="s">
        <v>30</v>
      </c>
      <c r="B797" s="84" t="s">
        <v>94</v>
      </c>
      <c r="C797" s="84" t="s">
        <v>26</v>
      </c>
      <c r="D797" s="84" t="s">
        <v>70</v>
      </c>
      <c r="E797" s="84" t="s">
        <v>134</v>
      </c>
      <c r="F797" s="84" t="s">
        <v>31</v>
      </c>
      <c r="G797" s="87">
        <f>G798</f>
        <v>64378848.93</v>
      </c>
      <c r="H797" s="87">
        <f t="shared" si="190"/>
        <v>67049924.280000001</v>
      </c>
      <c r="I797" s="87">
        <f t="shared" si="190"/>
        <v>69810871.530000001</v>
      </c>
      <c r="J797" s="177"/>
      <c r="K797" s="200"/>
      <c r="L797" s="200"/>
      <c r="M797" s="200"/>
      <c r="N797" s="200"/>
      <c r="O797" s="200"/>
      <c r="P797" s="200"/>
      <c r="Q797" s="200"/>
      <c r="R797" s="200"/>
    </row>
    <row r="798" spans="1:18" s="18" customFormat="1">
      <c r="A798" s="82" t="s">
        <v>32</v>
      </c>
      <c r="B798" s="84" t="s">
        <v>94</v>
      </c>
      <c r="C798" s="84" t="s">
        <v>26</v>
      </c>
      <c r="D798" s="84" t="s">
        <v>70</v>
      </c>
      <c r="E798" s="84" t="s">
        <v>134</v>
      </c>
      <c r="F798" s="84" t="s">
        <v>33</v>
      </c>
      <c r="G798" s="87">
        <f>64378849-0.07</f>
        <v>64378848.93</v>
      </c>
      <c r="H798" s="87">
        <f>67049924+0.28</f>
        <v>67049924.280000001</v>
      </c>
      <c r="I798" s="87">
        <f>69810872-0.47</f>
        <v>69810871.530000001</v>
      </c>
      <c r="J798" s="177"/>
      <c r="K798" s="200"/>
      <c r="L798" s="200"/>
      <c r="M798" s="200"/>
      <c r="N798" s="200"/>
      <c r="O798" s="200"/>
      <c r="P798" s="200"/>
      <c r="Q798" s="200"/>
      <c r="R798" s="200"/>
    </row>
    <row r="799" spans="1:18" ht="25.5">
      <c r="A799" s="82" t="s">
        <v>29</v>
      </c>
      <c r="B799" s="84" t="s">
        <v>94</v>
      </c>
      <c r="C799" s="84" t="s">
        <v>26</v>
      </c>
      <c r="D799" s="84" t="s">
        <v>70</v>
      </c>
      <c r="E799" s="84" t="s">
        <v>223</v>
      </c>
      <c r="F799" s="84"/>
      <c r="G799" s="87">
        <f t="shared" ref="G799:I800" si="191">G800</f>
        <v>17127247</v>
      </c>
      <c r="H799" s="87">
        <f t="shared" si="191"/>
        <v>15367283</v>
      </c>
      <c r="I799" s="87">
        <f t="shared" si="191"/>
        <v>11015458</v>
      </c>
      <c r="J799" s="177"/>
    </row>
    <row r="800" spans="1:18" ht="25.5">
      <c r="A800" s="82" t="s">
        <v>30</v>
      </c>
      <c r="B800" s="84" t="s">
        <v>94</v>
      </c>
      <c r="C800" s="84" t="s">
        <v>26</v>
      </c>
      <c r="D800" s="84" t="s">
        <v>70</v>
      </c>
      <c r="E800" s="84" t="s">
        <v>223</v>
      </c>
      <c r="F800" s="84" t="s">
        <v>31</v>
      </c>
      <c r="G800" s="87">
        <f t="shared" si="191"/>
        <v>17127247</v>
      </c>
      <c r="H800" s="87">
        <f t="shared" si="191"/>
        <v>15367283</v>
      </c>
      <c r="I800" s="87">
        <f t="shared" si="191"/>
        <v>11015458</v>
      </c>
      <c r="J800" s="177"/>
    </row>
    <row r="801" spans="1:18">
      <c r="A801" s="82" t="s">
        <v>32</v>
      </c>
      <c r="B801" s="84" t="s">
        <v>94</v>
      </c>
      <c r="C801" s="84" t="s">
        <v>26</v>
      </c>
      <c r="D801" s="84" t="s">
        <v>70</v>
      </c>
      <c r="E801" s="84" t="s">
        <v>223</v>
      </c>
      <c r="F801" s="84" t="s">
        <v>33</v>
      </c>
      <c r="G801" s="87">
        <v>17127247</v>
      </c>
      <c r="H801" s="87">
        <v>15367283</v>
      </c>
      <c r="I801" s="87">
        <v>11015458</v>
      </c>
      <c r="J801" s="177"/>
    </row>
    <row r="802" spans="1:18" s="18" customFormat="1">
      <c r="A802" s="82" t="s">
        <v>859</v>
      </c>
      <c r="B802" s="149">
        <v>774</v>
      </c>
      <c r="C802" s="84" t="s">
        <v>26</v>
      </c>
      <c r="D802" s="84" t="s">
        <v>70</v>
      </c>
      <c r="E802" s="84" t="s">
        <v>877</v>
      </c>
      <c r="F802" s="84"/>
      <c r="G802" s="87">
        <f t="shared" ref="G802:I803" si="192">G803</f>
        <v>125567</v>
      </c>
      <c r="H802" s="87">
        <f t="shared" si="192"/>
        <v>48538</v>
      </c>
      <c r="I802" s="87">
        <f t="shared" si="192"/>
        <v>48538</v>
      </c>
      <c r="J802" s="177"/>
      <c r="K802" s="200"/>
      <c r="L802" s="200"/>
      <c r="M802" s="200"/>
      <c r="N802" s="200"/>
      <c r="O802" s="200"/>
      <c r="P802" s="200"/>
      <c r="Q802" s="200"/>
      <c r="R802" s="200"/>
    </row>
    <row r="803" spans="1:18" s="18" customFormat="1" ht="25.5">
      <c r="A803" s="82" t="s">
        <v>30</v>
      </c>
      <c r="B803" s="149">
        <v>774</v>
      </c>
      <c r="C803" s="84" t="s">
        <v>26</v>
      </c>
      <c r="D803" s="84" t="s">
        <v>70</v>
      </c>
      <c r="E803" s="84" t="s">
        <v>877</v>
      </c>
      <c r="F803" s="84" t="s">
        <v>31</v>
      </c>
      <c r="G803" s="87">
        <f t="shared" si="192"/>
        <v>125567</v>
      </c>
      <c r="H803" s="87">
        <f t="shared" si="192"/>
        <v>48538</v>
      </c>
      <c r="I803" s="87">
        <f t="shared" si="192"/>
        <v>48538</v>
      </c>
      <c r="J803" s="177"/>
      <c r="K803" s="200"/>
      <c r="L803" s="200"/>
      <c r="M803" s="200"/>
      <c r="N803" s="200"/>
      <c r="O803" s="200"/>
      <c r="P803" s="200"/>
      <c r="Q803" s="200"/>
      <c r="R803" s="200"/>
    </row>
    <row r="804" spans="1:18" s="18" customFormat="1">
      <c r="A804" s="82" t="s">
        <v>32</v>
      </c>
      <c r="B804" s="149">
        <v>774</v>
      </c>
      <c r="C804" s="84" t="s">
        <v>26</v>
      </c>
      <c r="D804" s="84" t="s">
        <v>70</v>
      </c>
      <c r="E804" s="84" t="s">
        <v>877</v>
      </c>
      <c r="F804" s="84" t="s">
        <v>33</v>
      </c>
      <c r="G804" s="87">
        <v>125567</v>
      </c>
      <c r="H804" s="87">
        <v>48538</v>
      </c>
      <c r="I804" s="87">
        <v>48538</v>
      </c>
      <c r="J804" s="177"/>
      <c r="K804" s="200"/>
      <c r="L804" s="200"/>
      <c r="M804" s="200"/>
      <c r="N804" s="200"/>
      <c r="O804" s="200"/>
      <c r="P804" s="200"/>
      <c r="Q804" s="200"/>
      <c r="R804" s="200"/>
    </row>
    <row r="805" spans="1:18" s="3" customFormat="1" ht="25.5" hidden="1">
      <c r="A805" s="82" t="s">
        <v>676</v>
      </c>
      <c r="B805" s="149">
        <v>774</v>
      </c>
      <c r="C805" s="84" t="s">
        <v>26</v>
      </c>
      <c r="D805" s="84" t="s">
        <v>70</v>
      </c>
      <c r="E805" s="84" t="s">
        <v>721</v>
      </c>
      <c r="F805" s="84"/>
      <c r="G805" s="87">
        <f t="shared" ref="G805:I806" si="193">G806</f>
        <v>0</v>
      </c>
      <c r="H805" s="87">
        <f t="shared" si="193"/>
        <v>0</v>
      </c>
      <c r="I805" s="87">
        <f t="shared" si="193"/>
        <v>0</v>
      </c>
      <c r="J805" s="177"/>
      <c r="K805" s="199"/>
      <c r="L805" s="199"/>
      <c r="M805" s="199"/>
      <c r="N805" s="199"/>
      <c r="O805" s="199"/>
      <c r="P805" s="199"/>
      <c r="Q805" s="199"/>
      <c r="R805" s="199"/>
    </row>
    <row r="806" spans="1:18" s="3" customFormat="1" ht="25.5" hidden="1">
      <c r="A806" s="82" t="s">
        <v>30</v>
      </c>
      <c r="B806" s="149">
        <v>774</v>
      </c>
      <c r="C806" s="84" t="s">
        <v>26</v>
      </c>
      <c r="D806" s="84" t="s">
        <v>70</v>
      </c>
      <c r="E806" s="84" t="s">
        <v>721</v>
      </c>
      <c r="F806" s="84" t="s">
        <v>31</v>
      </c>
      <c r="G806" s="87">
        <f t="shared" si="193"/>
        <v>0</v>
      </c>
      <c r="H806" s="87">
        <f t="shared" si="193"/>
        <v>0</v>
      </c>
      <c r="I806" s="87">
        <f t="shared" si="193"/>
        <v>0</v>
      </c>
      <c r="J806" s="177"/>
      <c r="K806" s="199"/>
      <c r="L806" s="199"/>
      <c r="M806" s="199"/>
      <c r="N806" s="199"/>
      <c r="O806" s="199"/>
      <c r="P806" s="199"/>
      <c r="Q806" s="199"/>
      <c r="R806" s="199"/>
    </row>
    <row r="807" spans="1:18" s="3" customFormat="1" hidden="1">
      <c r="A807" s="82" t="s">
        <v>32</v>
      </c>
      <c r="B807" s="149">
        <v>774</v>
      </c>
      <c r="C807" s="84" t="s">
        <v>26</v>
      </c>
      <c r="D807" s="84" t="s">
        <v>70</v>
      </c>
      <c r="E807" s="84" t="s">
        <v>721</v>
      </c>
      <c r="F807" s="84" t="s">
        <v>33</v>
      </c>
      <c r="G807" s="87"/>
      <c r="H807" s="87"/>
      <c r="I807" s="87"/>
      <c r="J807" s="177"/>
      <c r="K807" s="199"/>
      <c r="L807" s="199"/>
      <c r="M807" s="199"/>
      <c r="N807" s="199"/>
      <c r="O807" s="199"/>
      <c r="P807" s="199"/>
      <c r="Q807" s="199"/>
      <c r="R807" s="199"/>
    </row>
    <row r="808" spans="1:18" s="18" customFormat="1" ht="53.25" customHeight="1">
      <c r="A808" s="82" t="s">
        <v>638</v>
      </c>
      <c r="B808" s="84" t="s">
        <v>94</v>
      </c>
      <c r="C808" s="84" t="s">
        <v>26</v>
      </c>
      <c r="D808" s="84" t="s">
        <v>70</v>
      </c>
      <c r="E808" s="84" t="s">
        <v>637</v>
      </c>
      <c r="F808" s="84"/>
      <c r="G808" s="87">
        <f t="shared" si="190"/>
        <v>10919566.07</v>
      </c>
      <c r="H808" s="87">
        <f t="shared" si="190"/>
        <v>11053199.720000001</v>
      </c>
      <c r="I808" s="87">
        <f t="shared" si="190"/>
        <v>11215464.470000001</v>
      </c>
      <c r="J808" s="177"/>
      <c r="K808" s="200"/>
      <c r="L808" s="200"/>
      <c r="M808" s="200"/>
      <c r="N808" s="200"/>
      <c r="O808" s="200"/>
      <c r="P808" s="200"/>
      <c r="Q808" s="215"/>
      <c r="R808" s="200"/>
    </row>
    <row r="809" spans="1:18" s="18" customFormat="1" ht="25.5">
      <c r="A809" s="82" t="s">
        <v>30</v>
      </c>
      <c r="B809" s="84" t="s">
        <v>94</v>
      </c>
      <c r="C809" s="84" t="s">
        <v>26</v>
      </c>
      <c r="D809" s="84" t="s">
        <v>70</v>
      </c>
      <c r="E809" s="84" t="s">
        <v>637</v>
      </c>
      <c r="F809" s="84" t="s">
        <v>31</v>
      </c>
      <c r="G809" s="87">
        <f t="shared" si="190"/>
        <v>10919566.07</v>
      </c>
      <c r="H809" s="87">
        <f t="shared" si="190"/>
        <v>11053199.720000001</v>
      </c>
      <c r="I809" s="87">
        <f t="shared" si="190"/>
        <v>11215464.470000001</v>
      </c>
      <c r="J809" s="177"/>
      <c r="K809" s="200"/>
      <c r="L809" s="200"/>
      <c r="M809" s="200"/>
      <c r="N809" s="200"/>
      <c r="O809" s="200"/>
      <c r="P809" s="200"/>
      <c r="Q809" s="200"/>
      <c r="R809" s="200"/>
    </row>
    <row r="810" spans="1:18" s="18" customFormat="1">
      <c r="A810" s="82" t="s">
        <v>32</v>
      </c>
      <c r="B810" s="84" t="s">
        <v>94</v>
      </c>
      <c r="C810" s="84" t="s">
        <v>26</v>
      </c>
      <c r="D810" s="84" t="s">
        <v>70</v>
      </c>
      <c r="E810" s="84" t="s">
        <v>637</v>
      </c>
      <c r="F810" s="84" t="s">
        <v>33</v>
      </c>
      <c r="G810" s="87">
        <f>10919566+0.07</f>
        <v>10919566.07</v>
      </c>
      <c r="H810" s="87">
        <f>11053200-0.28</f>
        <v>11053199.720000001</v>
      </c>
      <c r="I810" s="87">
        <f>11215464+0.47</f>
        <v>11215464.470000001</v>
      </c>
      <c r="J810" s="177"/>
      <c r="K810" s="200"/>
      <c r="L810" s="200"/>
      <c r="M810" s="200"/>
      <c r="N810" s="200"/>
      <c r="O810" s="200"/>
      <c r="P810" s="200"/>
      <c r="Q810" s="200"/>
      <c r="R810" s="200"/>
    </row>
    <row r="811" spans="1:18" ht="16.5" hidden="1" customHeight="1">
      <c r="A811" s="82" t="s">
        <v>1</v>
      </c>
      <c r="B811" s="149">
        <v>774</v>
      </c>
      <c r="C811" s="84" t="s">
        <v>26</v>
      </c>
      <c r="D811" s="84" t="s">
        <v>70</v>
      </c>
      <c r="E811" s="84" t="s">
        <v>219</v>
      </c>
      <c r="F811" s="84"/>
      <c r="G811" s="87">
        <f t="shared" ref="G811:I812" si="194">G812</f>
        <v>0</v>
      </c>
      <c r="H811" s="87">
        <f t="shared" si="194"/>
        <v>0</v>
      </c>
      <c r="I811" s="87">
        <f t="shared" si="194"/>
        <v>0</v>
      </c>
      <c r="J811" s="177"/>
    </row>
    <row r="812" spans="1:18" ht="25.5" hidden="1">
      <c r="A812" s="82" t="s">
        <v>30</v>
      </c>
      <c r="B812" s="149">
        <v>774</v>
      </c>
      <c r="C812" s="84" t="s">
        <v>26</v>
      </c>
      <c r="D812" s="84" t="s">
        <v>70</v>
      </c>
      <c r="E812" s="84" t="s">
        <v>219</v>
      </c>
      <c r="F812" s="84" t="s">
        <v>31</v>
      </c>
      <c r="G812" s="87">
        <f t="shared" si="194"/>
        <v>0</v>
      </c>
      <c r="H812" s="87">
        <f t="shared" si="194"/>
        <v>0</v>
      </c>
      <c r="I812" s="87">
        <f t="shared" si="194"/>
        <v>0</v>
      </c>
      <c r="J812" s="177"/>
    </row>
    <row r="813" spans="1:18" ht="15" hidden="1" customHeight="1">
      <c r="A813" s="82" t="s">
        <v>32</v>
      </c>
      <c r="B813" s="149">
        <v>774</v>
      </c>
      <c r="C813" s="84" t="s">
        <v>26</v>
      </c>
      <c r="D813" s="84" t="s">
        <v>70</v>
      </c>
      <c r="E813" s="84" t="s">
        <v>219</v>
      </c>
      <c r="F813" s="84" t="s">
        <v>33</v>
      </c>
      <c r="G813" s="87">
        <f>310000+29000-339000</f>
        <v>0</v>
      </c>
      <c r="H813" s="87">
        <f>310000+29000-339000</f>
        <v>0</v>
      </c>
      <c r="I813" s="87">
        <f>310000+29000-339000</f>
        <v>0</v>
      </c>
      <c r="J813" s="177"/>
    </row>
    <row r="814" spans="1:18" s="18" customFormat="1" ht="53.25" hidden="1" customHeight="1">
      <c r="A814" s="82" t="s">
        <v>652</v>
      </c>
      <c r="B814" s="84" t="s">
        <v>94</v>
      </c>
      <c r="C814" s="84" t="s">
        <v>26</v>
      </c>
      <c r="D814" s="84" t="s">
        <v>70</v>
      </c>
      <c r="E814" s="84" t="s">
        <v>651</v>
      </c>
      <c r="F814" s="84"/>
      <c r="G814" s="87">
        <f t="shared" ref="G814:I815" si="195">G815</f>
        <v>0</v>
      </c>
      <c r="H814" s="87">
        <f t="shared" si="195"/>
        <v>0</v>
      </c>
      <c r="I814" s="87">
        <f t="shared" si="195"/>
        <v>0</v>
      </c>
      <c r="J814" s="177"/>
      <c r="K814" s="200"/>
      <c r="L814" s="200"/>
      <c r="M814" s="200"/>
      <c r="N814" s="200"/>
      <c r="O814" s="200"/>
      <c r="P814" s="200"/>
      <c r="Q814" s="200"/>
      <c r="R814" s="200"/>
    </row>
    <row r="815" spans="1:18" s="18" customFormat="1" ht="25.5" hidden="1">
      <c r="A815" s="82" t="s">
        <v>30</v>
      </c>
      <c r="B815" s="84" t="s">
        <v>94</v>
      </c>
      <c r="C815" s="84" t="s">
        <v>26</v>
      </c>
      <c r="D815" s="84" t="s">
        <v>70</v>
      </c>
      <c r="E815" s="84" t="s">
        <v>651</v>
      </c>
      <c r="F815" s="84" t="s">
        <v>31</v>
      </c>
      <c r="G815" s="87">
        <f t="shared" si="195"/>
        <v>0</v>
      </c>
      <c r="H815" s="87">
        <f t="shared" si="195"/>
        <v>0</v>
      </c>
      <c r="I815" s="87">
        <f t="shared" si="195"/>
        <v>0</v>
      </c>
      <c r="J815" s="177"/>
      <c r="K815" s="200"/>
      <c r="L815" s="200"/>
      <c r="M815" s="200"/>
      <c r="N815" s="200"/>
      <c r="O815" s="200"/>
      <c r="P815" s="200"/>
      <c r="Q815" s="200"/>
      <c r="R815" s="200"/>
    </row>
    <row r="816" spans="1:18" s="18" customFormat="1" hidden="1">
      <c r="A816" s="82" t="s">
        <v>32</v>
      </c>
      <c r="B816" s="84" t="s">
        <v>94</v>
      </c>
      <c r="C816" s="84" t="s">
        <v>26</v>
      </c>
      <c r="D816" s="84" t="s">
        <v>70</v>
      </c>
      <c r="E816" s="84" t="s">
        <v>651</v>
      </c>
      <c r="F816" s="84" t="s">
        <v>33</v>
      </c>
      <c r="G816" s="87"/>
      <c r="H816" s="87"/>
      <c r="I816" s="87"/>
      <c r="J816" s="177"/>
      <c r="K816" s="200"/>
      <c r="L816" s="200"/>
      <c r="M816" s="200"/>
      <c r="N816" s="200"/>
      <c r="O816" s="200"/>
      <c r="P816" s="200"/>
      <c r="Q816" s="200"/>
      <c r="R816" s="200"/>
    </row>
    <row r="817" spans="1:18" ht="39.75" customHeight="1">
      <c r="A817" s="82" t="s">
        <v>636</v>
      </c>
      <c r="B817" s="149">
        <v>774</v>
      </c>
      <c r="C817" s="84" t="s">
        <v>26</v>
      </c>
      <c r="D817" s="84" t="s">
        <v>70</v>
      </c>
      <c r="E817" s="84" t="s">
        <v>650</v>
      </c>
      <c r="F817" s="84"/>
      <c r="G817" s="87">
        <f>G818+G822</f>
        <v>3245713.93</v>
      </c>
      <c r="H817" s="87">
        <f t="shared" ref="H817:I817" si="196">H818+H822</f>
        <v>3265100.28</v>
      </c>
      <c r="I817" s="87">
        <f t="shared" si="196"/>
        <v>3321435.53</v>
      </c>
      <c r="J817" s="177"/>
    </row>
    <row r="818" spans="1:18" ht="34.5" customHeight="1">
      <c r="A818" s="82" t="s">
        <v>30</v>
      </c>
      <c r="B818" s="149">
        <v>774</v>
      </c>
      <c r="C818" s="84" t="s">
        <v>26</v>
      </c>
      <c r="D818" s="84" t="s">
        <v>70</v>
      </c>
      <c r="E818" s="84" t="s">
        <v>650</v>
      </c>
      <c r="F818" s="84" t="s">
        <v>31</v>
      </c>
      <c r="G818" s="87">
        <f>G819+G820+G821</f>
        <v>3171860.29</v>
      </c>
      <c r="H818" s="87">
        <f t="shared" ref="H818:I818" si="197">H819+H820+H821</f>
        <v>3190448.78</v>
      </c>
      <c r="I818" s="87">
        <f t="shared" si="197"/>
        <v>3245644.28</v>
      </c>
      <c r="J818" s="177"/>
    </row>
    <row r="819" spans="1:18" ht="15" customHeight="1">
      <c r="A819" s="82" t="s">
        <v>32</v>
      </c>
      <c r="B819" s="149">
        <v>774</v>
      </c>
      <c r="C819" s="84" t="s">
        <v>26</v>
      </c>
      <c r="D819" s="84" t="s">
        <v>70</v>
      </c>
      <c r="E819" s="84" t="s">
        <v>650</v>
      </c>
      <c r="F819" s="84" t="s">
        <v>33</v>
      </c>
      <c r="G819" s="87">
        <v>3024153.01</v>
      </c>
      <c r="H819" s="87">
        <v>3041145.78</v>
      </c>
      <c r="I819" s="87">
        <v>3094061.78</v>
      </c>
      <c r="J819" s="177"/>
    </row>
    <row r="820" spans="1:18" ht="15" customHeight="1">
      <c r="A820" s="82" t="s">
        <v>635</v>
      </c>
      <c r="B820" s="149">
        <v>774</v>
      </c>
      <c r="C820" s="84" t="s">
        <v>26</v>
      </c>
      <c r="D820" s="84" t="s">
        <v>70</v>
      </c>
      <c r="E820" s="84" t="s">
        <v>650</v>
      </c>
      <c r="F820" s="84" t="s">
        <v>634</v>
      </c>
      <c r="G820" s="87">
        <v>73853.64</v>
      </c>
      <c r="H820" s="87">
        <v>74651.5</v>
      </c>
      <c r="I820" s="87">
        <v>75791.25</v>
      </c>
      <c r="J820" s="177"/>
    </row>
    <row r="821" spans="1:18" ht="36" customHeight="1">
      <c r="A821" s="82" t="s">
        <v>9</v>
      </c>
      <c r="B821" s="149">
        <v>774</v>
      </c>
      <c r="C821" s="84" t="s">
        <v>26</v>
      </c>
      <c r="D821" s="84" t="s">
        <v>70</v>
      </c>
      <c r="E821" s="84" t="s">
        <v>650</v>
      </c>
      <c r="F821" s="84" t="s">
        <v>8</v>
      </c>
      <c r="G821" s="87">
        <v>73853.64</v>
      </c>
      <c r="H821" s="87">
        <v>74651.5</v>
      </c>
      <c r="I821" s="87">
        <v>75791.25</v>
      </c>
      <c r="J821" s="177"/>
    </row>
    <row r="822" spans="1:18" ht="15" customHeight="1">
      <c r="A822" s="82" t="s">
        <v>63</v>
      </c>
      <c r="B822" s="149">
        <v>774</v>
      </c>
      <c r="C822" s="84" t="s">
        <v>26</v>
      </c>
      <c r="D822" s="84" t="s">
        <v>70</v>
      </c>
      <c r="E822" s="84" t="s">
        <v>650</v>
      </c>
      <c r="F822" s="84" t="s">
        <v>64</v>
      </c>
      <c r="G822" s="87">
        <f>G823</f>
        <v>73853.64</v>
      </c>
      <c r="H822" s="87">
        <f t="shared" ref="H822:I822" si="198">H823</f>
        <v>74651.5</v>
      </c>
      <c r="I822" s="87">
        <f t="shared" si="198"/>
        <v>75791.25</v>
      </c>
      <c r="J822" s="177"/>
    </row>
    <row r="823" spans="1:18" ht="51.75" customHeight="1">
      <c r="A823" s="82" t="s">
        <v>433</v>
      </c>
      <c r="B823" s="149">
        <v>774</v>
      </c>
      <c r="C823" s="84" t="s">
        <v>26</v>
      </c>
      <c r="D823" s="84" t="s">
        <v>70</v>
      </c>
      <c r="E823" s="84" t="s">
        <v>650</v>
      </c>
      <c r="F823" s="84" t="s">
        <v>342</v>
      </c>
      <c r="G823" s="87">
        <v>73853.64</v>
      </c>
      <c r="H823" s="87">
        <v>74651.5</v>
      </c>
      <c r="I823" s="87">
        <v>75791.25</v>
      </c>
      <c r="J823" s="177"/>
    </row>
    <row r="824" spans="1:18" ht="16.5" hidden="1" customHeight="1">
      <c r="A824" s="82" t="s">
        <v>1</v>
      </c>
      <c r="B824" s="84" t="s">
        <v>94</v>
      </c>
      <c r="C824" s="84" t="s">
        <v>26</v>
      </c>
      <c r="D824" s="84" t="s">
        <v>70</v>
      </c>
      <c r="E824" s="84" t="s">
        <v>551</v>
      </c>
      <c r="F824" s="84"/>
      <c r="G824" s="87">
        <f t="shared" ref="G824:I824" si="199">G825</f>
        <v>0</v>
      </c>
      <c r="H824" s="87">
        <f t="shared" si="199"/>
        <v>0</v>
      </c>
      <c r="I824" s="87">
        <f t="shared" si="199"/>
        <v>0</v>
      </c>
      <c r="J824" s="177"/>
    </row>
    <row r="825" spans="1:18" ht="24.75" hidden="1" customHeight="1">
      <c r="A825" s="82" t="s">
        <v>30</v>
      </c>
      <c r="B825" s="84" t="s">
        <v>94</v>
      </c>
      <c r="C825" s="84" t="s">
        <v>26</v>
      </c>
      <c r="D825" s="84" t="s">
        <v>70</v>
      </c>
      <c r="E825" s="84" t="s">
        <v>551</v>
      </c>
      <c r="F825" s="84" t="s">
        <v>31</v>
      </c>
      <c r="G825" s="87">
        <f>G826</f>
        <v>0</v>
      </c>
      <c r="H825" s="87">
        <f>H826</f>
        <v>0</v>
      </c>
      <c r="I825" s="87">
        <f>I826</f>
        <v>0</v>
      </c>
      <c r="J825" s="177"/>
    </row>
    <row r="826" spans="1:18" hidden="1">
      <c r="A826" s="82" t="s">
        <v>32</v>
      </c>
      <c r="B826" s="84" t="s">
        <v>94</v>
      </c>
      <c r="C826" s="84" t="s">
        <v>26</v>
      </c>
      <c r="D826" s="84" t="s">
        <v>70</v>
      </c>
      <c r="E826" s="84" t="s">
        <v>551</v>
      </c>
      <c r="F826" s="84" t="s">
        <v>33</v>
      </c>
      <c r="G826" s="87"/>
      <c r="H826" s="87"/>
      <c r="I826" s="87"/>
      <c r="J826" s="177"/>
    </row>
    <row r="827" spans="1:18" ht="35.25" customHeight="1">
      <c r="A827" s="82" t="s">
        <v>0</v>
      </c>
      <c r="B827" s="149">
        <v>774</v>
      </c>
      <c r="C827" s="84" t="s">
        <v>26</v>
      </c>
      <c r="D827" s="84" t="s">
        <v>70</v>
      </c>
      <c r="E827" s="84" t="s">
        <v>218</v>
      </c>
      <c r="F827" s="84"/>
      <c r="G827" s="87">
        <f>G837+G840+G843+G834+G828+G831</f>
        <v>1467432</v>
      </c>
      <c r="H827" s="87">
        <f t="shared" ref="H827:I827" si="200">H837+H840+H843+H834+H828+H831</f>
        <v>103926</v>
      </c>
      <c r="I827" s="87">
        <f t="shared" si="200"/>
        <v>1561176</v>
      </c>
      <c r="J827" s="177"/>
    </row>
    <row r="828" spans="1:18" ht="36" customHeight="1">
      <c r="A828" s="82" t="s">
        <v>1045</v>
      </c>
      <c r="B828" s="84" t="s">
        <v>94</v>
      </c>
      <c r="C828" s="84" t="s">
        <v>26</v>
      </c>
      <c r="D828" s="84" t="s">
        <v>70</v>
      </c>
      <c r="E828" s="84" t="s">
        <v>219</v>
      </c>
      <c r="F828" s="84"/>
      <c r="G828" s="87">
        <f t="shared" ref="G828:I828" si="201">G829</f>
        <v>1363506</v>
      </c>
      <c r="H828" s="87">
        <f t="shared" si="201"/>
        <v>0</v>
      </c>
      <c r="I828" s="87">
        <f t="shared" si="201"/>
        <v>0</v>
      </c>
      <c r="J828" s="177"/>
    </row>
    <row r="829" spans="1:18" ht="24.75" customHeight="1">
      <c r="A829" s="82" t="s">
        <v>30</v>
      </c>
      <c r="B829" s="84" t="s">
        <v>94</v>
      </c>
      <c r="C829" s="84" t="s">
        <v>26</v>
      </c>
      <c r="D829" s="84" t="s">
        <v>70</v>
      </c>
      <c r="E829" s="84" t="s">
        <v>219</v>
      </c>
      <c r="F829" s="84" t="s">
        <v>31</v>
      </c>
      <c r="G829" s="87">
        <f>G830</f>
        <v>1363506</v>
      </c>
      <c r="H829" s="87">
        <f>H830</f>
        <v>0</v>
      </c>
      <c r="I829" s="87">
        <f>I830</f>
        <v>0</v>
      </c>
      <c r="J829" s="177"/>
    </row>
    <row r="830" spans="1:18">
      <c r="A830" s="82" t="s">
        <v>32</v>
      </c>
      <c r="B830" s="84" t="s">
        <v>94</v>
      </c>
      <c r="C830" s="84" t="s">
        <v>26</v>
      </c>
      <c r="D830" s="84" t="s">
        <v>70</v>
      </c>
      <c r="E830" s="84" t="s">
        <v>219</v>
      </c>
      <c r="F830" s="84" t="s">
        <v>33</v>
      </c>
      <c r="G830" s="87">
        <v>1363506</v>
      </c>
      <c r="H830" s="87"/>
      <c r="I830" s="87"/>
      <c r="J830" s="177"/>
    </row>
    <row r="831" spans="1:18" s="3" customFormat="1" ht="25.5">
      <c r="A831" s="82" t="s">
        <v>1014</v>
      </c>
      <c r="B831" s="149">
        <v>774</v>
      </c>
      <c r="C831" s="84" t="s">
        <v>26</v>
      </c>
      <c r="D831" s="84" t="s">
        <v>70</v>
      </c>
      <c r="E831" s="84" t="s">
        <v>1012</v>
      </c>
      <c r="F831" s="84"/>
      <c r="G831" s="87">
        <f t="shared" ref="G831:I832" si="202">G832</f>
        <v>0</v>
      </c>
      <c r="H831" s="87">
        <f t="shared" si="202"/>
        <v>0</v>
      </c>
      <c r="I831" s="87">
        <f t="shared" si="202"/>
        <v>1457250</v>
      </c>
      <c r="J831" s="177"/>
      <c r="K831" s="199"/>
      <c r="L831" s="199"/>
      <c r="M831" s="199"/>
      <c r="N831" s="199"/>
      <c r="O831" s="199"/>
      <c r="P831" s="199"/>
      <c r="Q831" s="199"/>
      <c r="R831" s="199"/>
    </row>
    <row r="832" spans="1:18" s="3" customFormat="1" ht="25.5">
      <c r="A832" s="82" t="s">
        <v>30</v>
      </c>
      <c r="B832" s="149">
        <v>774</v>
      </c>
      <c r="C832" s="84" t="s">
        <v>26</v>
      </c>
      <c r="D832" s="84" t="s">
        <v>70</v>
      </c>
      <c r="E832" s="84" t="s">
        <v>1012</v>
      </c>
      <c r="F832" s="84" t="s">
        <v>31</v>
      </c>
      <c r="G832" s="87">
        <f t="shared" si="202"/>
        <v>0</v>
      </c>
      <c r="H832" s="87">
        <f t="shared" si="202"/>
        <v>0</v>
      </c>
      <c r="I832" s="87">
        <f t="shared" si="202"/>
        <v>1457250</v>
      </c>
      <c r="J832" s="177"/>
      <c r="K832" s="199"/>
      <c r="L832" s="199"/>
      <c r="M832" s="199"/>
      <c r="N832" s="199"/>
      <c r="O832" s="199"/>
      <c r="P832" s="199"/>
      <c r="Q832" s="199"/>
      <c r="R832" s="199"/>
    </row>
    <row r="833" spans="1:18" s="3" customFormat="1">
      <c r="A833" s="82" t="s">
        <v>32</v>
      </c>
      <c r="B833" s="149">
        <v>774</v>
      </c>
      <c r="C833" s="84" t="s">
        <v>26</v>
      </c>
      <c r="D833" s="84" t="s">
        <v>70</v>
      </c>
      <c r="E833" s="84" t="s">
        <v>1012</v>
      </c>
      <c r="F833" s="84" t="s">
        <v>33</v>
      </c>
      <c r="G833" s="87">
        <v>0</v>
      </c>
      <c r="H833" s="87">
        <v>0</v>
      </c>
      <c r="I833" s="87">
        <v>1457250</v>
      </c>
      <c r="J833" s="177"/>
      <c r="K833" s="199"/>
      <c r="L833" s="199"/>
      <c r="M833" s="199"/>
      <c r="N833" s="199"/>
      <c r="O833" s="199"/>
      <c r="P833" s="199"/>
      <c r="Q833" s="199"/>
      <c r="R833" s="199"/>
    </row>
    <row r="834" spans="1:18" s="3" customFormat="1" ht="25.5">
      <c r="A834" s="82" t="s">
        <v>295</v>
      </c>
      <c r="B834" s="149">
        <v>774</v>
      </c>
      <c r="C834" s="84" t="s">
        <v>26</v>
      </c>
      <c r="D834" s="84" t="s">
        <v>70</v>
      </c>
      <c r="E834" s="84" t="s">
        <v>294</v>
      </c>
      <c r="F834" s="84"/>
      <c r="G834" s="87">
        <f t="shared" ref="G834:I835" si="203">G835</f>
        <v>103926</v>
      </c>
      <c r="H834" s="87">
        <f t="shared" si="203"/>
        <v>103926</v>
      </c>
      <c r="I834" s="87">
        <f t="shared" si="203"/>
        <v>103926</v>
      </c>
      <c r="J834" s="177"/>
      <c r="K834" s="199"/>
      <c r="L834" s="199"/>
      <c r="M834" s="199"/>
      <c r="N834" s="199"/>
      <c r="O834" s="199"/>
      <c r="P834" s="199"/>
      <c r="Q834" s="199"/>
      <c r="R834" s="199"/>
    </row>
    <row r="835" spans="1:18" s="3" customFormat="1" ht="25.5">
      <c r="A835" s="82" t="s">
        <v>30</v>
      </c>
      <c r="B835" s="149">
        <v>774</v>
      </c>
      <c r="C835" s="84" t="s">
        <v>26</v>
      </c>
      <c r="D835" s="84" t="s">
        <v>70</v>
      </c>
      <c r="E835" s="84" t="s">
        <v>294</v>
      </c>
      <c r="F835" s="84" t="s">
        <v>31</v>
      </c>
      <c r="G835" s="87">
        <f t="shared" si="203"/>
        <v>103926</v>
      </c>
      <c r="H835" s="87">
        <f t="shared" si="203"/>
        <v>103926</v>
      </c>
      <c r="I835" s="87">
        <f t="shared" si="203"/>
        <v>103926</v>
      </c>
      <c r="J835" s="177"/>
      <c r="K835" s="199"/>
      <c r="L835" s="199"/>
      <c r="M835" s="199"/>
      <c r="N835" s="199"/>
      <c r="O835" s="199"/>
      <c r="P835" s="199"/>
      <c r="Q835" s="199"/>
      <c r="R835" s="199"/>
    </row>
    <row r="836" spans="1:18" s="3" customFormat="1">
      <c r="A836" s="82" t="s">
        <v>32</v>
      </c>
      <c r="B836" s="149">
        <v>774</v>
      </c>
      <c r="C836" s="84" t="s">
        <v>26</v>
      </c>
      <c r="D836" s="84" t="s">
        <v>70</v>
      </c>
      <c r="E836" s="84" t="s">
        <v>294</v>
      </c>
      <c r="F836" s="84" t="s">
        <v>33</v>
      </c>
      <c r="G836" s="87">
        <v>103926</v>
      </c>
      <c r="H836" s="87">
        <v>103926</v>
      </c>
      <c r="I836" s="87">
        <v>103926</v>
      </c>
      <c r="J836" s="177"/>
      <c r="K836" s="199"/>
      <c r="L836" s="199"/>
      <c r="M836" s="199"/>
      <c r="N836" s="199"/>
      <c r="O836" s="199"/>
      <c r="P836" s="199"/>
      <c r="Q836" s="199"/>
      <c r="R836" s="199"/>
    </row>
    <row r="837" spans="1:18" s="3" customFormat="1" hidden="1">
      <c r="A837" s="82" t="s">
        <v>1</v>
      </c>
      <c r="B837" s="149">
        <v>774</v>
      </c>
      <c r="C837" s="84" t="s">
        <v>26</v>
      </c>
      <c r="D837" s="84" t="s">
        <v>70</v>
      </c>
      <c r="E837" s="84" t="s">
        <v>219</v>
      </c>
      <c r="F837" s="84"/>
      <c r="G837" s="87">
        <f t="shared" ref="G837:I838" si="204">G838</f>
        <v>0</v>
      </c>
      <c r="H837" s="87">
        <f t="shared" si="204"/>
        <v>0</v>
      </c>
      <c r="I837" s="87">
        <f t="shared" si="204"/>
        <v>0</v>
      </c>
      <c r="J837" s="177"/>
      <c r="K837" s="199"/>
      <c r="L837" s="199"/>
      <c r="M837" s="199"/>
      <c r="N837" s="199"/>
      <c r="O837" s="199"/>
      <c r="P837" s="199"/>
      <c r="Q837" s="199"/>
      <c r="R837" s="199"/>
    </row>
    <row r="838" spans="1:18" s="3" customFormat="1" ht="25.5" hidden="1">
      <c r="A838" s="82" t="s">
        <v>30</v>
      </c>
      <c r="B838" s="149">
        <v>774</v>
      </c>
      <c r="C838" s="84" t="s">
        <v>26</v>
      </c>
      <c r="D838" s="84" t="s">
        <v>70</v>
      </c>
      <c r="E838" s="84" t="s">
        <v>219</v>
      </c>
      <c r="F838" s="84" t="s">
        <v>31</v>
      </c>
      <c r="G838" s="87">
        <f t="shared" si="204"/>
        <v>0</v>
      </c>
      <c r="H838" s="87">
        <f t="shared" si="204"/>
        <v>0</v>
      </c>
      <c r="I838" s="87">
        <f t="shared" si="204"/>
        <v>0</v>
      </c>
      <c r="J838" s="177"/>
      <c r="K838" s="199"/>
      <c r="L838" s="199"/>
      <c r="M838" s="199"/>
      <c r="N838" s="199"/>
      <c r="O838" s="199"/>
      <c r="P838" s="199"/>
      <c r="Q838" s="199"/>
      <c r="R838" s="199"/>
    </row>
    <row r="839" spans="1:18" s="3" customFormat="1" hidden="1">
      <c r="A839" s="82" t="s">
        <v>32</v>
      </c>
      <c r="B839" s="149">
        <v>774</v>
      </c>
      <c r="C839" s="84" t="s">
        <v>26</v>
      </c>
      <c r="D839" s="84" t="s">
        <v>70</v>
      </c>
      <c r="E839" s="84" t="s">
        <v>219</v>
      </c>
      <c r="F839" s="84" t="s">
        <v>33</v>
      </c>
      <c r="G839" s="87"/>
      <c r="H839" s="87"/>
      <c r="I839" s="87"/>
      <c r="J839" s="177"/>
      <c r="K839" s="199"/>
      <c r="L839" s="199"/>
      <c r="M839" s="199"/>
      <c r="N839" s="199"/>
      <c r="O839" s="199"/>
      <c r="P839" s="199"/>
      <c r="Q839" s="199"/>
      <c r="R839" s="199"/>
    </row>
    <row r="840" spans="1:18" s="3" customFormat="1" ht="25.5" hidden="1">
      <c r="A840" s="82" t="s">
        <v>295</v>
      </c>
      <c r="B840" s="149">
        <v>774</v>
      </c>
      <c r="C840" s="84" t="s">
        <v>26</v>
      </c>
      <c r="D840" s="84" t="s">
        <v>70</v>
      </c>
      <c r="E840" s="84" t="s">
        <v>294</v>
      </c>
      <c r="F840" s="84"/>
      <c r="G840" s="87">
        <f t="shared" ref="G840:I841" si="205">G841</f>
        <v>0</v>
      </c>
      <c r="H840" s="87">
        <f t="shared" si="205"/>
        <v>0</v>
      </c>
      <c r="I840" s="87">
        <f t="shared" si="205"/>
        <v>0</v>
      </c>
      <c r="J840" s="177"/>
      <c r="K840" s="199"/>
      <c r="L840" s="199"/>
      <c r="M840" s="199"/>
      <c r="N840" s="199"/>
      <c r="O840" s="199"/>
      <c r="P840" s="199"/>
      <c r="Q840" s="199"/>
      <c r="R840" s="199"/>
    </row>
    <row r="841" spans="1:18" s="3" customFormat="1" ht="25.5" hidden="1">
      <c r="A841" s="82" t="s">
        <v>30</v>
      </c>
      <c r="B841" s="149">
        <v>774</v>
      </c>
      <c r="C841" s="84" t="s">
        <v>26</v>
      </c>
      <c r="D841" s="84" t="s">
        <v>70</v>
      </c>
      <c r="E841" s="84" t="s">
        <v>294</v>
      </c>
      <c r="F841" s="84" t="s">
        <v>31</v>
      </c>
      <c r="G841" s="87">
        <f t="shared" si="205"/>
        <v>0</v>
      </c>
      <c r="H841" s="87">
        <f t="shared" si="205"/>
        <v>0</v>
      </c>
      <c r="I841" s="87">
        <f t="shared" si="205"/>
        <v>0</v>
      </c>
      <c r="J841" s="177"/>
      <c r="K841" s="199"/>
      <c r="L841" s="199"/>
      <c r="M841" s="199"/>
      <c r="N841" s="199"/>
      <c r="O841" s="199"/>
      <c r="P841" s="199"/>
      <c r="Q841" s="199"/>
      <c r="R841" s="199"/>
    </row>
    <row r="842" spans="1:18" s="3" customFormat="1" hidden="1">
      <c r="A842" s="82" t="s">
        <v>32</v>
      </c>
      <c r="B842" s="149">
        <v>774</v>
      </c>
      <c r="C842" s="84" t="s">
        <v>26</v>
      </c>
      <c r="D842" s="84" t="s">
        <v>70</v>
      </c>
      <c r="E842" s="84" t="s">
        <v>294</v>
      </c>
      <c r="F842" s="84" t="s">
        <v>33</v>
      </c>
      <c r="G842" s="87"/>
      <c r="H842" s="87"/>
      <c r="I842" s="87"/>
      <c r="J842" s="177"/>
      <c r="K842" s="199"/>
      <c r="L842" s="199"/>
      <c r="M842" s="199"/>
      <c r="N842" s="199"/>
      <c r="O842" s="199"/>
      <c r="P842" s="199"/>
      <c r="Q842" s="199"/>
      <c r="R842" s="199"/>
    </row>
    <row r="843" spans="1:18" s="3" customFormat="1" ht="51.75" hidden="1" customHeight="1">
      <c r="A843" s="82" t="s">
        <v>727</v>
      </c>
      <c r="B843" s="149">
        <v>774</v>
      </c>
      <c r="C843" s="84" t="s">
        <v>26</v>
      </c>
      <c r="D843" s="84" t="s">
        <v>70</v>
      </c>
      <c r="E843" s="84" t="s">
        <v>728</v>
      </c>
      <c r="F843" s="84"/>
      <c r="G843" s="87">
        <f t="shared" ref="G843:I844" si="206">G844</f>
        <v>0</v>
      </c>
      <c r="H843" s="87">
        <f t="shared" si="206"/>
        <v>0</v>
      </c>
      <c r="I843" s="87">
        <f t="shared" si="206"/>
        <v>0</v>
      </c>
      <c r="J843" s="177"/>
      <c r="K843" s="199"/>
      <c r="L843" s="199"/>
      <c r="M843" s="199"/>
      <c r="N843" s="199"/>
      <c r="O843" s="199"/>
      <c r="P843" s="199"/>
      <c r="Q843" s="199"/>
      <c r="R843" s="199"/>
    </row>
    <row r="844" spans="1:18" s="3" customFormat="1" ht="25.5" hidden="1">
      <c r="A844" s="82" t="s">
        <v>30</v>
      </c>
      <c r="B844" s="149">
        <v>774</v>
      </c>
      <c r="C844" s="84" t="s">
        <v>26</v>
      </c>
      <c r="D844" s="84" t="s">
        <v>70</v>
      </c>
      <c r="E844" s="84" t="s">
        <v>728</v>
      </c>
      <c r="F844" s="84" t="s">
        <v>31</v>
      </c>
      <c r="G844" s="87">
        <f t="shared" si="206"/>
        <v>0</v>
      </c>
      <c r="H844" s="87">
        <f t="shared" si="206"/>
        <v>0</v>
      </c>
      <c r="I844" s="87">
        <f t="shared" si="206"/>
        <v>0</v>
      </c>
      <c r="J844" s="177"/>
      <c r="K844" s="199"/>
      <c r="L844" s="199"/>
      <c r="M844" s="199"/>
      <c r="N844" s="199"/>
      <c r="O844" s="199"/>
      <c r="P844" s="199"/>
      <c r="Q844" s="199"/>
      <c r="R844" s="199"/>
    </row>
    <row r="845" spans="1:18" s="3" customFormat="1" hidden="1">
      <c r="A845" s="82" t="s">
        <v>32</v>
      </c>
      <c r="B845" s="149">
        <v>774</v>
      </c>
      <c r="C845" s="84" t="s">
        <v>26</v>
      </c>
      <c r="D845" s="84" t="s">
        <v>70</v>
      </c>
      <c r="E845" s="84" t="s">
        <v>728</v>
      </c>
      <c r="F845" s="84" t="s">
        <v>33</v>
      </c>
      <c r="G845" s="87"/>
      <c r="H845" s="87"/>
      <c r="I845" s="87"/>
      <c r="J845" s="177"/>
      <c r="K845" s="199"/>
      <c r="L845" s="199"/>
      <c r="M845" s="199"/>
      <c r="N845" s="199"/>
      <c r="O845" s="199"/>
      <c r="P845" s="199"/>
      <c r="Q845" s="199"/>
      <c r="R845" s="199"/>
    </row>
    <row r="846" spans="1:18" ht="25.5">
      <c r="A846" s="82" t="s">
        <v>24</v>
      </c>
      <c r="B846" s="84" t="s">
        <v>94</v>
      </c>
      <c r="C846" s="84" t="s">
        <v>26</v>
      </c>
      <c r="D846" s="84" t="s">
        <v>70</v>
      </c>
      <c r="E846" s="84" t="s">
        <v>224</v>
      </c>
      <c r="F846" s="84"/>
      <c r="G846" s="87">
        <f t="shared" ref="G846:I848" si="207">G847</f>
        <v>452000</v>
      </c>
      <c r="H846" s="87">
        <f t="shared" si="207"/>
        <v>452000</v>
      </c>
      <c r="I846" s="87">
        <f t="shared" si="207"/>
        <v>452000</v>
      </c>
      <c r="J846" s="177"/>
    </row>
    <row r="847" spans="1:18" ht="27" customHeight="1">
      <c r="A847" s="82" t="s">
        <v>142</v>
      </c>
      <c r="B847" s="84" t="s">
        <v>94</v>
      </c>
      <c r="C847" s="84" t="s">
        <v>26</v>
      </c>
      <c r="D847" s="84" t="s">
        <v>70</v>
      </c>
      <c r="E847" s="84" t="s">
        <v>225</v>
      </c>
      <c r="F847" s="84"/>
      <c r="G847" s="87">
        <f t="shared" si="207"/>
        <v>452000</v>
      </c>
      <c r="H847" s="87">
        <f t="shared" si="207"/>
        <v>452000</v>
      </c>
      <c r="I847" s="87">
        <f t="shared" si="207"/>
        <v>452000</v>
      </c>
      <c r="J847" s="177"/>
    </row>
    <row r="848" spans="1:18" ht="25.5">
      <c r="A848" s="82" t="s">
        <v>30</v>
      </c>
      <c r="B848" s="84" t="s">
        <v>94</v>
      </c>
      <c r="C848" s="84" t="s">
        <v>26</v>
      </c>
      <c r="D848" s="84" t="s">
        <v>70</v>
      </c>
      <c r="E848" s="84" t="s">
        <v>225</v>
      </c>
      <c r="F848" s="84" t="s">
        <v>31</v>
      </c>
      <c r="G848" s="87">
        <f t="shared" si="207"/>
        <v>452000</v>
      </c>
      <c r="H848" s="87">
        <f t="shared" si="207"/>
        <v>452000</v>
      </c>
      <c r="I848" s="87">
        <f t="shared" si="207"/>
        <v>452000</v>
      </c>
      <c r="J848" s="177"/>
    </row>
    <row r="849" spans="1:18">
      <c r="A849" s="82" t="s">
        <v>32</v>
      </c>
      <c r="B849" s="84" t="s">
        <v>94</v>
      </c>
      <c r="C849" s="84" t="s">
        <v>26</v>
      </c>
      <c r="D849" s="84" t="s">
        <v>70</v>
      </c>
      <c r="E849" s="84" t="s">
        <v>225</v>
      </c>
      <c r="F849" s="84" t="s">
        <v>33</v>
      </c>
      <c r="G849" s="87">
        <v>452000</v>
      </c>
      <c r="H849" s="87">
        <v>452000</v>
      </c>
      <c r="I849" s="87">
        <v>452000</v>
      </c>
      <c r="J849" s="177"/>
    </row>
    <row r="850" spans="1:18" ht="35.25" hidden="1" customHeight="1">
      <c r="A850" s="139" t="s">
        <v>485</v>
      </c>
      <c r="B850" s="84" t="s">
        <v>94</v>
      </c>
      <c r="C850" s="84" t="s">
        <v>26</v>
      </c>
      <c r="D850" s="84" t="s">
        <v>70</v>
      </c>
      <c r="E850" s="84" t="s">
        <v>195</v>
      </c>
      <c r="F850" s="84"/>
      <c r="G850" s="87">
        <f>G851</f>
        <v>0</v>
      </c>
      <c r="H850" s="87">
        <f t="shared" ref="H850:I850" si="208">H851</f>
        <v>0</v>
      </c>
      <c r="I850" s="87">
        <f t="shared" si="208"/>
        <v>0</v>
      </c>
      <c r="J850" s="177"/>
    </row>
    <row r="851" spans="1:18" ht="36" hidden="1" customHeight="1">
      <c r="A851" s="82" t="s">
        <v>619</v>
      </c>
      <c r="B851" s="84" t="s">
        <v>94</v>
      </c>
      <c r="C851" s="84" t="s">
        <v>26</v>
      </c>
      <c r="D851" s="84" t="s">
        <v>70</v>
      </c>
      <c r="E851" s="84" t="s">
        <v>547</v>
      </c>
      <c r="F851" s="84"/>
      <c r="G851" s="87">
        <f>G852</f>
        <v>0</v>
      </c>
      <c r="H851" s="87">
        <f>H852+H854</f>
        <v>0</v>
      </c>
      <c r="I851" s="87">
        <f>I852+I854</f>
        <v>0</v>
      </c>
      <c r="J851" s="177"/>
    </row>
    <row r="852" spans="1:18" ht="25.5" hidden="1">
      <c r="A852" s="82" t="s">
        <v>30</v>
      </c>
      <c r="B852" s="84" t="s">
        <v>94</v>
      </c>
      <c r="C852" s="84" t="s">
        <v>26</v>
      </c>
      <c r="D852" s="84" t="s">
        <v>70</v>
      </c>
      <c r="E852" s="84" t="s">
        <v>547</v>
      </c>
      <c r="F852" s="84" t="s">
        <v>31</v>
      </c>
      <c r="G852" s="87">
        <f>G853</f>
        <v>0</v>
      </c>
      <c r="H852" s="87">
        <f>H853</f>
        <v>0</v>
      </c>
      <c r="I852" s="87">
        <f>I853</f>
        <v>0</v>
      </c>
      <c r="J852" s="177"/>
    </row>
    <row r="853" spans="1:18" ht="19.5" hidden="1" customHeight="1">
      <c r="A853" s="82" t="s">
        <v>32</v>
      </c>
      <c r="B853" s="84" t="s">
        <v>94</v>
      </c>
      <c r="C853" s="84" t="s">
        <v>26</v>
      </c>
      <c r="D853" s="84" t="s">
        <v>70</v>
      </c>
      <c r="E853" s="84" t="s">
        <v>547</v>
      </c>
      <c r="F853" s="84" t="s">
        <v>33</v>
      </c>
      <c r="G853" s="87"/>
      <c r="H853" s="87"/>
      <c r="I853" s="87"/>
      <c r="J853" s="177"/>
    </row>
    <row r="854" spans="1:18" ht="47.25" hidden="1" customHeight="1">
      <c r="A854" s="82" t="s">
        <v>460</v>
      </c>
      <c r="B854" s="84" t="s">
        <v>94</v>
      </c>
      <c r="C854" s="84" t="s">
        <v>26</v>
      </c>
      <c r="D854" s="84" t="s">
        <v>70</v>
      </c>
      <c r="E854" s="84" t="s">
        <v>459</v>
      </c>
      <c r="F854" s="84"/>
      <c r="G854" s="87">
        <f>G855</f>
        <v>0</v>
      </c>
      <c r="H854" s="87">
        <f>H855</f>
        <v>0</v>
      </c>
      <c r="I854" s="87">
        <f>I855</f>
        <v>0</v>
      </c>
      <c r="J854" s="177"/>
    </row>
    <row r="855" spans="1:18" ht="74.25" hidden="1" customHeight="1">
      <c r="A855" s="82" t="s">
        <v>613</v>
      </c>
      <c r="B855" s="84" t="s">
        <v>94</v>
      </c>
      <c r="C855" s="84" t="s">
        <v>26</v>
      </c>
      <c r="D855" s="84" t="s">
        <v>70</v>
      </c>
      <c r="E855" s="84" t="s">
        <v>612</v>
      </c>
      <c r="F855" s="84"/>
      <c r="G855" s="87">
        <f>G856</f>
        <v>0</v>
      </c>
      <c r="H855" s="87">
        <f t="shared" ref="H855:I856" si="209">H856</f>
        <v>0</v>
      </c>
      <c r="I855" s="87">
        <f t="shared" si="209"/>
        <v>0</v>
      </c>
      <c r="J855" s="177"/>
    </row>
    <row r="856" spans="1:18" ht="31.5" hidden="1" customHeight="1">
      <c r="A856" s="82" t="s">
        <v>30</v>
      </c>
      <c r="B856" s="84" t="s">
        <v>94</v>
      </c>
      <c r="C856" s="84" t="s">
        <v>26</v>
      </c>
      <c r="D856" s="84" t="s">
        <v>70</v>
      </c>
      <c r="E856" s="84" t="s">
        <v>612</v>
      </c>
      <c r="F856" s="84" t="s">
        <v>31</v>
      </c>
      <c r="G856" s="87">
        <f>G857</f>
        <v>0</v>
      </c>
      <c r="H856" s="87">
        <f t="shared" si="209"/>
        <v>0</v>
      </c>
      <c r="I856" s="87">
        <f t="shared" si="209"/>
        <v>0</v>
      </c>
      <c r="J856" s="177"/>
    </row>
    <row r="857" spans="1:18" ht="17.25" hidden="1" customHeight="1">
      <c r="A857" s="82" t="s">
        <v>32</v>
      </c>
      <c r="B857" s="84" t="s">
        <v>94</v>
      </c>
      <c r="C857" s="84" t="s">
        <v>26</v>
      </c>
      <c r="D857" s="84" t="s">
        <v>70</v>
      </c>
      <c r="E857" s="84" t="s">
        <v>612</v>
      </c>
      <c r="F857" s="84" t="s">
        <v>33</v>
      </c>
      <c r="G857" s="87"/>
      <c r="H857" s="127"/>
      <c r="I857" s="127"/>
      <c r="J857" s="198"/>
    </row>
    <row r="858" spans="1:18" s="28" customFormat="1" ht="28.5" hidden="1" customHeight="1">
      <c r="A858" s="139"/>
      <c r="B858" s="149"/>
      <c r="C858" s="84"/>
      <c r="D858" s="84"/>
      <c r="E858" s="84"/>
      <c r="F858" s="84"/>
      <c r="G858" s="87"/>
      <c r="H858" s="87"/>
      <c r="I858" s="87"/>
      <c r="J858" s="177"/>
      <c r="K858" s="204"/>
      <c r="L858" s="204"/>
      <c r="M858" s="204"/>
      <c r="N858" s="204"/>
      <c r="O858" s="204"/>
      <c r="P858" s="204"/>
      <c r="Q858" s="204"/>
      <c r="R858" s="204"/>
    </row>
    <row r="859" spans="1:18" s="28" customFormat="1" ht="27.75" hidden="1" customHeight="1">
      <c r="A859" s="139"/>
      <c r="B859" s="149"/>
      <c r="C859" s="84"/>
      <c r="D859" s="84"/>
      <c r="E859" s="84"/>
      <c r="F859" s="84"/>
      <c r="G859" s="87"/>
      <c r="H859" s="87"/>
      <c r="I859" s="87"/>
      <c r="J859" s="177"/>
      <c r="K859" s="204"/>
      <c r="L859" s="204"/>
      <c r="M859" s="204"/>
      <c r="N859" s="204"/>
      <c r="O859" s="204"/>
      <c r="P859" s="204"/>
      <c r="Q859" s="204"/>
      <c r="R859" s="204"/>
    </row>
    <row r="860" spans="1:18" s="32" customFormat="1" ht="28.5" hidden="1" customHeight="1">
      <c r="A860" s="82"/>
      <c r="B860" s="149"/>
      <c r="C860" s="84"/>
      <c r="D860" s="84"/>
      <c r="E860" s="84"/>
      <c r="F860" s="84"/>
      <c r="G860" s="87"/>
      <c r="H860" s="87"/>
      <c r="I860" s="87"/>
      <c r="J860" s="177"/>
      <c r="K860" s="203"/>
      <c r="L860" s="203"/>
      <c r="M860" s="203"/>
      <c r="N860" s="203"/>
      <c r="O860" s="203"/>
      <c r="P860" s="203"/>
      <c r="Q860" s="203"/>
      <c r="R860" s="203"/>
    </row>
    <row r="861" spans="1:18" s="32" customFormat="1" hidden="1">
      <c r="A861" s="82"/>
      <c r="B861" s="149"/>
      <c r="C861" s="84"/>
      <c r="D861" s="84"/>
      <c r="E861" s="84"/>
      <c r="F861" s="84"/>
      <c r="G861" s="87"/>
      <c r="H861" s="87"/>
      <c r="I861" s="87"/>
      <c r="J861" s="177"/>
      <c r="K861" s="205"/>
      <c r="L861" s="203"/>
      <c r="M861" s="203"/>
      <c r="N861" s="203"/>
      <c r="O861" s="203"/>
      <c r="P861" s="203"/>
      <c r="Q861" s="203"/>
      <c r="R861" s="203"/>
    </row>
    <row r="862" spans="1:18" s="28" customFormat="1" ht="28.5" hidden="1" customHeight="1">
      <c r="A862" s="139" t="s">
        <v>485</v>
      </c>
      <c r="B862" s="84" t="s">
        <v>94</v>
      </c>
      <c r="C862" s="84" t="s">
        <v>26</v>
      </c>
      <c r="D862" s="84" t="s">
        <v>70</v>
      </c>
      <c r="E862" s="84" t="s">
        <v>195</v>
      </c>
      <c r="F862" s="84"/>
      <c r="G862" s="87">
        <f>G863+G866</f>
        <v>0</v>
      </c>
      <c r="H862" s="87">
        <f>H863</f>
        <v>0</v>
      </c>
      <c r="I862" s="87">
        <f>I863</f>
        <v>0</v>
      </c>
      <c r="J862" s="177"/>
      <c r="K862" s="204"/>
      <c r="L862" s="204"/>
      <c r="M862" s="204"/>
      <c r="N862" s="204"/>
      <c r="O862" s="204"/>
      <c r="P862" s="204"/>
      <c r="Q862" s="204"/>
      <c r="R862" s="204"/>
    </row>
    <row r="863" spans="1:18" s="28" customFormat="1" ht="27.75" hidden="1" customHeight="1">
      <c r="A863" s="139" t="s">
        <v>703</v>
      </c>
      <c r="B863" s="84" t="s">
        <v>94</v>
      </c>
      <c r="C863" s="84" t="s">
        <v>26</v>
      </c>
      <c r="D863" s="84" t="s">
        <v>70</v>
      </c>
      <c r="E863" s="84" t="s">
        <v>702</v>
      </c>
      <c r="F863" s="84"/>
      <c r="G863" s="87">
        <f>G864</f>
        <v>0</v>
      </c>
      <c r="H863" s="87">
        <f t="shared" ref="H863:I863" si="210">H864</f>
        <v>0</v>
      </c>
      <c r="I863" s="87">
        <f t="shared" si="210"/>
        <v>0</v>
      </c>
      <c r="J863" s="177"/>
      <c r="K863" s="204"/>
      <c r="L863" s="204"/>
      <c r="M863" s="204"/>
      <c r="N863" s="204"/>
      <c r="O863" s="204"/>
      <c r="P863" s="204"/>
      <c r="Q863" s="204"/>
      <c r="R863" s="204"/>
    </row>
    <row r="864" spans="1:18" s="32" customFormat="1" ht="28.5" hidden="1" customHeight="1">
      <c r="A864" s="82" t="s">
        <v>30</v>
      </c>
      <c r="B864" s="84" t="s">
        <v>94</v>
      </c>
      <c r="C864" s="84" t="s">
        <v>26</v>
      </c>
      <c r="D864" s="84" t="s">
        <v>70</v>
      </c>
      <c r="E864" s="84" t="s">
        <v>702</v>
      </c>
      <c r="F864" s="84" t="s">
        <v>31</v>
      </c>
      <c r="G864" s="87">
        <f>G865</f>
        <v>0</v>
      </c>
      <c r="H864" s="87">
        <f>H865</f>
        <v>0</v>
      </c>
      <c r="I864" s="87">
        <f>I865</f>
        <v>0</v>
      </c>
      <c r="J864" s="177"/>
      <c r="K864" s="203"/>
      <c r="L864" s="203"/>
      <c r="M864" s="203"/>
      <c r="N864" s="203"/>
      <c r="O864" s="203"/>
      <c r="P864" s="203"/>
      <c r="Q864" s="203"/>
      <c r="R864" s="203"/>
    </row>
    <row r="865" spans="1:18" s="32" customFormat="1" hidden="1">
      <c r="A865" s="82" t="s">
        <v>32</v>
      </c>
      <c r="B865" s="84" t="s">
        <v>94</v>
      </c>
      <c r="C865" s="84" t="s">
        <v>26</v>
      </c>
      <c r="D865" s="84" t="s">
        <v>70</v>
      </c>
      <c r="E865" s="84" t="s">
        <v>702</v>
      </c>
      <c r="F865" s="84" t="s">
        <v>33</v>
      </c>
      <c r="G865" s="87"/>
      <c r="H865" s="87">
        <v>0</v>
      </c>
      <c r="I865" s="87">
        <v>0</v>
      </c>
      <c r="J865" s="177"/>
      <c r="K865" s="205"/>
      <c r="L865" s="203"/>
      <c r="M865" s="203"/>
      <c r="N865" s="203"/>
      <c r="O865" s="203"/>
      <c r="P865" s="203"/>
      <c r="Q865" s="203"/>
      <c r="R865" s="203"/>
    </row>
    <row r="866" spans="1:18" s="28" customFormat="1" ht="27.75" hidden="1" customHeight="1">
      <c r="A866" s="139" t="s">
        <v>619</v>
      </c>
      <c r="B866" s="84" t="s">
        <v>94</v>
      </c>
      <c r="C866" s="84" t="s">
        <v>26</v>
      </c>
      <c r="D866" s="84" t="s">
        <v>70</v>
      </c>
      <c r="E866" s="84" t="s">
        <v>547</v>
      </c>
      <c r="F866" s="84"/>
      <c r="G866" s="87">
        <f>G867</f>
        <v>0</v>
      </c>
      <c r="H866" s="87">
        <f t="shared" ref="H866:I866" si="211">H867</f>
        <v>0</v>
      </c>
      <c r="I866" s="87">
        <f t="shared" si="211"/>
        <v>0</v>
      </c>
      <c r="J866" s="177"/>
      <c r="K866" s="204"/>
      <c r="L866" s="204"/>
      <c r="M866" s="204"/>
      <c r="N866" s="204"/>
      <c r="O866" s="204"/>
      <c r="P866" s="204"/>
      <c r="Q866" s="204"/>
      <c r="R866" s="204"/>
    </row>
    <row r="867" spans="1:18" s="32" customFormat="1" ht="28.5" hidden="1" customHeight="1">
      <c r="A867" s="82" t="s">
        <v>30</v>
      </c>
      <c r="B867" s="84" t="s">
        <v>94</v>
      </c>
      <c r="C867" s="84" t="s">
        <v>26</v>
      </c>
      <c r="D867" s="84" t="s">
        <v>70</v>
      </c>
      <c r="E867" s="84" t="s">
        <v>547</v>
      </c>
      <c r="F867" s="84" t="s">
        <v>31</v>
      </c>
      <c r="G867" s="87">
        <f>G868</f>
        <v>0</v>
      </c>
      <c r="H867" s="87">
        <f>H868</f>
        <v>0</v>
      </c>
      <c r="I867" s="87">
        <f>I868</f>
        <v>0</v>
      </c>
      <c r="J867" s="177"/>
      <c r="K867" s="203"/>
      <c r="L867" s="203"/>
      <c r="M867" s="203"/>
      <c r="N867" s="203"/>
      <c r="O867" s="203"/>
      <c r="P867" s="203"/>
      <c r="Q867" s="203"/>
      <c r="R867" s="203"/>
    </row>
    <row r="868" spans="1:18" s="32" customFormat="1" hidden="1">
      <c r="A868" s="82" t="s">
        <v>32</v>
      </c>
      <c r="B868" s="84" t="s">
        <v>94</v>
      </c>
      <c r="C868" s="84" t="s">
        <v>26</v>
      </c>
      <c r="D868" s="84" t="s">
        <v>70</v>
      </c>
      <c r="E868" s="84" t="s">
        <v>547</v>
      </c>
      <c r="F868" s="84" t="s">
        <v>33</v>
      </c>
      <c r="G868" s="87"/>
      <c r="H868" s="87">
        <v>0</v>
      </c>
      <c r="I868" s="87">
        <v>0</v>
      </c>
      <c r="J868" s="177"/>
      <c r="K868" s="205"/>
      <c r="L868" s="203"/>
      <c r="M868" s="203"/>
      <c r="N868" s="203"/>
      <c r="O868" s="203"/>
      <c r="P868" s="203"/>
      <c r="Q868" s="203"/>
      <c r="R868" s="203"/>
    </row>
    <row r="869" spans="1:18" s="165" customFormat="1" ht="30.75" hidden="1" customHeight="1">
      <c r="A869" s="139" t="s">
        <v>273</v>
      </c>
      <c r="B869" s="273">
        <v>774</v>
      </c>
      <c r="C869" s="84" t="s">
        <v>26</v>
      </c>
      <c r="D869" s="84" t="s">
        <v>70</v>
      </c>
      <c r="E869" s="84" t="s">
        <v>571</v>
      </c>
      <c r="F869" s="84"/>
      <c r="G869" s="87">
        <f>G870</f>
        <v>0</v>
      </c>
      <c r="H869" s="274">
        <v>0</v>
      </c>
      <c r="I869" s="274">
        <v>0</v>
      </c>
      <c r="J869" s="193"/>
      <c r="K869" s="206"/>
      <c r="L869" s="206"/>
      <c r="M869" s="206"/>
      <c r="N869" s="206"/>
      <c r="O869" s="206"/>
      <c r="P869" s="206"/>
      <c r="Q869" s="206"/>
      <c r="R869" s="206"/>
    </row>
    <row r="870" spans="1:18" ht="25.5" hidden="1">
      <c r="A870" s="82" t="s">
        <v>30</v>
      </c>
      <c r="B870" s="84" t="s">
        <v>94</v>
      </c>
      <c r="C870" s="84" t="s">
        <v>26</v>
      </c>
      <c r="D870" s="84" t="s">
        <v>70</v>
      </c>
      <c r="E870" s="84" t="s">
        <v>572</v>
      </c>
      <c r="F870" s="84" t="s">
        <v>31</v>
      </c>
      <c r="G870" s="85">
        <f t="shared" ref="G870:I870" si="212">G871</f>
        <v>0</v>
      </c>
      <c r="H870" s="85">
        <f t="shared" si="212"/>
        <v>0</v>
      </c>
      <c r="I870" s="85">
        <f t="shared" si="212"/>
        <v>0</v>
      </c>
      <c r="J870" s="178"/>
    </row>
    <row r="871" spans="1:18" hidden="1">
      <c r="A871" s="82" t="s">
        <v>32</v>
      </c>
      <c r="B871" s="84" t="s">
        <v>94</v>
      </c>
      <c r="C871" s="84" t="s">
        <v>26</v>
      </c>
      <c r="D871" s="84" t="s">
        <v>70</v>
      </c>
      <c r="E871" s="84" t="s">
        <v>572</v>
      </c>
      <c r="F871" s="84" t="s">
        <v>33</v>
      </c>
      <c r="G871" s="85"/>
      <c r="H871" s="85">
        <v>0</v>
      </c>
      <c r="I871" s="85">
        <v>0</v>
      </c>
      <c r="J871" s="178"/>
    </row>
    <row r="872" spans="1:18" s="32" customFormat="1" ht="17.25" hidden="1" customHeight="1">
      <c r="A872" s="277"/>
      <c r="B872" s="84"/>
      <c r="C872" s="156"/>
      <c r="D872" s="156"/>
      <c r="E872" s="156"/>
      <c r="F872" s="156"/>
      <c r="G872" s="157"/>
      <c r="H872" s="157"/>
      <c r="I872" s="157"/>
      <c r="J872" s="196"/>
      <c r="K872" s="203"/>
      <c r="L872" s="203"/>
      <c r="M872" s="203"/>
      <c r="N872" s="203"/>
      <c r="O872" s="203"/>
      <c r="P872" s="203"/>
      <c r="Q872" s="203"/>
      <c r="R872" s="203"/>
    </row>
    <row r="873" spans="1:18" s="32" customFormat="1" ht="17.25" hidden="1" customHeight="1">
      <c r="A873" s="278" t="s">
        <v>496</v>
      </c>
      <c r="B873" s="84" t="s">
        <v>94</v>
      </c>
      <c r="C873" s="84" t="s">
        <v>72</v>
      </c>
      <c r="D873" s="84" t="s">
        <v>19</v>
      </c>
      <c r="E873" s="156"/>
      <c r="F873" s="156"/>
      <c r="G873" s="157">
        <f>G874+G884</f>
        <v>0</v>
      </c>
      <c r="H873" s="157">
        <f>H874+H884</f>
        <v>0</v>
      </c>
      <c r="I873" s="157">
        <f>I874+I884</f>
        <v>0</v>
      </c>
      <c r="J873" s="196"/>
      <c r="K873" s="203"/>
      <c r="L873" s="203"/>
      <c r="M873" s="203"/>
      <c r="N873" s="203"/>
      <c r="O873" s="203"/>
      <c r="P873" s="203"/>
      <c r="Q873" s="203"/>
      <c r="R873" s="203"/>
    </row>
    <row r="874" spans="1:18" ht="27.75" hidden="1" customHeight="1">
      <c r="A874" s="139" t="s">
        <v>485</v>
      </c>
      <c r="B874" s="84" t="s">
        <v>94</v>
      </c>
      <c r="C874" s="84" t="s">
        <v>72</v>
      </c>
      <c r="D874" s="84" t="s">
        <v>19</v>
      </c>
      <c r="E874" s="84" t="s">
        <v>195</v>
      </c>
      <c r="F874" s="84"/>
      <c r="G874" s="87">
        <f>G876+G879+G881</f>
        <v>0</v>
      </c>
      <c r="H874" s="87">
        <f>H876+H879+H881</f>
        <v>0</v>
      </c>
      <c r="I874" s="87">
        <f>I876+I879+I881</f>
        <v>0</v>
      </c>
      <c r="J874" s="177"/>
    </row>
    <row r="875" spans="1:18" ht="19.5" hidden="1" customHeight="1">
      <c r="A875" s="82" t="s">
        <v>32</v>
      </c>
      <c r="B875" s="84" t="s">
        <v>94</v>
      </c>
      <c r="C875" s="84" t="s">
        <v>72</v>
      </c>
      <c r="D875" s="84" t="s">
        <v>19</v>
      </c>
      <c r="E875" s="84" t="s">
        <v>40</v>
      </c>
      <c r="F875" s="84" t="s">
        <v>33</v>
      </c>
      <c r="G875" s="87"/>
      <c r="H875" s="87"/>
      <c r="I875" s="87"/>
      <c r="J875" s="177"/>
    </row>
    <row r="876" spans="1:18" ht="39" hidden="1" customHeight="1">
      <c r="A876" s="82" t="s">
        <v>112</v>
      </c>
      <c r="B876" s="84" t="s">
        <v>94</v>
      </c>
      <c r="C876" s="84" t="s">
        <v>72</v>
      </c>
      <c r="D876" s="84" t="s">
        <v>19</v>
      </c>
      <c r="E876" s="84" t="s">
        <v>196</v>
      </c>
      <c r="F876" s="84"/>
      <c r="G876" s="87">
        <f>G877</f>
        <v>0</v>
      </c>
      <c r="H876" s="87">
        <f t="shared" ref="H876:I876" si="213">H877</f>
        <v>0</v>
      </c>
      <c r="I876" s="87">
        <f t="shared" si="213"/>
        <v>0</v>
      </c>
      <c r="J876" s="177"/>
    </row>
    <row r="877" spans="1:18" ht="25.5" hidden="1">
      <c r="A877" s="82" t="s">
        <v>30</v>
      </c>
      <c r="B877" s="84" t="s">
        <v>94</v>
      </c>
      <c r="C877" s="84" t="s">
        <v>72</v>
      </c>
      <c r="D877" s="84" t="s">
        <v>19</v>
      </c>
      <c r="E877" s="84" t="s">
        <v>196</v>
      </c>
      <c r="F877" s="84" t="s">
        <v>31</v>
      </c>
      <c r="G877" s="87">
        <f>G878</f>
        <v>0</v>
      </c>
      <c r="H877" s="87">
        <f>H878</f>
        <v>0</v>
      </c>
      <c r="I877" s="87">
        <f>I878</f>
        <v>0</v>
      </c>
      <c r="J877" s="177"/>
    </row>
    <row r="878" spans="1:18" ht="19.5" hidden="1" customHeight="1">
      <c r="A878" s="82" t="s">
        <v>32</v>
      </c>
      <c r="B878" s="84" t="s">
        <v>94</v>
      </c>
      <c r="C878" s="84" t="s">
        <v>72</v>
      </c>
      <c r="D878" s="84" t="s">
        <v>19</v>
      </c>
      <c r="E878" s="84" t="s">
        <v>196</v>
      </c>
      <c r="F878" s="84" t="s">
        <v>33</v>
      </c>
      <c r="G878" s="87"/>
      <c r="H878" s="87"/>
      <c r="I878" s="87"/>
      <c r="J878" s="177"/>
    </row>
    <row r="879" spans="1:18" s="32" customFormat="1" ht="25.5" hidden="1" customHeight="1">
      <c r="A879" s="82" t="s">
        <v>30</v>
      </c>
      <c r="B879" s="84" t="s">
        <v>94</v>
      </c>
      <c r="C879" s="84" t="s">
        <v>72</v>
      </c>
      <c r="D879" s="84" t="s">
        <v>19</v>
      </c>
      <c r="E879" s="84" t="s">
        <v>547</v>
      </c>
      <c r="F879" s="84" t="s">
        <v>31</v>
      </c>
      <c r="G879" s="87">
        <f>G880</f>
        <v>0</v>
      </c>
      <c r="H879" s="87">
        <v>0</v>
      </c>
      <c r="I879" s="87">
        <v>0</v>
      </c>
      <c r="J879" s="177"/>
      <c r="K879" s="203"/>
      <c r="L879" s="203"/>
      <c r="M879" s="203"/>
      <c r="N879" s="203"/>
      <c r="O879" s="203"/>
      <c r="P879" s="203"/>
      <c r="Q879" s="203"/>
      <c r="R879" s="203"/>
    </row>
    <row r="880" spans="1:18" s="32" customFormat="1" ht="17.25" hidden="1" customHeight="1">
      <c r="A880" s="82" t="s">
        <v>32</v>
      </c>
      <c r="B880" s="84" t="s">
        <v>94</v>
      </c>
      <c r="C880" s="84" t="s">
        <v>72</v>
      </c>
      <c r="D880" s="84" t="s">
        <v>19</v>
      </c>
      <c r="E880" s="84" t="s">
        <v>547</v>
      </c>
      <c r="F880" s="84" t="s">
        <v>33</v>
      </c>
      <c r="G880" s="87"/>
      <c r="H880" s="87">
        <v>0</v>
      </c>
      <c r="I880" s="87">
        <v>0</v>
      </c>
      <c r="J880" s="177"/>
      <c r="K880" s="203"/>
      <c r="L880" s="203"/>
      <c r="M880" s="203"/>
      <c r="N880" s="203"/>
      <c r="O880" s="203"/>
      <c r="P880" s="203"/>
      <c r="Q880" s="203"/>
      <c r="R880" s="203"/>
    </row>
    <row r="881" spans="1:18" s="32" customFormat="1" ht="65.25" hidden="1" customHeight="1">
      <c r="A881" s="82" t="s">
        <v>616</v>
      </c>
      <c r="B881" s="84" t="s">
        <v>94</v>
      </c>
      <c r="C881" s="84" t="s">
        <v>72</v>
      </c>
      <c r="D881" s="84" t="s">
        <v>19</v>
      </c>
      <c r="E881" s="84" t="s">
        <v>615</v>
      </c>
      <c r="F881" s="84"/>
      <c r="G881" s="87">
        <f>G882</f>
        <v>0</v>
      </c>
      <c r="H881" s="87">
        <f t="shared" ref="H881:I881" si="214">H882</f>
        <v>0</v>
      </c>
      <c r="I881" s="87">
        <f t="shared" si="214"/>
        <v>0</v>
      </c>
      <c r="J881" s="177"/>
      <c r="K881" s="203"/>
      <c r="L881" s="203"/>
      <c r="M881" s="203"/>
      <c r="N881" s="203"/>
      <c r="O881" s="203"/>
      <c r="P881" s="203"/>
      <c r="Q881" s="203"/>
      <c r="R881" s="203"/>
    </row>
    <row r="882" spans="1:18" s="32" customFormat="1" ht="25.5" hidden="1" customHeight="1">
      <c r="A882" s="82" t="s">
        <v>30</v>
      </c>
      <c r="B882" s="84" t="s">
        <v>94</v>
      </c>
      <c r="C882" s="84" t="s">
        <v>72</v>
      </c>
      <c r="D882" s="84" t="s">
        <v>19</v>
      </c>
      <c r="E882" s="84" t="s">
        <v>615</v>
      </c>
      <c r="F882" s="84" t="s">
        <v>31</v>
      </c>
      <c r="G882" s="87">
        <f>G883</f>
        <v>0</v>
      </c>
      <c r="H882" s="87">
        <v>0</v>
      </c>
      <c r="I882" s="87">
        <v>0</v>
      </c>
      <c r="J882" s="177"/>
      <c r="K882" s="203"/>
      <c r="L882" s="203"/>
      <c r="M882" s="203"/>
      <c r="N882" s="203"/>
      <c r="O882" s="203"/>
      <c r="P882" s="203"/>
      <c r="Q882" s="203"/>
      <c r="R882" s="203"/>
    </row>
    <row r="883" spans="1:18" s="32" customFormat="1" ht="17.25" hidden="1" customHeight="1">
      <c r="A883" s="82" t="s">
        <v>32</v>
      </c>
      <c r="B883" s="84" t="s">
        <v>94</v>
      </c>
      <c r="C883" s="84" t="s">
        <v>72</v>
      </c>
      <c r="D883" s="84" t="s">
        <v>19</v>
      </c>
      <c r="E883" s="84" t="s">
        <v>615</v>
      </c>
      <c r="F883" s="84" t="s">
        <v>33</v>
      </c>
      <c r="G883" s="87"/>
      <c r="H883" s="87">
        <v>0</v>
      </c>
      <c r="I883" s="87">
        <v>0</v>
      </c>
      <c r="J883" s="177"/>
      <c r="K883" s="203"/>
      <c r="L883" s="203"/>
      <c r="M883" s="203"/>
      <c r="N883" s="203"/>
      <c r="O883" s="203"/>
      <c r="P883" s="203"/>
      <c r="Q883" s="203"/>
      <c r="R883" s="203"/>
    </row>
    <row r="884" spans="1:18" s="18" customFormat="1" ht="25.5" hidden="1">
      <c r="A884" s="82" t="s">
        <v>475</v>
      </c>
      <c r="B884" s="84" t="s">
        <v>94</v>
      </c>
      <c r="C884" s="84" t="s">
        <v>72</v>
      </c>
      <c r="D884" s="84" t="s">
        <v>19</v>
      </c>
      <c r="E884" s="84" t="s">
        <v>263</v>
      </c>
      <c r="F884" s="84"/>
      <c r="G884" s="87">
        <f>G885</f>
        <v>0</v>
      </c>
      <c r="H884" s="87">
        <f t="shared" ref="H884:I886" si="215">H885</f>
        <v>0</v>
      </c>
      <c r="I884" s="87">
        <f t="shared" si="215"/>
        <v>0</v>
      </c>
      <c r="J884" s="177"/>
      <c r="K884" s="200"/>
      <c r="L884" s="200"/>
      <c r="M884" s="200"/>
      <c r="N884" s="200"/>
      <c r="O884" s="200"/>
      <c r="P884" s="200"/>
      <c r="Q884" s="200"/>
      <c r="R884" s="200"/>
    </row>
    <row r="885" spans="1:18" s="18" customFormat="1" ht="25.5" hidden="1">
      <c r="A885" s="82" t="s">
        <v>474</v>
      </c>
      <c r="B885" s="84" t="s">
        <v>94</v>
      </c>
      <c r="C885" s="84" t="s">
        <v>72</v>
      </c>
      <c r="D885" s="84" t="s">
        <v>19</v>
      </c>
      <c r="E885" s="84" t="s">
        <v>446</v>
      </c>
      <c r="F885" s="84"/>
      <c r="G885" s="87">
        <f>G886</f>
        <v>0</v>
      </c>
      <c r="H885" s="87">
        <f t="shared" si="215"/>
        <v>0</v>
      </c>
      <c r="I885" s="87">
        <f t="shared" si="215"/>
        <v>0</v>
      </c>
      <c r="J885" s="177"/>
      <c r="K885" s="200"/>
      <c r="L885" s="200"/>
      <c r="M885" s="200"/>
      <c r="N885" s="200"/>
      <c r="O885" s="200"/>
      <c r="P885" s="200"/>
      <c r="Q885" s="200"/>
      <c r="R885" s="200"/>
    </row>
    <row r="886" spans="1:18" s="18" customFormat="1" ht="25.5" hidden="1">
      <c r="A886" s="82" t="s">
        <v>96</v>
      </c>
      <c r="B886" s="84" t="s">
        <v>94</v>
      </c>
      <c r="C886" s="84" t="s">
        <v>72</v>
      </c>
      <c r="D886" s="84" t="s">
        <v>19</v>
      </c>
      <c r="E886" s="84" t="s">
        <v>446</v>
      </c>
      <c r="F886" s="84" t="s">
        <v>349</v>
      </c>
      <c r="G886" s="87">
        <f>G887</f>
        <v>0</v>
      </c>
      <c r="H886" s="87">
        <f t="shared" si="215"/>
        <v>0</v>
      </c>
      <c r="I886" s="87">
        <f t="shared" si="215"/>
        <v>0</v>
      </c>
      <c r="J886" s="177"/>
      <c r="K886" s="200"/>
      <c r="L886" s="200"/>
      <c r="M886" s="200"/>
      <c r="N886" s="200"/>
      <c r="O886" s="200"/>
      <c r="P886" s="200"/>
      <c r="Q886" s="200"/>
      <c r="R886" s="200"/>
    </row>
    <row r="887" spans="1:18" s="18" customFormat="1" ht="89.25" hidden="1">
      <c r="A887" s="133" t="s">
        <v>421</v>
      </c>
      <c r="B887" s="84" t="s">
        <v>94</v>
      </c>
      <c r="C887" s="84" t="s">
        <v>72</v>
      </c>
      <c r="D887" s="84" t="s">
        <v>19</v>
      </c>
      <c r="E887" s="84" t="s">
        <v>446</v>
      </c>
      <c r="F887" s="84" t="s">
        <v>420</v>
      </c>
      <c r="G887" s="87">
        <f>50000-50000</f>
        <v>0</v>
      </c>
      <c r="H887" s="87"/>
      <c r="I887" s="87"/>
      <c r="J887" s="177"/>
      <c r="K887" s="200"/>
      <c r="L887" s="200"/>
      <c r="M887" s="200"/>
      <c r="N887" s="200"/>
      <c r="O887" s="200"/>
      <c r="P887" s="200"/>
      <c r="Q887" s="200"/>
      <c r="R887" s="200"/>
    </row>
    <row r="888" spans="1:18" s="33" customFormat="1" ht="15" hidden="1" customHeight="1">
      <c r="A888" s="82"/>
      <c r="B888" s="84"/>
      <c r="C888" s="84"/>
      <c r="D888" s="84"/>
      <c r="E888" s="168"/>
      <c r="F888" s="168"/>
      <c r="G888" s="93"/>
      <c r="H888" s="93"/>
      <c r="I888" s="93"/>
      <c r="J888" s="195"/>
      <c r="K888" s="211"/>
      <c r="L888" s="211"/>
      <c r="M888" s="211"/>
      <c r="N888" s="211"/>
      <c r="O888" s="211"/>
      <c r="P888" s="211"/>
      <c r="Q888" s="211"/>
      <c r="R888" s="211"/>
    </row>
    <row r="889" spans="1:18" s="169" customFormat="1" ht="28.5" customHeight="1">
      <c r="A889" s="139" t="s">
        <v>485</v>
      </c>
      <c r="B889" s="84" t="s">
        <v>94</v>
      </c>
      <c r="C889" s="84" t="s">
        <v>26</v>
      </c>
      <c r="D889" s="84" t="s">
        <v>70</v>
      </c>
      <c r="E889" s="84" t="s">
        <v>195</v>
      </c>
      <c r="F889" s="84"/>
      <c r="G889" s="87">
        <f>G890+G893+G896</f>
        <v>2461560</v>
      </c>
      <c r="H889" s="87">
        <f t="shared" ref="H889:I889" si="216">H890+H893+H896</f>
        <v>0</v>
      </c>
      <c r="I889" s="87">
        <f t="shared" si="216"/>
        <v>0</v>
      </c>
      <c r="J889" s="177"/>
      <c r="K889" s="204"/>
      <c r="L889" s="204"/>
      <c r="M889" s="204"/>
      <c r="N889" s="204"/>
      <c r="O889" s="204"/>
      <c r="P889" s="204"/>
      <c r="Q889" s="204"/>
      <c r="R889" s="204"/>
    </row>
    <row r="890" spans="1:18" s="169" customFormat="1" ht="27.75" hidden="1" customHeight="1">
      <c r="A890" s="139" t="s">
        <v>73</v>
      </c>
      <c r="B890" s="84" t="s">
        <v>94</v>
      </c>
      <c r="C890" s="84" t="s">
        <v>26</v>
      </c>
      <c r="D890" s="84" t="s">
        <v>70</v>
      </c>
      <c r="E890" s="84" t="s">
        <v>206</v>
      </c>
      <c r="F890" s="84"/>
      <c r="G890" s="87">
        <f>G891</f>
        <v>0</v>
      </c>
      <c r="H890" s="87">
        <f t="shared" ref="H890:I890" si="217">H891</f>
        <v>0</v>
      </c>
      <c r="I890" s="87">
        <f t="shared" si="217"/>
        <v>0</v>
      </c>
      <c r="J890" s="177"/>
      <c r="K890" s="204"/>
      <c r="L890" s="204"/>
      <c r="M890" s="204"/>
      <c r="N890" s="204"/>
      <c r="O890" s="204"/>
      <c r="P890" s="204"/>
      <c r="Q890" s="204"/>
      <c r="R890" s="204"/>
    </row>
    <row r="891" spans="1:18" s="227" customFormat="1" ht="28.5" hidden="1" customHeight="1">
      <c r="A891" s="82" t="s">
        <v>36</v>
      </c>
      <c r="B891" s="84" t="s">
        <v>94</v>
      </c>
      <c r="C891" s="84" t="s">
        <v>26</v>
      </c>
      <c r="D891" s="84" t="s">
        <v>70</v>
      </c>
      <c r="E891" s="84" t="s">
        <v>206</v>
      </c>
      <c r="F891" s="84" t="s">
        <v>37</v>
      </c>
      <c r="G891" s="87">
        <f>G892</f>
        <v>0</v>
      </c>
      <c r="H891" s="87">
        <f>H892</f>
        <v>0</v>
      </c>
      <c r="I891" s="87">
        <f>I892</f>
        <v>0</v>
      </c>
      <c r="J891" s="177"/>
      <c r="K891" s="203"/>
      <c r="L891" s="203"/>
      <c r="M891" s="203"/>
      <c r="N891" s="203"/>
      <c r="O891" s="203"/>
      <c r="P891" s="203"/>
      <c r="Q891" s="203"/>
      <c r="R891" s="203"/>
    </row>
    <row r="892" spans="1:18" s="227" customFormat="1" hidden="1">
      <c r="A892" s="82"/>
      <c r="B892" s="84" t="s">
        <v>94</v>
      </c>
      <c r="C892" s="84" t="s">
        <v>26</v>
      </c>
      <c r="D892" s="84" t="s">
        <v>70</v>
      </c>
      <c r="E892" s="84"/>
      <c r="F892" s="84"/>
      <c r="G892" s="87"/>
      <c r="H892" s="87"/>
      <c r="I892" s="87"/>
      <c r="J892" s="177"/>
      <c r="K892" s="205"/>
      <c r="L892" s="203"/>
      <c r="M892" s="203"/>
      <c r="N892" s="203"/>
      <c r="O892" s="203"/>
      <c r="P892" s="203"/>
      <c r="Q892" s="203"/>
      <c r="R892" s="203"/>
    </row>
    <row r="893" spans="1:18" s="169" customFormat="1" ht="56.25" hidden="1" customHeight="1">
      <c r="A893" s="139" t="s">
        <v>850</v>
      </c>
      <c r="B893" s="84" t="s">
        <v>94</v>
      </c>
      <c r="C893" s="84" t="s">
        <v>26</v>
      </c>
      <c r="D893" s="84" t="s">
        <v>70</v>
      </c>
      <c r="E893" s="84" t="s">
        <v>849</v>
      </c>
      <c r="F893" s="84"/>
      <c r="G893" s="87">
        <f>G894</f>
        <v>0</v>
      </c>
      <c r="H893" s="87">
        <f t="shared" ref="H893:I893" si="218">H894</f>
        <v>0</v>
      </c>
      <c r="I893" s="87">
        <f t="shared" si="218"/>
        <v>0</v>
      </c>
      <c r="J893" s="177"/>
      <c r="K893" s="204"/>
      <c r="L893" s="204"/>
      <c r="M893" s="204"/>
      <c r="N893" s="204"/>
      <c r="O893" s="204"/>
      <c r="P893" s="204"/>
      <c r="Q893" s="204"/>
      <c r="R893" s="204"/>
    </row>
    <row r="894" spans="1:18" s="227" customFormat="1" ht="28.5" hidden="1" customHeight="1">
      <c r="A894" s="82" t="s">
        <v>30</v>
      </c>
      <c r="B894" s="84" t="s">
        <v>94</v>
      </c>
      <c r="C894" s="84" t="s">
        <v>26</v>
      </c>
      <c r="D894" s="84" t="s">
        <v>70</v>
      </c>
      <c r="E894" s="84" t="s">
        <v>849</v>
      </c>
      <c r="F894" s="84" t="s">
        <v>31</v>
      </c>
      <c r="G894" s="87">
        <f>G895</f>
        <v>0</v>
      </c>
      <c r="H894" s="87">
        <f>H895</f>
        <v>0</v>
      </c>
      <c r="I894" s="87">
        <f>I895</f>
        <v>0</v>
      </c>
      <c r="J894" s="177"/>
      <c r="K894" s="203"/>
      <c r="L894" s="203"/>
      <c r="M894" s="203"/>
      <c r="N894" s="203"/>
      <c r="O894" s="203"/>
      <c r="P894" s="203"/>
      <c r="Q894" s="203"/>
      <c r="R894" s="203"/>
    </row>
    <row r="895" spans="1:18" s="227" customFormat="1" hidden="1">
      <c r="A895" s="82" t="s">
        <v>32</v>
      </c>
      <c r="B895" s="84" t="s">
        <v>94</v>
      </c>
      <c r="C895" s="84" t="s">
        <v>26</v>
      </c>
      <c r="D895" s="84" t="s">
        <v>70</v>
      </c>
      <c r="E895" s="84" t="s">
        <v>849</v>
      </c>
      <c r="F895" s="84" t="s">
        <v>33</v>
      </c>
      <c r="G895" s="87"/>
      <c r="H895" s="87">
        <v>0</v>
      </c>
      <c r="I895" s="87">
        <v>0</v>
      </c>
      <c r="J895" s="177"/>
      <c r="K895" s="205"/>
      <c r="L895" s="203"/>
      <c r="M895" s="203"/>
      <c r="N895" s="203"/>
      <c r="O895" s="203"/>
      <c r="P895" s="203"/>
      <c r="Q895" s="203"/>
      <c r="R895" s="203"/>
    </row>
    <row r="896" spans="1:18" s="28" customFormat="1" ht="35.25" customHeight="1">
      <c r="A896" s="139" t="s">
        <v>619</v>
      </c>
      <c r="B896" s="84" t="s">
        <v>94</v>
      </c>
      <c r="C896" s="84" t="s">
        <v>26</v>
      </c>
      <c r="D896" s="84" t="s">
        <v>70</v>
      </c>
      <c r="E896" s="84" t="s">
        <v>547</v>
      </c>
      <c r="F896" s="84"/>
      <c r="G896" s="87">
        <f>G897</f>
        <v>2461560</v>
      </c>
      <c r="H896" s="87">
        <f t="shared" ref="H896:I896" si="219">H897</f>
        <v>0</v>
      </c>
      <c r="I896" s="87">
        <f t="shared" si="219"/>
        <v>0</v>
      </c>
      <c r="J896" s="177"/>
      <c r="K896" s="204"/>
      <c r="L896" s="204"/>
      <c r="M896" s="204"/>
      <c r="N896" s="204"/>
      <c r="O896" s="204"/>
      <c r="P896" s="204"/>
      <c r="Q896" s="204"/>
      <c r="R896" s="204"/>
    </row>
    <row r="897" spans="1:20" s="32" customFormat="1" ht="28.5" customHeight="1">
      <c r="A897" s="82" t="s">
        <v>30</v>
      </c>
      <c r="B897" s="84" t="s">
        <v>94</v>
      </c>
      <c r="C897" s="84" t="s">
        <v>26</v>
      </c>
      <c r="D897" s="84" t="s">
        <v>70</v>
      </c>
      <c r="E897" s="84" t="s">
        <v>547</v>
      </c>
      <c r="F897" s="84" t="s">
        <v>31</v>
      </c>
      <c r="G897" s="87">
        <f>G898</f>
        <v>2461560</v>
      </c>
      <c r="H897" s="87">
        <f>H898</f>
        <v>0</v>
      </c>
      <c r="I897" s="87">
        <f>I898</f>
        <v>0</v>
      </c>
      <c r="J897" s="177"/>
      <c r="K897" s="203"/>
      <c r="L897" s="203"/>
      <c r="M897" s="203"/>
      <c r="N897" s="203"/>
      <c r="O897" s="203"/>
      <c r="P897" s="203"/>
      <c r="Q897" s="203"/>
      <c r="R897" s="203"/>
    </row>
    <row r="898" spans="1:20" s="32" customFormat="1">
      <c r="A898" s="82" t="s">
        <v>32</v>
      </c>
      <c r="B898" s="84" t="s">
        <v>94</v>
      </c>
      <c r="C898" s="84" t="s">
        <v>26</v>
      </c>
      <c r="D898" s="84" t="s">
        <v>70</v>
      </c>
      <c r="E898" s="84" t="s">
        <v>547</v>
      </c>
      <c r="F898" s="84" t="s">
        <v>33</v>
      </c>
      <c r="G898" s="87">
        <v>2461560</v>
      </c>
      <c r="H898" s="87">
        <v>0</v>
      </c>
      <c r="I898" s="87">
        <v>0</v>
      </c>
      <c r="J898" s="177"/>
      <c r="K898" s="205"/>
      <c r="L898" s="203"/>
      <c r="M898" s="203"/>
      <c r="N898" s="203"/>
      <c r="O898" s="203"/>
      <c r="P898" s="203"/>
      <c r="Q898" s="203"/>
      <c r="R898" s="203"/>
    </row>
    <row r="899" spans="1:20" s="32" customFormat="1" ht="38.25">
      <c r="A899" s="82" t="s">
        <v>460</v>
      </c>
      <c r="B899" s="149">
        <v>774</v>
      </c>
      <c r="C899" s="84" t="s">
        <v>26</v>
      </c>
      <c r="D899" s="84" t="s">
        <v>70</v>
      </c>
      <c r="E899" s="84" t="s">
        <v>1040</v>
      </c>
      <c r="F899" s="84"/>
      <c r="G899" s="87">
        <f>G900</f>
        <v>364370</v>
      </c>
      <c r="H899" s="87"/>
      <c r="I899" s="87"/>
      <c r="J899" s="177"/>
      <c r="K899" s="205"/>
      <c r="L899" s="203"/>
      <c r="M899" s="203"/>
      <c r="N899" s="203"/>
      <c r="O899" s="203"/>
      <c r="P899" s="203"/>
      <c r="Q899" s="203"/>
      <c r="R899" s="203"/>
    </row>
    <row r="900" spans="1:20" s="32" customFormat="1" ht="25.5">
      <c r="A900" s="82" t="s">
        <v>458</v>
      </c>
      <c r="B900" s="149">
        <v>774</v>
      </c>
      <c r="C900" s="84" t="s">
        <v>26</v>
      </c>
      <c r="D900" s="84" t="s">
        <v>70</v>
      </c>
      <c r="E900" s="84" t="s">
        <v>1040</v>
      </c>
      <c r="F900" s="84"/>
      <c r="G900" s="87">
        <f>G901</f>
        <v>364370</v>
      </c>
      <c r="H900" s="87"/>
      <c r="I900" s="87"/>
      <c r="J900" s="177"/>
      <c r="K900" s="205"/>
      <c r="L900" s="203"/>
      <c r="M900" s="203"/>
      <c r="N900" s="203"/>
      <c r="O900" s="203"/>
      <c r="P900" s="203"/>
      <c r="Q900" s="203"/>
      <c r="R900" s="203"/>
    </row>
    <row r="901" spans="1:20" s="32" customFormat="1" ht="25.5">
      <c r="A901" s="82" t="s">
        <v>30</v>
      </c>
      <c r="B901" s="149">
        <v>774</v>
      </c>
      <c r="C901" s="84" t="s">
        <v>26</v>
      </c>
      <c r="D901" s="84" t="s">
        <v>70</v>
      </c>
      <c r="E901" s="84" t="s">
        <v>1040</v>
      </c>
      <c r="F901" s="84" t="s">
        <v>31</v>
      </c>
      <c r="G901" s="87">
        <f>G902</f>
        <v>364370</v>
      </c>
      <c r="H901" s="87"/>
      <c r="I901" s="87"/>
      <c r="J901" s="177"/>
      <c r="K901" s="205"/>
      <c r="L901" s="203"/>
      <c r="M901" s="203"/>
      <c r="N901" s="203"/>
      <c r="O901" s="203"/>
      <c r="P901" s="203"/>
      <c r="Q901" s="203"/>
      <c r="R901" s="203"/>
    </row>
    <row r="902" spans="1:20" s="32" customFormat="1" ht="21" customHeight="1">
      <c r="A902" s="82" t="s">
        <v>32</v>
      </c>
      <c r="B902" s="149">
        <v>774</v>
      </c>
      <c r="C902" s="84" t="s">
        <v>26</v>
      </c>
      <c r="D902" s="84" t="s">
        <v>70</v>
      </c>
      <c r="E902" s="84" t="s">
        <v>1040</v>
      </c>
      <c r="F902" s="84" t="s">
        <v>33</v>
      </c>
      <c r="G902" s="87">
        <v>364370</v>
      </c>
      <c r="H902" s="87"/>
      <c r="I902" s="87"/>
      <c r="J902" s="177"/>
      <c r="K902" s="205"/>
      <c r="L902" s="203"/>
      <c r="M902" s="203"/>
      <c r="N902" s="203"/>
      <c r="O902" s="203"/>
      <c r="P902" s="203"/>
      <c r="Q902" s="203"/>
      <c r="R902" s="203"/>
    </row>
    <row r="903" spans="1:20" s="161" customFormat="1" ht="34.5" customHeight="1">
      <c r="A903" s="139" t="s">
        <v>169</v>
      </c>
      <c r="B903" s="84" t="s">
        <v>94</v>
      </c>
      <c r="C903" s="84" t="s">
        <v>26</v>
      </c>
      <c r="D903" s="84" t="s">
        <v>70</v>
      </c>
      <c r="E903" s="84" t="s">
        <v>234</v>
      </c>
      <c r="F903" s="159"/>
      <c r="G903" s="87">
        <f>G904</f>
        <v>400000</v>
      </c>
      <c r="H903" s="87">
        <f t="shared" ref="H903:I904" si="220">H904</f>
        <v>0</v>
      </c>
      <c r="I903" s="87">
        <f t="shared" si="220"/>
        <v>0</v>
      </c>
      <c r="J903" s="160"/>
      <c r="P903" s="160"/>
      <c r="Q903" s="160"/>
      <c r="R903" s="160"/>
      <c r="S903" s="160"/>
      <c r="T903" s="160"/>
    </row>
    <row r="904" spans="1:20" ht="18" customHeight="1">
      <c r="A904" s="82" t="s">
        <v>30</v>
      </c>
      <c r="B904" s="84" t="s">
        <v>94</v>
      </c>
      <c r="C904" s="84" t="s">
        <v>26</v>
      </c>
      <c r="D904" s="84" t="s">
        <v>70</v>
      </c>
      <c r="E904" s="84" t="s">
        <v>276</v>
      </c>
      <c r="F904" s="84" t="s">
        <v>31</v>
      </c>
      <c r="G904" s="87">
        <f>G905</f>
        <v>400000</v>
      </c>
      <c r="H904" s="87">
        <f t="shared" si="220"/>
        <v>0</v>
      </c>
      <c r="I904" s="87">
        <f t="shared" si="220"/>
        <v>0</v>
      </c>
      <c r="J904" s="90"/>
      <c r="K904" s="1"/>
      <c r="L904" s="1"/>
      <c r="M904" s="1"/>
      <c r="N904" s="1"/>
      <c r="O904" s="1"/>
      <c r="P904" s="2"/>
      <c r="Q904" s="2"/>
      <c r="R904" s="2"/>
      <c r="S904" s="2"/>
      <c r="T904" s="2"/>
    </row>
    <row r="905" spans="1:20" ht="18" customHeight="1">
      <c r="A905" s="82" t="s">
        <v>32</v>
      </c>
      <c r="B905" s="84" t="s">
        <v>94</v>
      </c>
      <c r="C905" s="84" t="s">
        <v>26</v>
      </c>
      <c r="D905" s="84" t="s">
        <v>70</v>
      </c>
      <c r="E905" s="84" t="s">
        <v>276</v>
      </c>
      <c r="F905" s="84" t="s">
        <v>33</v>
      </c>
      <c r="G905" s="87">
        <v>400000</v>
      </c>
      <c r="H905" s="87">
        <v>0</v>
      </c>
      <c r="I905" s="87">
        <v>0</v>
      </c>
      <c r="J905" s="90"/>
      <c r="K905" s="1"/>
      <c r="L905" s="1"/>
      <c r="M905" s="1"/>
      <c r="N905" s="1"/>
      <c r="O905" s="1"/>
      <c r="P905" s="2"/>
      <c r="Q905" s="2"/>
      <c r="R905" s="2"/>
      <c r="S905" s="2"/>
      <c r="T905" s="2"/>
    </row>
    <row r="906" spans="1:20">
      <c r="A906" s="82" t="s">
        <v>282</v>
      </c>
      <c r="B906" s="84" t="s">
        <v>94</v>
      </c>
      <c r="C906" s="84" t="s">
        <v>26</v>
      </c>
      <c r="D906" s="84" t="s">
        <v>26</v>
      </c>
      <c r="E906" s="84"/>
      <c r="F906" s="84"/>
      <c r="G906" s="87">
        <f>G907+G954</f>
        <v>5100412.5599999996</v>
      </c>
      <c r="H906" s="87">
        <f>H907+H954</f>
        <v>4869412.54</v>
      </c>
      <c r="I906" s="87">
        <f>I907+I954</f>
        <v>4869412.5599999996</v>
      </c>
      <c r="J906" s="177"/>
    </row>
    <row r="907" spans="1:20" s="28" customFormat="1" ht="25.5">
      <c r="A907" s="82" t="s">
        <v>478</v>
      </c>
      <c r="B907" s="84" t="s">
        <v>94</v>
      </c>
      <c r="C907" s="84" t="s">
        <v>26</v>
      </c>
      <c r="D907" s="84" t="s">
        <v>26</v>
      </c>
      <c r="E907" s="84" t="s">
        <v>189</v>
      </c>
      <c r="F907" s="168"/>
      <c r="G907" s="87">
        <f>G908+G923</f>
        <v>5100412.5599999996</v>
      </c>
      <c r="H907" s="87">
        <f t="shared" ref="H907:I907" si="221">H908</f>
        <v>4869412.54</v>
      </c>
      <c r="I907" s="87">
        <f t="shared" si="221"/>
        <v>4869412.5599999996</v>
      </c>
      <c r="J907" s="177"/>
      <c r="K907" s="204"/>
      <c r="L907" s="204"/>
      <c r="M907" s="204"/>
      <c r="N907" s="204"/>
      <c r="O907" s="204"/>
      <c r="P907" s="204"/>
      <c r="Q907" s="204"/>
      <c r="R907" s="204"/>
    </row>
    <row r="908" spans="1:20" s="18" customFormat="1" ht="21.75" customHeight="1">
      <c r="A908" s="135" t="s">
        <v>119</v>
      </c>
      <c r="B908" s="84" t="s">
        <v>94</v>
      </c>
      <c r="C908" s="84" t="s">
        <v>26</v>
      </c>
      <c r="D908" s="84" t="s">
        <v>26</v>
      </c>
      <c r="E908" s="84" t="s">
        <v>190</v>
      </c>
      <c r="F908" s="84"/>
      <c r="G908" s="87">
        <f>G909+G914+G924+G917+G920+G930+G938+G943+G935+G951+G927+G948</f>
        <v>5100412.5599999996</v>
      </c>
      <c r="H908" s="87">
        <f t="shared" ref="H908:I908" si="222">H909+H914+H924+H917+H920+H930+H938+H943+H935+H951</f>
        <v>4869412.54</v>
      </c>
      <c r="I908" s="87">
        <f t="shared" si="222"/>
        <v>4869412.5599999996</v>
      </c>
      <c r="J908" s="177"/>
      <c r="K908" s="200"/>
      <c r="L908" s="200"/>
      <c r="M908" s="200"/>
      <c r="N908" s="200"/>
      <c r="O908" s="200"/>
      <c r="P908" s="200"/>
      <c r="Q908" s="200"/>
      <c r="R908" s="200"/>
    </row>
    <row r="909" spans="1:20" s="18" customFormat="1" ht="52.5" customHeight="1">
      <c r="A909" s="135" t="s">
        <v>127</v>
      </c>
      <c r="B909" s="84" t="s">
        <v>94</v>
      </c>
      <c r="C909" s="84" t="s">
        <v>26</v>
      </c>
      <c r="D909" s="84" t="s">
        <v>26</v>
      </c>
      <c r="E909" s="84" t="s">
        <v>191</v>
      </c>
      <c r="F909" s="84"/>
      <c r="G909" s="87">
        <f>G910+G912</f>
        <v>4369412.5599999996</v>
      </c>
      <c r="H909" s="87">
        <f>H910+H912</f>
        <v>4369412.54</v>
      </c>
      <c r="I909" s="87">
        <f>I910+I912</f>
        <v>4369412.5599999996</v>
      </c>
      <c r="J909" s="177"/>
      <c r="K909" s="200"/>
      <c r="L909" s="200"/>
      <c r="M909" s="200"/>
      <c r="N909" s="200"/>
      <c r="O909" s="200"/>
      <c r="P909" s="200"/>
      <c r="Q909" s="200"/>
      <c r="R909" s="200"/>
    </row>
    <row r="910" spans="1:20" s="18" customFormat="1" ht="25.5" hidden="1">
      <c r="A910" s="82" t="s">
        <v>36</v>
      </c>
      <c r="B910" s="84" t="s">
        <v>94</v>
      </c>
      <c r="C910" s="84" t="s">
        <v>26</v>
      </c>
      <c r="D910" s="84" t="s">
        <v>26</v>
      </c>
      <c r="E910" s="84" t="s">
        <v>135</v>
      </c>
      <c r="F910" s="84" t="s">
        <v>37</v>
      </c>
      <c r="G910" s="87">
        <f>G911</f>
        <v>0</v>
      </c>
      <c r="H910" s="87">
        <f>H911</f>
        <v>0</v>
      </c>
      <c r="I910" s="87">
        <f>I911</f>
        <v>0</v>
      </c>
      <c r="J910" s="177"/>
      <c r="K910" s="200"/>
      <c r="L910" s="200"/>
      <c r="M910" s="200"/>
      <c r="N910" s="200"/>
      <c r="O910" s="200"/>
      <c r="P910" s="200"/>
      <c r="Q910" s="200"/>
      <c r="R910" s="200"/>
    </row>
    <row r="911" spans="1:20" s="18" customFormat="1" ht="25.5" hidden="1">
      <c r="A911" s="82" t="s">
        <v>38</v>
      </c>
      <c r="B911" s="84" t="s">
        <v>94</v>
      </c>
      <c r="C911" s="84" t="s">
        <v>26</v>
      </c>
      <c r="D911" s="84" t="s">
        <v>26</v>
      </c>
      <c r="E911" s="84" t="s">
        <v>135</v>
      </c>
      <c r="F911" s="84" t="s">
        <v>39</v>
      </c>
      <c r="G911" s="87"/>
      <c r="H911" s="87"/>
      <c r="I911" s="87"/>
      <c r="J911" s="177"/>
      <c r="K911" s="200"/>
      <c r="L911" s="200"/>
      <c r="M911" s="200"/>
      <c r="N911" s="200"/>
      <c r="O911" s="200"/>
      <c r="P911" s="200"/>
      <c r="Q911" s="200"/>
      <c r="R911" s="200"/>
    </row>
    <row r="912" spans="1:20" s="18" customFormat="1" ht="25.5">
      <c r="A912" s="82" t="s">
        <v>30</v>
      </c>
      <c r="B912" s="84" t="s">
        <v>94</v>
      </c>
      <c r="C912" s="84" t="s">
        <v>26</v>
      </c>
      <c r="D912" s="84" t="s">
        <v>26</v>
      </c>
      <c r="E912" s="84" t="s">
        <v>191</v>
      </c>
      <c r="F912" s="84" t="s">
        <v>31</v>
      </c>
      <c r="G912" s="87">
        <f>G913</f>
        <v>4369412.5599999996</v>
      </c>
      <c r="H912" s="87">
        <f>H913</f>
        <v>4369412.54</v>
      </c>
      <c r="I912" s="87">
        <f>I913</f>
        <v>4369412.5599999996</v>
      </c>
      <c r="J912" s="177"/>
      <c r="K912" s="200"/>
      <c r="L912" s="200"/>
      <c r="M912" s="200"/>
      <c r="N912" s="200"/>
      <c r="O912" s="200"/>
      <c r="P912" s="200"/>
      <c r="Q912" s="200"/>
      <c r="R912" s="200"/>
    </row>
    <row r="913" spans="1:18" s="18" customFormat="1" ht="13.5" customHeight="1">
      <c r="A913" s="82" t="s">
        <v>32</v>
      </c>
      <c r="B913" s="84" t="s">
        <v>94</v>
      </c>
      <c r="C913" s="84" t="s">
        <v>26</v>
      </c>
      <c r="D913" s="84" t="s">
        <v>26</v>
      </c>
      <c r="E913" s="84" t="s">
        <v>191</v>
      </c>
      <c r="F913" s="84" t="s">
        <v>33</v>
      </c>
      <c r="G913" s="87">
        <v>4369412.5599999996</v>
      </c>
      <c r="H913" s="87">
        <v>4369412.54</v>
      </c>
      <c r="I913" s="87">
        <v>4369412.5599999996</v>
      </c>
      <c r="J913" s="177"/>
      <c r="K913" s="200"/>
      <c r="L913" s="200"/>
      <c r="M913" s="200"/>
      <c r="N913" s="200"/>
      <c r="O913" s="200"/>
      <c r="P913" s="200"/>
      <c r="Q913" s="200"/>
      <c r="R913" s="200"/>
    </row>
    <row r="914" spans="1:18" s="18" customFormat="1" ht="61.5" customHeight="1">
      <c r="A914" s="135" t="s">
        <v>352</v>
      </c>
      <c r="B914" s="84" t="s">
        <v>94</v>
      </c>
      <c r="C914" s="84" t="s">
        <v>26</v>
      </c>
      <c r="D914" s="84" t="s">
        <v>26</v>
      </c>
      <c r="E914" s="84" t="s">
        <v>192</v>
      </c>
      <c r="F914" s="84"/>
      <c r="G914" s="87">
        <f>G915</f>
        <v>390000</v>
      </c>
      <c r="H914" s="87">
        <f t="shared" ref="H914:I914" si="223">H915</f>
        <v>500000</v>
      </c>
      <c r="I914" s="87">
        <f t="shared" si="223"/>
        <v>500000</v>
      </c>
      <c r="J914" s="177"/>
      <c r="K914" s="200"/>
      <c r="L914" s="200"/>
      <c r="M914" s="200"/>
      <c r="N914" s="200"/>
      <c r="O914" s="200"/>
      <c r="P914" s="200"/>
      <c r="Q914" s="200"/>
      <c r="R914" s="200"/>
    </row>
    <row r="915" spans="1:18" s="18" customFormat="1" ht="25.5">
      <c r="A915" s="82" t="s">
        <v>30</v>
      </c>
      <c r="B915" s="84" t="s">
        <v>94</v>
      </c>
      <c r="C915" s="84" t="s">
        <v>26</v>
      </c>
      <c r="D915" s="84" t="s">
        <v>26</v>
      </c>
      <c r="E915" s="84" t="s">
        <v>192</v>
      </c>
      <c r="F915" s="84" t="s">
        <v>31</v>
      </c>
      <c r="G915" s="87">
        <f>G916</f>
        <v>390000</v>
      </c>
      <c r="H915" s="87">
        <f>H916</f>
        <v>500000</v>
      </c>
      <c r="I915" s="87">
        <f>I916</f>
        <v>500000</v>
      </c>
      <c r="J915" s="177"/>
      <c r="K915" s="200"/>
      <c r="L915" s="200"/>
      <c r="M915" s="200"/>
      <c r="N915" s="200"/>
      <c r="O915" s="200"/>
      <c r="P915" s="200"/>
      <c r="Q915" s="200"/>
      <c r="R915" s="200"/>
    </row>
    <row r="916" spans="1:18" s="18" customFormat="1">
      <c r="A916" s="82" t="s">
        <v>32</v>
      </c>
      <c r="B916" s="84" t="s">
        <v>94</v>
      </c>
      <c r="C916" s="84" t="s">
        <v>26</v>
      </c>
      <c r="D916" s="84" t="s">
        <v>26</v>
      </c>
      <c r="E916" s="84" t="s">
        <v>192</v>
      </c>
      <c r="F916" s="84" t="s">
        <v>33</v>
      </c>
      <c r="G916" s="87">
        <v>390000</v>
      </c>
      <c r="H916" s="87">
        <v>500000</v>
      </c>
      <c r="I916" s="87">
        <v>500000</v>
      </c>
      <c r="J916" s="177"/>
      <c r="K916" s="200"/>
      <c r="L916" s="200"/>
      <c r="M916" s="200"/>
      <c r="N916" s="200"/>
      <c r="O916" s="200"/>
      <c r="P916" s="200"/>
      <c r="Q916" s="200"/>
      <c r="R916" s="200"/>
    </row>
    <row r="917" spans="1:18" s="18" customFormat="1" ht="25.5" hidden="1">
      <c r="A917" s="82" t="s">
        <v>654</v>
      </c>
      <c r="B917" s="84" t="s">
        <v>94</v>
      </c>
      <c r="C917" s="84" t="s">
        <v>26</v>
      </c>
      <c r="D917" s="84" t="s">
        <v>26</v>
      </c>
      <c r="E917" s="84" t="s">
        <v>653</v>
      </c>
      <c r="F917" s="84"/>
      <c r="G917" s="87">
        <f>G918</f>
        <v>0</v>
      </c>
      <c r="H917" s="87">
        <f>H918</f>
        <v>0</v>
      </c>
      <c r="I917" s="87">
        <f>I918</f>
        <v>0</v>
      </c>
      <c r="J917" s="177"/>
      <c r="K917" s="200"/>
      <c r="L917" s="200"/>
      <c r="M917" s="200"/>
      <c r="N917" s="200"/>
      <c r="O917" s="200"/>
      <c r="P917" s="200"/>
      <c r="Q917" s="200"/>
      <c r="R917" s="200"/>
    </row>
    <row r="918" spans="1:18" s="18" customFormat="1" ht="25.5" hidden="1">
      <c r="A918" s="82" t="s">
        <v>30</v>
      </c>
      <c r="B918" s="84" t="s">
        <v>94</v>
      </c>
      <c r="C918" s="84" t="s">
        <v>26</v>
      </c>
      <c r="D918" s="84" t="s">
        <v>26</v>
      </c>
      <c r="E918" s="84" t="s">
        <v>653</v>
      </c>
      <c r="F918" s="84" t="s">
        <v>31</v>
      </c>
      <c r="G918" s="87">
        <f>G919</f>
        <v>0</v>
      </c>
      <c r="H918" s="87"/>
      <c r="I918" s="87"/>
      <c r="J918" s="177"/>
      <c r="K918" s="200"/>
      <c r="L918" s="200"/>
      <c r="M918" s="200"/>
      <c r="N918" s="200"/>
      <c r="O918" s="200"/>
      <c r="P918" s="200"/>
      <c r="Q918" s="200"/>
      <c r="R918" s="200"/>
    </row>
    <row r="919" spans="1:18" s="18" customFormat="1" hidden="1">
      <c r="A919" s="82" t="s">
        <v>32</v>
      </c>
      <c r="B919" s="84" t="s">
        <v>94</v>
      </c>
      <c r="C919" s="84" t="s">
        <v>26</v>
      </c>
      <c r="D919" s="84" t="s">
        <v>26</v>
      </c>
      <c r="E919" s="84" t="s">
        <v>653</v>
      </c>
      <c r="F919" s="84" t="s">
        <v>33</v>
      </c>
      <c r="G919" s="87"/>
      <c r="H919" s="87">
        <f>H920</f>
        <v>0</v>
      </c>
      <c r="I919" s="87">
        <f>I920</f>
        <v>0</v>
      </c>
      <c r="J919" s="177"/>
      <c r="K919" s="200"/>
      <c r="L919" s="200"/>
      <c r="M919" s="200"/>
      <c r="N919" s="200"/>
      <c r="O919" s="200"/>
      <c r="P919" s="200"/>
      <c r="Q919" s="200"/>
      <c r="R919" s="200"/>
    </row>
    <row r="920" spans="1:18" s="18" customFormat="1" ht="51" hidden="1">
      <c r="A920" s="82" t="s">
        <v>426</v>
      </c>
      <c r="B920" s="84" t="s">
        <v>94</v>
      </c>
      <c r="C920" s="84" t="s">
        <v>26</v>
      </c>
      <c r="D920" s="84" t="s">
        <v>26</v>
      </c>
      <c r="E920" s="84" t="s">
        <v>425</v>
      </c>
      <c r="F920" s="84"/>
      <c r="G920" s="87">
        <f>G921</f>
        <v>0</v>
      </c>
      <c r="H920" s="87"/>
      <c r="I920" s="87"/>
      <c r="J920" s="177"/>
      <c r="K920" s="200"/>
      <c r="L920" s="200"/>
      <c r="M920" s="200"/>
      <c r="N920" s="200"/>
      <c r="O920" s="200"/>
      <c r="P920" s="200"/>
      <c r="Q920" s="200"/>
      <c r="R920" s="200"/>
    </row>
    <row r="921" spans="1:18" s="18" customFormat="1" ht="25.5" hidden="1">
      <c r="A921" s="82" t="s">
        <v>30</v>
      </c>
      <c r="B921" s="84" t="s">
        <v>94</v>
      </c>
      <c r="C921" s="84" t="s">
        <v>26</v>
      </c>
      <c r="D921" s="84" t="s">
        <v>26</v>
      </c>
      <c r="E921" s="84" t="s">
        <v>425</v>
      </c>
      <c r="F921" s="84" t="s">
        <v>31</v>
      </c>
      <c r="G921" s="87">
        <f>G922</f>
        <v>0</v>
      </c>
      <c r="H921" s="87">
        <f>H922</f>
        <v>0</v>
      </c>
      <c r="I921" s="87">
        <f>I922</f>
        <v>0</v>
      </c>
      <c r="J921" s="177"/>
      <c r="K921" s="200"/>
      <c r="L921" s="200"/>
      <c r="M921" s="200"/>
      <c r="N921" s="200"/>
      <c r="O921" s="200"/>
      <c r="P921" s="200"/>
      <c r="Q921" s="200"/>
      <c r="R921" s="200"/>
    </row>
    <row r="922" spans="1:18" s="18" customFormat="1" hidden="1">
      <c r="A922" s="82" t="s">
        <v>32</v>
      </c>
      <c r="B922" s="84" t="s">
        <v>94</v>
      </c>
      <c r="C922" s="84" t="s">
        <v>26</v>
      </c>
      <c r="D922" s="84" t="s">
        <v>26</v>
      </c>
      <c r="E922" s="84" t="s">
        <v>425</v>
      </c>
      <c r="F922" s="84" t="s">
        <v>33</v>
      </c>
      <c r="G922" s="87"/>
      <c r="H922" s="87"/>
      <c r="I922" s="87"/>
      <c r="J922" s="177"/>
      <c r="K922" s="200"/>
      <c r="L922" s="200"/>
      <c r="M922" s="200"/>
      <c r="N922" s="200"/>
      <c r="O922" s="200"/>
      <c r="P922" s="200"/>
      <c r="Q922" s="200"/>
      <c r="R922" s="200"/>
    </row>
    <row r="923" spans="1:18" s="3" customFormat="1" ht="25.5" hidden="1">
      <c r="A923" s="82" t="s">
        <v>0</v>
      </c>
      <c r="B923" s="149">
        <v>774</v>
      </c>
      <c r="C923" s="84" t="s">
        <v>26</v>
      </c>
      <c r="D923" s="84" t="s">
        <v>26</v>
      </c>
      <c r="E923" s="84" t="s">
        <v>218</v>
      </c>
      <c r="F923" s="84"/>
      <c r="G923" s="87"/>
      <c r="H923" s="87"/>
      <c r="I923" s="87"/>
      <c r="J923" s="177"/>
      <c r="K923" s="199"/>
      <c r="L923" s="199"/>
      <c r="M923" s="199"/>
      <c r="N923" s="199"/>
      <c r="O923" s="199"/>
      <c r="P923" s="199"/>
      <c r="Q923" s="199"/>
      <c r="R923" s="199"/>
    </row>
    <row r="924" spans="1:18" s="3" customFormat="1" ht="38.25" hidden="1">
      <c r="A924" s="82" t="s">
        <v>532</v>
      </c>
      <c r="B924" s="149">
        <v>774</v>
      </c>
      <c r="C924" s="84" t="s">
        <v>26</v>
      </c>
      <c r="D924" s="84" t="s">
        <v>26</v>
      </c>
      <c r="E924" s="84" t="s">
        <v>565</v>
      </c>
      <c r="F924" s="84"/>
      <c r="G924" s="87">
        <f t="shared" ref="G924:I928" si="224">G925</f>
        <v>0</v>
      </c>
      <c r="H924" s="87">
        <f t="shared" si="224"/>
        <v>0</v>
      </c>
      <c r="I924" s="87">
        <f t="shared" si="224"/>
        <v>0</v>
      </c>
      <c r="J924" s="177"/>
      <c r="K924" s="199"/>
      <c r="L924" s="199"/>
      <c r="M924" s="199"/>
      <c r="N924" s="199"/>
      <c r="O924" s="199"/>
      <c r="P924" s="199"/>
      <c r="Q924" s="199"/>
      <c r="R924" s="199"/>
    </row>
    <row r="925" spans="1:18" s="3" customFormat="1" ht="25.5" hidden="1">
      <c r="A925" s="82" t="s">
        <v>30</v>
      </c>
      <c r="B925" s="149">
        <v>774</v>
      </c>
      <c r="C925" s="84" t="s">
        <v>26</v>
      </c>
      <c r="D925" s="84" t="s">
        <v>26</v>
      </c>
      <c r="E925" s="84" t="s">
        <v>565</v>
      </c>
      <c r="F925" s="84" t="s">
        <v>31</v>
      </c>
      <c r="G925" s="87">
        <f t="shared" si="224"/>
        <v>0</v>
      </c>
      <c r="H925" s="87">
        <f t="shared" si="224"/>
        <v>0</v>
      </c>
      <c r="I925" s="87">
        <f t="shared" si="224"/>
        <v>0</v>
      </c>
      <c r="J925" s="177"/>
      <c r="K925" s="199"/>
      <c r="L925" s="199"/>
      <c r="M925" s="199"/>
      <c r="N925" s="199"/>
      <c r="O925" s="199"/>
      <c r="P925" s="199"/>
      <c r="Q925" s="199"/>
      <c r="R925" s="199"/>
    </row>
    <row r="926" spans="1:18" s="3" customFormat="1" ht="15" customHeight="1">
      <c r="A926" s="82" t="s">
        <v>32</v>
      </c>
      <c r="B926" s="149">
        <v>774</v>
      </c>
      <c r="C926" s="84" t="s">
        <v>26</v>
      </c>
      <c r="D926" s="84" t="s">
        <v>26</v>
      </c>
      <c r="E926" s="84" t="s">
        <v>565</v>
      </c>
      <c r="F926" s="84" t="s">
        <v>33</v>
      </c>
      <c r="G926" s="87"/>
      <c r="H926" s="87"/>
      <c r="I926" s="87"/>
      <c r="J926" s="177"/>
      <c r="K926" s="199"/>
      <c r="L926" s="199"/>
      <c r="M926" s="199"/>
      <c r="N926" s="199"/>
      <c r="O926" s="199"/>
      <c r="P926" s="199"/>
      <c r="Q926" s="199"/>
      <c r="R926" s="199"/>
    </row>
    <row r="927" spans="1:18" s="3" customFormat="1" ht="25.5">
      <c r="A927" s="82" t="s">
        <v>299</v>
      </c>
      <c r="B927" s="149">
        <v>774</v>
      </c>
      <c r="C927" s="84" t="s">
        <v>26</v>
      </c>
      <c r="D927" s="84" t="s">
        <v>26</v>
      </c>
      <c r="E927" s="84" t="s">
        <v>586</v>
      </c>
      <c r="F927" s="84"/>
      <c r="G927" s="87">
        <f t="shared" si="224"/>
        <v>0</v>
      </c>
      <c r="H927" s="87">
        <f t="shared" si="224"/>
        <v>0</v>
      </c>
      <c r="I927" s="87">
        <f t="shared" si="224"/>
        <v>0</v>
      </c>
      <c r="J927" s="177"/>
      <c r="K927" s="199"/>
      <c r="L927" s="199"/>
      <c r="M927" s="199"/>
      <c r="N927" s="199"/>
      <c r="O927" s="199"/>
      <c r="P927" s="199"/>
      <c r="Q927" s="199"/>
      <c r="R927" s="199"/>
    </row>
    <row r="928" spans="1:18" s="3" customFormat="1" ht="25.5">
      <c r="A928" s="82" t="s">
        <v>30</v>
      </c>
      <c r="B928" s="149">
        <v>774</v>
      </c>
      <c r="C928" s="84" t="s">
        <v>26</v>
      </c>
      <c r="D928" s="84" t="s">
        <v>26</v>
      </c>
      <c r="E928" s="84" t="s">
        <v>586</v>
      </c>
      <c r="F928" s="84" t="s">
        <v>31</v>
      </c>
      <c r="G928" s="87">
        <f t="shared" si="224"/>
        <v>0</v>
      </c>
      <c r="H928" s="87">
        <f t="shared" si="224"/>
        <v>0</v>
      </c>
      <c r="I928" s="87">
        <f t="shared" si="224"/>
        <v>0</v>
      </c>
      <c r="J928" s="177"/>
      <c r="K928" s="199"/>
      <c r="L928" s="199"/>
      <c r="M928" s="199"/>
      <c r="N928" s="199"/>
      <c r="O928" s="199"/>
      <c r="P928" s="199"/>
      <c r="Q928" s="199"/>
      <c r="R928" s="199"/>
    </row>
    <row r="929" spans="1:18" s="3" customFormat="1">
      <c r="A929" s="82" t="s">
        <v>32</v>
      </c>
      <c r="B929" s="149">
        <v>774</v>
      </c>
      <c r="C929" s="84" t="s">
        <v>26</v>
      </c>
      <c r="D929" s="84" t="s">
        <v>26</v>
      </c>
      <c r="E929" s="84" t="s">
        <v>586</v>
      </c>
      <c r="F929" s="84" t="s">
        <v>33</v>
      </c>
      <c r="G929" s="87"/>
      <c r="H929" s="87">
        <v>0</v>
      </c>
      <c r="I929" s="87">
        <v>0</v>
      </c>
      <c r="J929" s="177"/>
      <c r="K929" s="199"/>
      <c r="L929" s="199"/>
      <c r="M929" s="199"/>
      <c r="N929" s="199"/>
      <c r="O929" s="199"/>
      <c r="P929" s="199"/>
      <c r="Q929" s="199"/>
      <c r="R929" s="199"/>
    </row>
    <row r="930" spans="1:18" s="18" customFormat="1" ht="52.5" hidden="1" customHeight="1">
      <c r="A930" s="135" t="s">
        <v>767</v>
      </c>
      <c r="B930" s="84" t="s">
        <v>94</v>
      </c>
      <c r="C930" s="84" t="s">
        <v>26</v>
      </c>
      <c r="D930" s="84" t="s">
        <v>26</v>
      </c>
      <c r="E930" s="84" t="s">
        <v>766</v>
      </c>
      <c r="F930" s="84"/>
      <c r="G930" s="87">
        <f>G931+G933</f>
        <v>0</v>
      </c>
      <c r="H930" s="87">
        <f>H931+H933</f>
        <v>0</v>
      </c>
      <c r="I930" s="87">
        <f>I931+I933</f>
        <v>0</v>
      </c>
      <c r="J930" s="177"/>
      <c r="K930" s="200"/>
      <c r="L930" s="200"/>
      <c r="M930" s="200"/>
      <c r="N930" s="200"/>
      <c r="O930" s="200"/>
      <c r="P930" s="200"/>
      <c r="Q930" s="200"/>
      <c r="R930" s="200"/>
    </row>
    <row r="931" spans="1:18" s="18" customFormat="1" ht="25.5" hidden="1">
      <c r="A931" s="82" t="s">
        <v>36</v>
      </c>
      <c r="B931" s="84" t="s">
        <v>94</v>
      </c>
      <c r="C931" s="84" t="s">
        <v>26</v>
      </c>
      <c r="D931" s="84" t="s">
        <v>26</v>
      </c>
      <c r="E931" s="84" t="s">
        <v>135</v>
      </c>
      <c r="F931" s="84" t="s">
        <v>37</v>
      </c>
      <c r="G931" s="87">
        <f>G932</f>
        <v>0</v>
      </c>
      <c r="H931" s="87">
        <f>H932</f>
        <v>0</v>
      </c>
      <c r="I931" s="87">
        <f>I932</f>
        <v>0</v>
      </c>
      <c r="J931" s="177"/>
      <c r="K931" s="200"/>
      <c r="L931" s="200"/>
      <c r="M931" s="200"/>
      <c r="N931" s="200"/>
      <c r="O931" s="200"/>
      <c r="P931" s="200"/>
      <c r="Q931" s="200"/>
      <c r="R931" s="200"/>
    </row>
    <row r="932" spans="1:18" s="18" customFormat="1" ht="25.5" hidden="1">
      <c r="A932" s="82" t="s">
        <v>38</v>
      </c>
      <c r="B932" s="84" t="s">
        <v>94</v>
      </c>
      <c r="C932" s="84" t="s">
        <v>26</v>
      </c>
      <c r="D932" s="84" t="s">
        <v>26</v>
      </c>
      <c r="E932" s="84" t="s">
        <v>135</v>
      </c>
      <c r="F932" s="84" t="s">
        <v>39</v>
      </c>
      <c r="G932" s="87"/>
      <c r="H932" s="87"/>
      <c r="I932" s="87"/>
      <c r="J932" s="177"/>
      <c r="K932" s="200"/>
      <c r="L932" s="200"/>
      <c r="M932" s="200"/>
      <c r="N932" s="200"/>
      <c r="O932" s="200"/>
      <c r="P932" s="200"/>
      <c r="Q932" s="200"/>
      <c r="R932" s="200"/>
    </row>
    <row r="933" spans="1:18" s="18" customFormat="1" hidden="1">
      <c r="A933" s="82" t="s">
        <v>63</v>
      </c>
      <c r="B933" s="84" t="s">
        <v>94</v>
      </c>
      <c r="C933" s="84" t="s">
        <v>26</v>
      </c>
      <c r="D933" s="84" t="s">
        <v>26</v>
      </c>
      <c r="E933" s="84" t="s">
        <v>766</v>
      </c>
      <c r="F933" s="84" t="s">
        <v>64</v>
      </c>
      <c r="G933" s="87">
        <f>G934</f>
        <v>0</v>
      </c>
      <c r="H933" s="87">
        <f>H934</f>
        <v>0</v>
      </c>
      <c r="I933" s="87">
        <f>I934</f>
        <v>0</v>
      </c>
      <c r="J933" s="177"/>
      <c r="K933" s="200"/>
      <c r="L933" s="200"/>
      <c r="M933" s="200"/>
      <c r="N933" s="200"/>
      <c r="O933" s="200"/>
      <c r="P933" s="200"/>
      <c r="Q933" s="200"/>
      <c r="R933" s="200"/>
    </row>
    <row r="934" spans="1:18" s="18" customFormat="1" ht="13.5" hidden="1" customHeight="1">
      <c r="A934" s="82" t="s">
        <v>180</v>
      </c>
      <c r="B934" s="84" t="s">
        <v>94</v>
      </c>
      <c r="C934" s="84" t="s">
        <v>26</v>
      </c>
      <c r="D934" s="84" t="s">
        <v>26</v>
      </c>
      <c r="E934" s="84" t="s">
        <v>766</v>
      </c>
      <c r="F934" s="84" t="s">
        <v>181</v>
      </c>
      <c r="G934" s="87">
        <f>1308000-1308000</f>
        <v>0</v>
      </c>
      <c r="H934" s="87"/>
      <c r="I934" s="87"/>
      <c r="J934" s="177"/>
      <c r="K934" s="200"/>
      <c r="L934" s="200"/>
      <c r="M934" s="200"/>
      <c r="N934" s="200"/>
      <c r="O934" s="200"/>
      <c r="P934" s="200"/>
      <c r="Q934" s="200"/>
      <c r="R934" s="200"/>
    </row>
    <row r="935" spans="1:18" s="18" customFormat="1" ht="61.5" hidden="1" customHeight="1">
      <c r="A935" s="135" t="s">
        <v>426</v>
      </c>
      <c r="B935" s="84" t="s">
        <v>94</v>
      </c>
      <c r="C935" s="84" t="s">
        <v>26</v>
      </c>
      <c r="D935" s="84" t="s">
        <v>26</v>
      </c>
      <c r="E935" s="84" t="s">
        <v>425</v>
      </c>
      <c r="F935" s="84"/>
      <c r="G935" s="87">
        <f>G936</f>
        <v>0</v>
      </c>
      <c r="H935" s="87">
        <f t="shared" ref="H935:I935" si="225">H936</f>
        <v>0</v>
      </c>
      <c r="I935" s="87">
        <f t="shared" si="225"/>
        <v>0</v>
      </c>
      <c r="J935" s="177"/>
      <c r="K935" s="200"/>
      <c r="L935" s="200"/>
      <c r="M935" s="200"/>
      <c r="N935" s="200"/>
      <c r="O935" s="200"/>
      <c r="P935" s="200"/>
      <c r="Q935" s="200"/>
      <c r="R935" s="200"/>
    </row>
    <row r="936" spans="1:18" s="18" customFormat="1" ht="25.5" hidden="1">
      <c r="A936" s="82" t="s">
        <v>30</v>
      </c>
      <c r="B936" s="84" t="s">
        <v>94</v>
      </c>
      <c r="C936" s="84" t="s">
        <v>26</v>
      </c>
      <c r="D936" s="84" t="s">
        <v>26</v>
      </c>
      <c r="E936" s="84" t="s">
        <v>425</v>
      </c>
      <c r="F936" s="84" t="s">
        <v>31</v>
      </c>
      <c r="G936" s="87">
        <f>G937</f>
        <v>0</v>
      </c>
      <c r="H936" s="87">
        <f>H937</f>
        <v>0</v>
      </c>
      <c r="I936" s="87">
        <f>I937</f>
        <v>0</v>
      </c>
      <c r="J936" s="177"/>
      <c r="K936" s="200"/>
      <c r="L936" s="200"/>
      <c r="M936" s="200"/>
      <c r="N936" s="200"/>
      <c r="O936" s="200"/>
      <c r="P936" s="200"/>
      <c r="Q936" s="200"/>
      <c r="R936" s="200"/>
    </row>
    <row r="937" spans="1:18" s="18" customFormat="1" hidden="1">
      <c r="A937" s="82" t="s">
        <v>32</v>
      </c>
      <c r="B937" s="84" t="s">
        <v>94</v>
      </c>
      <c r="C937" s="84" t="s">
        <v>26</v>
      </c>
      <c r="D937" s="84" t="s">
        <v>26</v>
      </c>
      <c r="E937" s="84" t="s">
        <v>425</v>
      </c>
      <c r="F937" s="84" t="s">
        <v>33</v>
      </c>
      <c r="G937" s="87"/>
      <c r="H937" s="87"/>
      <c r="I937" s="87"/>
      <c r="J937" s="177"/>
      <c r="K937" s="200"/>
      <c r="L937" s="200"/>
      <c r="M937" s="200"/>
      <c r="N937" s="200"/>
      <c r="O937" s="200"/>
      <c r="P937" s="200"/>
      <c r="Q937" s="200"/>
      <c r="R937" s="200"/>
    </row>
    <row r="938" spans="1:18" s="18" customFormat="1" ht="38.25" hidden="1" customHeight="1">
      <c r="A938" s="135" t="s">
        <v>769</v>
      </c>
      <c r="B938" s="84" t="s">
        <v>94</v>
      </c>
      <c r="C938" s="84" t="s">
        <v>26</v>
      </c>
      <c r="D938" s="84" t="s">
        <v>26</v>
      </c>
      <c r="E938" s="84" t="s">
        <v>768</v>
      </c>
      <c r="F938" s="84"/>
      <c r="G938" s="87">
        <f>G939+G941</f>
        <v>0</v>
      </c>
      <c r="H938" s="87">
        <f>H939+H941</f>
        <v>0</v>
      </c>
      <c r="I938" s="87">
        <f>I939+I941</f>
        <v>0</v>
      </c>
      <c r="J938" s="177"/>
      <c r="K938" s="200"/>
      <c r="L938" s="200"/>
      <c r="M938" s="200"/>
      <c r="N938" s="200"/>
      <c r="O938" s="200"/>
      <c r="P938" s="200"/>
      <c r="Q938" s="200"/>
      <c r="R938" s="200"/>
    </row>
    <row r="939" spans="1:18" s="18" customFormat="1" ht="25.5" hidden="1">
      <c r="A939" s="82" t="s">
        <v>36</v>
      </c>
      <c r="B939" s="84" t="s">
        <v>94</v>
      </c>
      <c r="C939" s="84" t="s">
        <v>26</v>
      </c>
      <c r="D939" s="84" t="s">
        <v>26</v>
      </c>
      <c r="E939" s="84" t="s">
        <v>135</v>
      </c>
      <c r="F939" s="84" t="s">
        <v>37</v>
      </c>
      <c r="G939" s="87">
        <f>G940</f>
        <v>0</v>
      </c>
      <c r="H939" s="87">
        <f>H940</f>
        <v>0</v>
      </c>
      <c r="I939" s="87">
        <f>I940</f>
        <v>0</v>
      </c>
      <c r="J939" s="177"/>
      <c r="K939" s="200"/>
      <c r="L939" s="200"/>
      <c r="M939" s="200"/>
      <c r="N939" s="200"/>
      <c r="O939" s="200"/>
      <c r="P939" s="200"/>
      <c r="Q939" s="200"/>
      <c r="R939" s="200"/>
    </row>
    <row r="940" spans="1:18" s="18" customFormat="1" ht="25.5" hidden="1">
      <c r="A940" s="82" t="s">
        <v>38</v>
      </c>
      <c r="B940" s="84" t="s">
        <v>94</v>
      </c>
      <c r="C940" s="84" t="s">
        <v>26</v>
      </c>
      <c r="D940" s="84" t="s">
        <v>26</v>
      </c>
      <c r="E940" s="84" t="s">
        <v>135</v>
      </c>
      <c r="F940" s="84" t="s">
        <v>39</v>
      </c>
      <c r="G940" s="87"/>
      <c r="H940" s="87"/>
      <c r="I940" s="87"/>
      <c r="J940" s="177"/>
      <c r="K940" s="200"/>
      <c r="L940" s="200"/>
      <c r="M940" s="200"/>
      <c r="N940" s="200"/>
      <c r="O940" s="200"/>
      <c r="P940" s="200"/>
      <c r="Q940" s="200"/>
      <c r="R940" s="200"/>
    </row>
    <row r="941" spans="1:18" s="18" customFormat="1" ht="25.5" hidden="1">
      <c r="A941" s="82" t="s">
        <v>30</v>
      </c>
      <c r="B941" s="84" t="s">
        <v>94</v>
      </c>
      <c r="C941" s="84" t="s">
        <v>26</v>
      </c>
      <c r="D941" s="84" t="s">
        <v>26</v>
      </c>
      <c r="E941" s="84" t="s">
        <v>768</v>
      </c>
      <c r="F941" s="84" t="s">
        <v>31</v>
      </c>
      <c r="G941" s="87">
        <f>G942</f>
        <v>0</v>
      </c>
      <c r="H941" s="87">
        <f>H942</f>
        <v>0</v>
      </c>
      <c r="I941" s="87">
        <f>I942</f>
        <v>0</v>
      </c>
      <c r="J941" s="177"/>
      <c r="K941" s="200"/>
      <c r="L941" s="200"/>
      <c r="M941" s="200"/>
      <c r="N941" s="200"/>
      <c r="O941" s="200"/>
      <c r="P941" s="200"/>
      <c r="Q941" s="200"/>
      <c r="R941" s="200"/>
    </row>
    <row r="942" spans="1:18" s="18" customFormat="1" ht="13.5" hidden="1" customHeight="1">
      <c r="A942" s="82" t="s">
        <v>32</v>
      </c>
      <c r="B942" s="84" t="s">
        <v>94</v>
      </c>
      <c r="C942" s="84" t="s">
        <v>26</v>
      </c>
      <c r="D942" s="84" t="s">
        <v>26</v>
      </c>
      <c r="E942" s="84" t="s">
        <v>768</v>
      </c>
      <c r="F942" s="84" t="s">
        <v>33</v>
      </c>
      <c r="G942" s="87"/>
      <c r="H942" s="87"/>
      <c r="I942" s="87"/>
      <c r="J942" s="177"/>
      <c r="K942" s="200"/>
      <c r="L942" s="200"/>
      <c r="M942" s="200"/>
      <c r="N942" s="200"/>
      <c r="O942" s="200"/>
      <c r="P942" s="200"/>
      <c r="Q942" s="200"/>
      <c r="R942" s="200"/>
    </row>
    <row r="943" spans="1:18" s="18" customFormat="1" ht="56.25" hidden="1" customHeight="1">
      <c r="A943" s="135" t="s">
        <v>771</v>
      </c>
      <c r="B943" s="84" t="s">
        <v>94</v>
      </c>
      <c r="C943" s="84" t="s">
        <v>26</v>
      </c>
      <c r="D943" s="84" t="s">
        <v>26</v>
      </c>
      <c r="E943" s="84" t="s">
        <v>770</v>
      </c>
      <c r="F943" s="84"/>
      <c r="G943" s="87">
        <f>G944+G946</f>
        <v>0</v>
      </c>
      <c r="H943" s="87">
        <f>H944+H946</f>
        <v>0</v>
      </c>
      <c r="I943" s="87">
        <f>I944+I946</f>
        <v>0</v>
      </c>
      <c r="J943" s="177"/>
      <c r="K943" s="200"/>
      <c r="L943" s="200"/>
      <c r="M943" s="200"/>
      <c r="N943" s="200"/>
      <c r="O943" s="200"/>
      <c r="P943" s="200"/>
      <c r="Q943" s="200"/>
      <c r="R943" s="200"/>
    </row>
    <row r="944" spans="1:18" s="18" customFormat="1" ht="25.5" hidden="1">
      <c r="A944" s="82" t="s">
        <v>36</v>
      </c>
      <c r="B944" s="84" t="s">
        <v>94</v>
      </c>
      <c r="C944" s="84" t="s">
        <v>26</v>
      </c>
      <c r="D944" s="84" t="s">
        <v>26</v>
      </c>
      <c r="E944" s="84" t="s">
        <v>135</v>
      </c>
      <c r="F944" s="84" t="s">
        <v>37</v>
      </c>
      <c r="G944" s="87">
        <f>G945</f>
        <v>0</v>
      </c>
      <c r="H944" s="87">
        <f>H945</f>
        <v>0</v>
      </c>
      <c r="I944" s="87">
        <f>I945</f>
        <v>0</v>
      </c>
      <c r="J944" s="177"/>
      <c r="K944" s="200"/>
      <c r="L944" s="200"/>
      <c r="M944" s="200"/>
      <c r="N944" s="200"/>
      <c r="O944" s="200"/>
      <c r="P944" s="200"/>
      <c r="Q944" s="200"/>
      <c r="R944" s="200"/>
    </row>
    <row r="945" spans="1:18" s="18" customFormat="1" ht="25.5" hidden="1">
      <c r="A945" s="82" t="s">
        <v>38</v>
      </c>
      <c r="B945" s="84" t="s">
        <v>94</v>
      </c>
      <c r="C945" s="84" t="s">
        <v>26</v>
      </c>
      <c r="D945" s="84" t="s">
        <v>26</v>
      </c>
      <c r="E945" s="84" t="s">
        <v>135</v>
      </c>
      <c r="F945" s="84" t="s">
        <v>39</v>
      </c>
      <c r="G945" s="87"/>
      <c r="H945" s="87"/>
      <c r="I945" s="87"/>
      <c r="J945" s="177"/>
      <c r="K945" s="200"/>
      <c r="L945" s="200"/>
      <c r="M945" s="200"/>
      <c r="N945" s="200"/>
      <c r="O945" s="200"/>
      <c r="P945" s="200"/>
      <c r="Q945" s="200"/>
      <c r="R945" s="200"/>
    </row>
    <row r="946" spans="1:18" s="18" customFormat="1" hidden="1">
      <c r="A946" s="82" t="s">
        <v>63</v>
      </c>
      <c r="B946" s="84" t="s">
        <v>94</v>
      </c>
      <c r="C946" s="84" t="s">
        <v>26</v>
      </c>
      <c r="D946" s="84" t="s">
        <v>26</v>
      </c>
      <c r="E946" s="84" t="s">
        <v>770</v>
      </c>
      <c r="F946" s="84" t="s">
        <v>64</v>
      </c>
      <c r="G946" s="87">
        <f>G947</f>
        <v>0</v>
      </c>
      <c r="H946" s="87">
        <f>H947</f>
        <v>0</v>
      </c>
      <c r="I946" s="87">
        <f>I947</f>
        <v>0</v>
      </c>
      <c r="J946" s="177"/>
      <c r="K946" s="200"/>
      <c r="L946" s="200"/>
      <c r="M946" s="200"/>
      <c r="N946" s="200"/>
      <c r="O946" s="200"/>
      <c r="P946" s="200"/>
      <c r="Q946" s="200"/>
      <c r="R946" s="200"/>
    </row>
    <row r="947" spans="1:18" s="18" customFormat="1" ht="13.5" hidden="1" customHeight="1">
      <c r="A947" s="82" t="s">
        <v>180</v>
      </c>
      <c r="B947" s="84" t="s">
        <v>94</v>
      </c>
      <c r="C947" s="84" t="s">
        <v>26</v>
      </c>
      <c r="D947" s="84" t="s">
        <v>26</v>
      </c>
      <c r="E947" s="84" t="s">
        <v>770</v>
      </c>
      <c r="F947" s="84" t="s">
        <v>181</v>
      </c>
      <c r="G947" s="87">
        <f>572400-572400</f>
        <v>0</v>
      </c>
      <c r="H947" s="87"/>
      <c r="I947" s="87"/>
      <c r="J947" s="177"/>
      <c r="K947" s="200"/>
      <c r="L947" s="200"/>
      <c r="M947" s="200"/>
      <c r="N947" s="200"/>
      <c r="O947" s="200"/>
      <c r="P947" s="200"/>
      <c r="Q947" s="200"/>
      <c r="R947" s="200"/>
    </row>
    <row r="948" spans="1:18" s="3" customFormat="1" ht="51">
      <c r="A948" s="82" t="s">
        <v>426</v>
      </c>
      <c r="B948" s="149">
        <v>774</v>
      </c>
      <c r="C948" s="84" t="s">
        <v>26</v>
      </c>
      <c r="D948" s="84" t="s">
        <v>26</v>
      </c>
      <c r="E948" s="84" t="s">
        <v>425</v>
      </c>
      <c r="F948" s="84"/>
      <c r="G948" s="87">
        <f t="shared" ref="G948:I949" si="226">G949</f>
        <v>341000</v>
      </c>
      <c r="H948" s="87">
        <f t="shared" si="226"/>
        <v>0</v>
      </c>
      <c r="I948" s="87">
        <f t="shared" si="226"/>
        <v>0</v>
      </c>
      <c r="J948" s="177"/>
      <c r="K948" s="199"/>
      <c r="L948" s="199"/>
      <c r="M948" s="199"/>
      <c r="N948" s="199"/>
      <c r="O948" s="199"/>
      <c r="P948" s="199"/>
      <c r="Q948" s="199"/>
      <c r="R948" s="199"/>
    </row>
    <row r="949" spans="1:18" s="3" customFormat="1" ht="25.5">
      <c r="A949" s="82" t="s">
        <v>30</v>
      </c>
      <c r="B949" s="149">
        <v>774</v>
      </c>
      <c r="C949" s="84" t="s">
        <v>26</v>
      </c>
      <c r="D949" s="84" t="s">
        <v>26</v>
      </c>
      <c r="E949" s="84" t="s">
        <v>425</v>
      </c>
      <c r="F949" s="84" t="s">
        <v>31</v>
      </c>
      <c r="G949" s="87">
        <f t="shared" si="226"/>
        <v>341000</v>
      </c>
      <c r="H949" s="87">
        <f t="shared" si="226"/>
        <v>0</v>
      </c>
      <c r="I949" s="87">
        <f t="shared" si="226"/>
        <v>0</v>
      </c>
      <c r="J949" s="177"/>
      <c r="K949" s="199"/>
      <c r="L949" s="199"/>
      <c r="M949" s="199"/>
      <c r="N949" s="199"/>
      <c r="O949" s="199"/>
      <c r="P949" s="199"/>
      <c r="Q949" s="199"/>
      <c r="R949" s="199"/>
    </row>
    <row r="950" spans="1:18" s="3" customFormat="1">
      <c r="A950" s="82" t="s">
        <v>32</v>
      </c>
      <c r="B950" s="149">
        <v>774</v>
      </c>
      <c r="C950" s="84" t="s">
        <v>26</v>
      </c>
      <c r="D950" s="84" t="s">
        <v>26</v>
      </c>
      <c r="E950" s="84" t="s">
        <v>425</v>
      </c>
      <c r="F950" s="84" t="s">
        <v>33</v>
      </c>
      <c r="G950" s="87">
        <v>341000</v>
      </c>
      <c r="H950" s="87">
        <v>0</v>
      </c>
      <c r="I950" s="87">
        <v>0</v>
      </c>
      <c r="J950" s="177"/>
      <c r="K950" s="199"/>
      <c r="L950" s="199"/>
      <c r="M950" s="199"/>
      <c r="N950" s="199"/>
      <c r="O950" s="199"/>
      <c r="P950" s="199"/>
      <c r="Q950" s="199"/>
      <c r="R950" s="199"/>
    </row>
    <row r="951" spans="1:18" s="18" customFormat="1" ht="61.5" customHeight="1">
      <c r="A951" s="135" t="s">
        <v>921</v>
      </c>
      <c r="B951" s="84" t="s">
        <v>94</v>
      </c>
      <c r="C951" s="84" t="s">
        <v>26</v>
      </c>
      <c r="D951" s="84" t="s">
        <v>26</v>
      </c>
      <c r="E951" s="84" t="s">
        <v>920</v>
      </c>
      <c r="F951" s="84"/>
      <c r="G951" s="87">
        <f>G952</f>
        <v>0</v>
      </c>
      <c r="H951" s="87">
        <f t="shared" ref="H951:I951" si="227">H952</f>
        <v>0</v>
      </c>
      <c r="I951" s="87">
        <f t="shared" si="227"/>
        <v>0</v>
      </c>
      <c r="J951" s="177"/>
      <c r="K951" s="200"/>
      <c r="L951" s="200"/>
      <c r="M951" s="200"/>
      <c r="N951" s="200"/>
      <c r="O951" s="200"/>
      <c r="P951" s="200"/>
      <c r="Q951" s="200"/>
      <c r="R951" s="200"/>
    </row>
    <row r="952" spans="1:18" s="18" customFormat="1">
      <c r="A952" s="82" t="s">
        <v>63</v>
      </c>
      <c r="B952" s="84" t="s">
        <v>94</v>
      </c>
      <c r="C952" s="84" t="s">
        <v>26</v>
      </c>
      <c r="D952" s="84" t="s">
        <v>26</v>
      </c>
      <c r="E952" s="84" t="s">
        <v>920</v>
      </c>
      <c r="F952" s="84" t="s">
        <v>64</v>
      </c>
      <c r="G952" s="87">
        <f>G953</f>
        <v>0</v>
      </c>
      <c r="H952" s="87">
        <f>H953</f>
        <v>0</v>
      </c>
      <c r="I952" s="87">
        <f>I953</f>
        <v>0</v>
      </c>
      <c r="J952" s="177"/>
      <c r="K952" s="200"/>
      <c r="L952" s="200"/>
      <c r="M952" s="200"/>
      <c r="N952" s="200"/>
      <c r="O952" s="200"/>
      <c r="P952" s="200"/>
      <c r="Q952" s="200"/>
      <c r="R952" s="200"/>
    </row>
    <row r="953" spans="1:18" s="18" customFormat="1">
      <c r="A953" s="82" t="s">
        <v>180</v>
      </c>
      <c r="B953" s="84" t="s">
        <v>94</v>
      </c>
      <c r="C953" s="84" t="s">
        <v>26</v>
      </c>
      <c r="D953" s="84" t="s">
        <v>26</v>
      </c>
      <c r="E953" s="84" t="s">
        <v>920</v>
      </c>
      <c r="F953" s="84" t="s">
        <v>181</v>
      </c>
      <c r="G953" s="87">
        <f>3000000-3000000</f>
        <v>0</v>
      </c>
      <c r="H953" s="87">
        <v>0</v>
      </c>
      <c r="I953" s="87">
        <v>0</v>
      </c>
      <c r="J953" s="177"/>
      <c r="K953" s="200"/>
      <c r="L953" s="200"/>
      <c r="M953" s="200"/>
      <c r="N953" s="200"/>
      <c r="O953" s="200"/>
      <c r="P953" s="200"/>
      <c r="Q953" s="200"/>
      <c r="R953" s="200"/>
    </row>
    <row r="954" spans="1:18" s="18" customFormat="1" ht="25.5">
      <c r="A954" s="82" t="s">
        <v>482</v>
      </c>
      <c r="B954" s="84" t="s">
        <v>94</v>
      </c>
      <c r="C954" s="84" t="s">
        <v>26</v>
      </c>
      <c r="D954" s="84" t="s">
        <v>26</v>
      </c>
      <c r="E954" s="84" t="s">
        <v>197</v>
      </c>
      <c r="F954" s="84"/>
      <c r="G954" s="87">
        <f>G955</f>
        <v>0</v>
      </c>
      <c r="H954" s="87">
        <f>H955</f>
        <v>0</v>
      </c>
      <c r="I954" s="87">
        <f>I955</f>
        <v>0</v>
      </c>
      <c r="J954" s="177"/>
      <c r="K954" s="200"/>
      <c r="L954" s="200"/>
      <c r="M954" s="200"/>
      <c r="N954" s="200"/>
      <c r="O954" s="200"/>
      <c r="P954" s="200"/>
      <c r="Q954" s="200"/>
      <c r="R954" s="200"/>
    </row>
    <row r="955" spans="1:18" s="18" customFormat="1">
      <c r="A955" s="82" t="s">
        <v>340</v>
      </c>
      <c r="B955" s="84" t="s">
        <v>94</v>
      </c>
      <c r="C955" s="84" t="s">
        <v>26</v>
      </c>
      <c r="D955" s="84" t="s">
        <v>26</v>
      </c>
      <c r="E955" s="84" t="s">
        <v>198</v>
      </c>
      <c r="F955" s="84"/>
      <c r="G955" s="87">
        <f>G956</f>
        <v>0</v>
      </c>
      <c r="H955" s="87">
        <f t="shared" ref="H955:I956" si="228">H956</f>
        <v>0</v>
      </c>
      <c r="I955" s="87">
        <f t="shared" si="228"/>
        <v>0</v>
      </c>
      <c r="J955" s="177"/>
      <c r="K955" s="200"/>
      <c r="L955" s="200"/>
      <c r="M955" s="200"/>
      <c r="N955" s="200"/>
      <c r="O955" s="200"/>
      <c r="P955" s="200"/>
      <c r="Q955" s="200"/>
      <c r="R955" s="200"/>
    </row>
    <row r="956" spans="1:18" s="18" customFormat="1" ht="25.5">
      <c r="A956" s="82" t="s">
        <v>30</v>
      </c>
      <c r="B956" s="84" t="s">
        <v>94</v>
      </c>
      <c r="C956" s="84" t="s">
        <v>26</v>
      </c>
      <c r="D956" s="84" t="s">
        <v>26</v>
      </c>
      <c r="E956" s="84" t="s">
        <v>198</v>
      </c>
      <c r="F956" s="84" t="s">
        <v>31</v>
      </c>
      <c r="G956" s="87">
        <f>G957</f>
        <v>0</v>
      </c>
      <c r="H956" s="87">
        <f t="shared" si="228"/>
        <v>0</v>
      </c>
      <c r="I956" s="87">
        <f t="shared" si="228"/>
        <v>0</v>
      </c>
      <c r="J956" s="177"/>
      <c r="K956" s="200"/>
      <c r="L956" s="200"/>
      <c r="M956" s="200"/>
      <c r="N956" s="200"/>
      <c r="O956" s="200"/>
      <c r="P956" s="200"/>
      <c r="Q956" s="200"/>
      <c r="R956" s="200"/>
    </row>
    <row r="957" spans="1:18" s="18" customFormat="1">
      <c r="A957" s="82" t="s">
        <v>32</v>
      </c>
      <c r="B957" s="84" t="s">
        <v>94</v>
      </c>
      <c r="C957" s="84" t="s">
        <v>26</v>
      </c>
      <c r="D957" s="84" t="s">
        <v>26</v>
      </c>
      <c r="E957" s="84" t="s">
        <v>198</v>
      </c>
      <c r="F957" s="84" t="s">
        <v>33</v>
      </c>
      <c r="G957" s="87">
        <f>50000-50000</f>
        <v>0</v>
      </c>
      <c r="H957" s="87"/>
      <c r="I957" s="87"/>
      <c r="J957" s="177"/>
      <c r="K957" s="200"/>
      <c r="L957" s="200"/>
      <c r="M957" s="200"/>
      <c r="N957" s="200"/>
      <c r="O957" s="200"/>
      <c r="P957" s="200"/>
      <c r="Q957" s="200"/>
      <c r="R957" s="200"/>
    </row>
    <row r="958" spans="1:18">
      <c r="A958" s="82" t="s">
        <v>122</v>
      </c>
      <c r="B958" s="84" t="s">
        <v>94</v>
      </c>
      <c r="C958" s="84" t="s">
        <v>26</v>
      </c>
      <c r="D958" s="84" t="s">
        <v>123</v>
      </c>
      <c r="E958" s="84"/>
      <c r="F958" s="84"/>
      <c r="G958" s="87">
        <f>G960</f>
        <v>15003714.68</v>
      </c>
      <c r="H958" s="87">
        <f t="shared" ref="H958:I958" si="229">H960</f>
        <v>14394426</v>
      </c>
      <c r="I958" s="87">
        <f t="shared" si="229"/>
        <v>14530380</v>
      </c>
      <c r="J958" s="177"/>
    </row>
    <row r="959" spans="1:18" ht="51" hidden="1">
      <c r="A959" s="135" t="s">
        <v>124</v>
      </c>
      <c r="B959" s="84" t="s">
        <v>94</v>
      </c>
      <c r="C959" s="84" t="s">
        <v>26</v>
      </c>
      <c r="D959" s="84" t="s">
        <v>123</v>
      </c>
      <c r="E959" s="84"/>
      <c r="F959" s="84"/>
      <c r="G959" s="87"/>
      <c r="H959" s="87"/>
      <c r="I959" s="87"/>
      <c r="J959" s="177"/>
    </row>
    <row r="960" spans="1:18" ht="25.5">
      <c r="A960" s="82" t="s">
        <v>478</v>
      </c>
      <c r="B960" s="84" t="s">
        <v>94</v>
      </c>
      <c r="C960" s="84" t="s">
        <v>26</v>
      </c>
      <c r="D960" s="84" t="s">
        <v>123</v>
      </c>
      <c r="E960" s="84" t="s">
        <v>189</v>
      </c>
      <c r="F960" s="84"/>
      <c r="G960" s="87">
        <f>G975+G990+G994+G965</f>
        <v>15003714.68</v>
      </c>
      <c r="H960" s="87">
        <f>H975+H990+H994+H965</f>
        <v>14394426</v>
      </c>
      <c r="I960" s="87">
        <f>I975+I990+I994+I965</f>
        <v>14530380</v>
      </c>
      <c r="J960" s="177"/>
    </row>
    <row r="961" spans="1:18" ht="30.75" hidden="1" customHeight="1">
      <c r="A961" s="82"/>
      <c r="B961" s="84"/>
      <c r="C961" s="84"/>
      <c r="D961" s="84"/>
      <c r="E961" s="84"/>
      <c r="F961" s="84"/>
      <c r="G961" s="87"/>
      <c r="H961" s="87"/>
      <c r="I961" s="87"/>
      <c r="J961" s="177"/>
    </row>
    <row r="962" spans="1:18" s="18" customFormat="1" hidden="1">
      <c r="A962" s="142"/>
      <c r="B962" s="84"/>
      <c r="C962" s="84"/>
      <c r="D962" s="84"/>
      <c r="E962" s="84"/>
      <c r="F962" s="84"/>
      <c r="G962" s="87"/>
      <c r="H962" s="87"/>
      <c r="I962" s="87"/>
      <c r="J962" s="177"/>
      <c r="K962" s="200"/>
      <c r="L962" s="200"/>
      <c r="M962" s="200"/>
      <c r="N962" s="200"/>
      <c r="O962" s="200"/>
      <c r="P962" s="200"/>
      <c r="Q962" s="200"/>
      <c r="R962" s="200"/>
    </row>
    <row r="963" spans="1:18" s="18" customFormat="1" hidden="1">
      <c r="A963" s="82"/>
      <c r="B963" s="84"/>
      <c r="C963" s="84"/>
      <c r="D963" s="84"/>
      <c r="E963" s="84"/>
      <c r="F963" s="84"/>
      <c r="G963" s="87"/>
      <c r="H963" s="87"/>
      <c r="I963" s="87"/>
      <c r="J963" s="177"/>
      <c r="K963" s="200"/>
      <c r="L963" s="200"/>
      <c r="M963" s="200"/>
      <c r="N963" s="200"/>
      <c r="O963" s="200"/>
      <c r="P963" s="200"/>
      <c r="Q963" s="200"/>
      <c r="R963" s="200"/>
    </row>
    <row r="964" spans="1:18" s="18" customFormat="1" hidden="1">
      <c r="A964" s="82"/>
      <c r="B964" s="84"/>
      <c r="C964" s="84"/>
      <c r="D964" s="84"/>
      <c r="E964" s="84"/>
      <c r="F964" s="84"/>
      <c r="G964" s="87"/>
      <c r="H964" s="87"/>
      <c r="I964" s="87"/>
      <c r="J964" s="177"/>
      <c r="K964" s="200"/>
      <c r="L964" s="200"/>
      <c r="M964" s="200"/>
      <c r="N964" s="200"/>
      <c r="O964" s="200"/>
      <c r="P964" s="200"/>
      <c r="Q964" s="200"/>
      <c r="R964" s="200"/>
    </row>
    <row r="965" spans="1:18" s="18" customFormat="1" ht="30" customHeight="1">
      <c r="A965" s="82" t="s">
        <v>90</v>
      </c>
      <c r="B965" s="84" t="s">
        <v>94</v>
      </c>
      <c r="C965" s="84" t="s">
        <v>26</v>
      </c>
      <c r="D965" s="84" t="s">
        <v>123</v>
      </c>
      <c r="E965" s="84" t="s">
        <v>215</v>
      </c>
      <c r="F965" s="84"/>
      <c r="G965" s="87">
        <f>G966+G972+G969</f>
        <v>265443.68</v>
      </c>
      <c r="H965" s="87">
        <f>H966+H972</f>
        <v>106202</v>
      </c>
      <c r="I965" s="87">
        <f>I966+I972</f>
        <v>106202</v>
      </c>
      <c r="J965" s="177"/>
      <c r="K965" s="200"/>
      <c r="L965" s="200"/>
      <c r="M965" s="200"/>
      <c r="N965" s="200"/>
      <c r="O965" s="200"/>
      <c r="P965" s="200"/>
      <c r="Q965" s="200"/>
      <c r="R965" s="200"/>
    </row>
    <row r="966" spans="1:18" ht="33" customHeight="1">
      <c r="A966" s="82" t="s">
        <v>984</v>
      </c>
      <c r="B966" s="84" t="s">
        <v>94</v>
      </c>
      <c r="C966" s="84" t="s">
        <v>26</v>
      </c>
      <c r="D966" s="84" t="s">
        <v>123</v>
      </c>
      <c r="E966" s="84" t="s">
        <v>957</v>
      </c>
      <c r="F966" s="84"/>
      <c r="G966" s="87">
        <f>G967</f>
        <v>100000</v>
      </c>
      <c r="H966" s="87">
        <f t="shared" ref="H966:I967" si="230">H967</f>
        <v>0</v>
      </c>
      <c r="I966" s="87">
        <f t="shared" si="230"/>
        <v>0</v>
      </c>
      <c r="J966" s="177"/>
    </row>
    <row r="967" spans="1:18" ht="24.75" customHeight="1">
      <c r="A967" s="82" t="s">
        <v>36</v>
      </c>
      <c r="B967" s="84" t="s">
        <v>94</v>
      </c>
      <c r="C967" s="84" t="s">
        <v>26</v>
      </c>
      <c r="D967" s="84" t="s">
        <v>123</v>
      </c>
      <c r="E967" s="84" t="s">
        <v>957</v>
      </c>
      <c r="F967" s="84" t="s">
        <v>37</v>
      </c>
      <c r="G967" s="87">
        <f>G968</f>
        <v>100000</v>
      </c>
      <c r="H967" s="87">
        <f t="shared" si="230"/>
        <v>0</v>
      </c>
      <c r="I967" s="87">
        <f t="shared" si="230"/>
        <v>0</v>
      </c>
      <c r="J967" s="177"/>
    </row>
    <row r="968" spans="1:18" ht="36.75" customHeight="1">
      <c r="A968" s="82" t="s">
        <v>38</v>
      </c>
      <c r="B968" s="84" t="s">
        <v>94</v>
      </c>
      <c r="C968" s="84" t="s">
        <v>26</v>
      </c>
      <c r="D968" s="84" t="s">
        <v>123</v>
      </c>
      <c r="E968" s="84" t="s">
        <v>957</v>
      </c>
      <c r="F968" s="84" t="s">
        <v>39</v>
      </c>
      <c r="G968" s="87">
        <v>100000</v>
      </c>
      <c r="H968" s="87">
        <v>0</v>
      </c>
      <c r="I968" s="87">
        <v>0</v>
      </c>
      <c r="J968" s="177"/>
    </row>
    <row r="969" spans="1:18" s="18" customFormat="1" ht="57.75" customHeight="1">
      <c r="A969" s="286" t="s">
        <v>1047</v>
      </c>
      <c r="B969" s="84" t="s">
        <v>94</v>
      </c>
      <c r="C969" s="84" t="s">
        <v>26</v>
      </c>
      <c r="D969" s="84" t="s">
        <v>123</v>
      </c>
      <c r="E969" s="84" t="s">
        <v>1046</v>
      </c>
      <c r="F969" s="84"/>
      <c r="G969" s="87">
        <f t="shared" ref="G969:I970" si="231">G970</f>
        <v>4524.1400000000003</v>
      </c>
      <c r="H969" s="87">
        <f t="shared" si="231"/>
        <v>0</v>
      </c>
      <c r="I969" s="87">
        <f t="shared" si="231"/>
        <v>0</v>
      </c>
      <c r="J969" s="177"/>
      <c r="K969" s="200"/>
      <c r="L969" s="200"/>
      <c r="M969" s="200"/>
      <c r="N969" s="200"/>
      <c r="O969" s="200"/>
      <c r="P969" s="200"/>
      <c r="Q969" s="200"/>
      <c r="R969" s="200"/>
    </row>
    <row r="970" spans="1:18" s="18" customFormat="1">
      <c r="A970" s="82" t="s">
        <v>148</v>
      </c>
      <c r="B970" s="84" t="s">
        <v>94</v>
      </c>
      <c r="C970" s="84" t="s">
        <v>26</v>
      </c>
      <c r="D970" s="84" t="s">
        <v>123</v>
      </c>
      <c r="E970" s="84" t="s">
        <v>1046</v>
      </c>
      <c r="F970" s="84" t="s">
        <v>149</v>
      </c>
      <c r="G970" s="87">
        <f t="shared" si="231"/>
        <v>4524.1400000000003</v>
      </c>
      <c r="H970" s="87">
        <f t="shared" si="231"/>
        <v>0</v>
      </c>
      <c r="I970" s="87">
        <f t="shared" si="231"/>
        <v>0</v>
      </c>
      <c r="J970" s="177"/>
      <c r="K970" s="200"/>
      <c r="L970" s="200"/>
      <c r="M970" s="200"/>
      <c r="N970" s="200"/>
      <c r="O970" s="200"/>
      <c r="P970" s="200"/>
      <c r="Q970" s="200"/>
      <c r="R970" s="200"/>
    </row>
    <row r="971" spans="1:18" s="18" customFormat="1">
      <c r="A971" s="82" t="s">
        <v>922</v>
      </c>
      <c r="B971" s="84" t="s">
        <v>94</v>
      </c>
      <c r="C971" s="84" t="s">
        <v>26</v>
      </c>
      <c r="D971" s="84" t="s">
        <v>123</v>
      </c>
      <c r="E971" s="84" t="s">
        <v>1046</v>
      </c>
      <c r="F971" s="84" t="s">
        <v>919</v>
      </c>
      <c r="G971" s="87">
        <v>4524.1400000000003</v>
      </c>
      <c r="H971" s="87"/>
      <c r="I971" s="87"/>
      <c r="J971" s="177"/>
      <c r="K971" s="200"/>
      <c r="L971" s="200"/>
      <c r="M971" s="200"/>
      <c r="N971" s="200"/>
      <c r="O971" s="200"/>
      <c r="P971" s="200"/>
      <c r="Q971" s="200"/>
      <c r="R971" s="200"/>
    </row>
    <row r="972" spans="1:18" s="18" customFormat="1" ht="38.25">
      <c r="A972" s="286" t="s">
        <v>882</v>
      </c>
      <c r="B972" s="84" t="s">
        <v>94</v>
      </c>
      <c r="C972" s="84" t="s">
        <v>26</v>
      </c>
      <c r="D972" s="84" t="s">
        <v>123</v>
      </c>
      <c r="E972" s="84" t="s">
        <v>881</v>
      </c>
      <c r="F972" s="84"/>
      <c r="G972" s="87">
        <f t="shared" ref="G972:I973" si="232">G973</f>
        <v>160919.54</v>
      </c>
      <c r="H972" s="87">
        <f t="shared" si="232"/>
        <v>106202</v>
      </c>
      <c r="I972" s="87">
        <f t="shared" si="232"/>
        <v>106202</v>
      </c>
      <c r="J972" s="177"/>
      <c r="K972" s="200"/>
      <c r="L972" s="200"/>
      <c r="M972" s="200"/>
      <c r="N972" s="200"/>
      <c r="O972" s="200"/>
      <c r="P972" s="200"/>
      <c r="Q972" s="200"/>
      <c r="R972" s="200"/>
    </row>
    <row r="973" spans="1:18" s="18" customFormat="1">
      <c r="A973" s="82" t="s">
        <v>148</v>
      </c>
      <c r="B973" s="84" t="s">
        <v>94</v>
      </c>
      <c r="C973" s="84" t="s">
        <v>26</v>
      </c>
      <c r="D973" s="84" t="s">
        <v>123</v>
      </c>
      <c r="E973" s="84" t="s">
        <v>881</v>
      </c>
      <c r="F973" s="84" t="s">
        <v>149</v>
      </c>
      <c r="G973" s="87">
        <f t="shared" si="232"/>
        <v>160919.54</v>
      </c>
      <c r="H973" s="87">
        <f t="shared" si="232"/>
        <v>106202</v>
      </c>
      <c r="I973" s="87">
        <f t="shared" si="232"/>
        <v>106202</v>
      </c>
      <c r="J973" s="177"/>
      <c r="K973" s="200"/>
      <c r="L973" s="200"/>
      <c r="M973" s="200"/>
      <c r="N973" s="200"/>
      <c r="O973" s="200"/>
      <c r="P973" s="200"/>
      <c r="Q973" s="200"/>
      <c r="R973" s="200"/>
    </row>
    <row r="974" spans="1:18" s="18" customFormat="1">
      <c r="A974" s="82" t="s">
        <v>922</v>
      </c>
      <c r="B974" s="84" t="s">
        <v>94</v>
      </c>
      <c r="C974" s="84" t="s">
        <v>26</v>
      </c>
      <c r="D974" s="84" t="s">
        <v>123</v>
      </c>
      <c r="E974" s="84" t="s">
        <v>881</v>
      </c>
      <c r="F974" s="84" t="s">
        <v>919</v>
      </c>
      <c r="G974" s="87">
        <v>160919.54</v>
      </c>
      <c r="H974" s="87">
        <f>52800+53402</f>
        <v>106202</v>
      </c>
      <c r="I974" s="87">
        <f>53402+52800</f>
        <v>106202</v>
      </c>
      <c r="J974" s="177"/>
      <c r="K974" s="200"/>
      <c r="L974" s="200"/>
      <c r="M974" s="200"/>
      <c r="N974" s="200"/>
      <c r="O974" s="200"/>
      <c r="P974" s="200"/>
      <c r="Q974" s="200"/>
      <c r="R974" s="200"/>
    </row>
    <row r="975" spans="1:18" s="18" customFormat="1" ht="32.25" customHeight="1">
      <c r="A975" s="82" t="s">
        <v>143</v>
      </c>
      <c r="B975" s="84" t="s">
        <v>94</v>
      </c>
      <c r="C975" s="84" t="s">
        <v>26</v>
      </c>
      <c r="D975" s="84" t="s">
        <v>123</v>
      </c>
      <c r="E975" s="84" t="s">
        <v>227</v>
      </c>
      <c r="F975" s="84"/>
      <c r="G975" s="87">
        <f>G976</f>
        <v>14738271</v>
      </c>
      <c r="H975" s="87">
        <f t="shared" ref="H975:I975" si="233">H976</f>
        <v>14288224</v>
      </c>
      <c r="I975" s="87">
        <f t="shared" si="233"/>
        <v>14424178</v>
      </c>
      <c r="J975" s="177"/>
      <c r="K975" s="200"/>
      <c r="L975" s="200"/>
      <c r="M975" s="200"/>
      <c r="N975" s="200"/>
      <c r="O975" s="200"/>
      <c r="P975" s="200"/>
      <c r="Q975" s="200"/>
      <c r="R975" s="200"/>
    </row>
    <row r="976" spans="1:18" s="18" customFormat="1" ht="25.5">
      <c r="A976" s="82" t="s">
        <v>76</v>
      </c>
      <c r="B976" s="84" t="s">
        <v>94</v>
      </c>
      <c r="C976" s="84" t="s">
        <v>26</v>
      </c>
      <c r="D976" s="84" t="s">
        <v>123</v>
      </c>
      <c r="E976" s="84" t="s">
        <v>228</v>
      </c>
      <c r="F976" s="84"/>
      <c r="G976" s="87">
        <f>G977+G979+G981</f>
        <v>14738271</v>
      </c>
      <c r="H976" s="87">
        <f t="shared" ref="H976:I976" si="234">H977+H979+H981</f>
        <v>14288224</v>
      </c>
      <c r="I976" s="87">
        <f t="shared" si="234"/>
        <v>14424178</v>
      </c>
      <c r="J976" s="177"/>
      <c r="K976" s="200"/>
      <c r="L976" s="200"/>
      <c r="M976" s="200"/>
      <c r="N976" s="200"/>
      <c r="O976" s="200"/>
      <c r="P976" s="200"/>
      <c r="Q976" s="200"/>
      <c r="R976" s="200"/>
    </row>
    <row r="977" spans="1:18" ht="63.75">
      <c r="A977" s="82" t="s">
        <v>55</v>
      </c>
      <c r="B977" s="84" t="s">
        <v>94</v>
      </c>
      <c r="C977" s="84" t="s">
        <v>26</v>
      </c>
      <c r="D977" s="84" t="s">
        <v>123</v>
      </c>
      <c r="E977" s="84" t="s">
        <v>228</v>
      </c>
      <c r="F977" s="84" t="s">
        <v>58</v>
      </c>
      <c r="G977" s="87">
        <f>G978</f>
        <v>14267619</v>
      </c>
      <c r="H977" s="87">
        <f>H978</f>
        <v>13817572</v>
      </c>
      <c r="I977" s="87">
        <f>I978</f>
        <v>13953526</v>
      </c>
      <c r="J977" s="177"/>
    </row>
    <row r="978" spans="1:18" ht="25.5">
      <c r="A978" s="82" t="s">
        <v>56</v>
      </c>
      <c r="B978" s="84" t="s">
        <v>94</v>
      </c>
      <c r="C978" s="84" t="s">
        <v>26</v>
      </c>
      <c r="D978" s="84" t="s">
        <v>123</v>
      </c>
      <c r="E978" s="84" t="s">
        <v>228</v>
      </c>
      <c r="F978" s="84" t="s">
        <v>59</v>
      </c>
      <c r="G978" s="87">
        <f>13682964+584655</f>
        <v>14267619</v>
      </c>
      <c r="H978" s="87">
        <v>13817572</v>
      </c>
      <c r="I978" s="87">
        <v>13953526</v>
      </c>
      <c r="J978" s="177"/>
    </row>
    <row r="979" spans="1:18" ht="25.5">
      <c r="A979" s="82" t="s">
        <v>36</v>
      </c>
      <c r="B979" s="84" t="s">
        <v>94</v>
      </c>
      <c r="C979" s="84" t="s">
        <v>26</v>
      </c>
      <c r="D979" s="84" t="s">
        <v>123</v>
      </c>
      <c r="E979" s="84" t="s">
        <v>228</v>
      </c>
      <c r="F979" s="84" t="s">
        <v>37</v>
      </c>
      <c r="G979" s="87">
        <f>G980</f>
        <v>470652</v>
      </c>
      <c r="H979" s="87">
        <f>H980</f>
        <v>470652</v>
      </c>
      <c r="I979" s="87">
        <f>I980</f>
        <v>470652</v>
      </c>
      <c r="J979" s="177"/>
    </row>
    <row r="980" spans="1:18" ht="25.5">
      <c r="A980" s="82" t="s">
        <v>38</v>
      </c>
      <c r="B980" s="84" t="s">
        <v>94</v>
      </c>
      <c r="C980" s="84" t="s">
        <v>26</v>
      </c>
      <c r="D980" s="84" t="s">
        <v>123</v>
      </c>
      <c r="E980" s="84" t="s">
        <v>228</v>
      </c>
      <c r="F980" s="84" t="s">
        <v>39</v>
      </c>
      <c r="G980" s="87">
        <v>470652</v>
      </c>
      <c r="H980" s="87">
        <v>470652</v>
      </c>
      <c r="I980" s="87">
        <v>470652</v>
      </c>
      <c r="J980" s="177"/>
    </row>
    <row r="981" spans="1:18" hidden="1">
      <c r="A981" s="82" t="s">
        <v>63</v>
      </c>
      <c r="B981" s="84" t="s">
        <v>94</v>
      </c>
      <c r="C981" s="84" t="s">
        <v>26</v>
      </c>
      <c r="D981" s="84" t="s">
        <v>123</v>
      </c>
      <c r="E981" s="84" t="s">
        <v>228</v>
      </c>
      <c r="F981" s="84" t="s">
        <v>64</v>
      </c>
      <c r="G981" s="94">
        <f>G983+G982</f>
        <v>0</v>
      </c>
      <c r="H981" s="94">
        <f>H983</f>
        <v>0</v>
      </c>
      <c r="I981" s="94">
        <f>I983</f>
        <v>0</v>
      </c>
      <c r="J981" s="194"/>
    </row>
    <row r="982" spans="1:18" hidden="1">
      <c r="A982" s="82" t="s">
        <v>329</v>
      </c>
      <c r="B982" s="84" t="s">
        <v>94</v>
      </c>
      <c r="C982" s="84" t="s">
        <v>26</v>
      </c>
      <c r="D982" s="84" t="s">
        <v>123</v>
      </c>
      <c r="E982" s="84" t="s">
        <v>228</v>
      </c>
      <c r="F982" s="84" t="s">
        <v>328</v>
      </c>
      <c r="G982" s="94"/>
      <c r="H982" s="94">
        <v>0</v>
      </c>
      <c r="I982" s="94">
        <v>0</v>
      </c>
      <c r="J982" s="194"/>
    </row>
    <row r="983" spans="1:18" hidden="1">
      <c r="A983" s="82" t="s">
        <v>66</v>
      </c>
      <c r="B983" s="84" t="s">
        <v>94</v>
      </c>
      <c r="C983" s="84" t="s">
        <v>26</v>
      </c>
      <c r="D983" s="84" t="s">
        <v>123</v>
      </c>
      <c r="E983" s="84" t="s">
        <v>228</v>
      </c>
      <c r="F983" s="84" t="s">
        <v>67</v>
      </c>
      <c r="G983" s="94"/>
      <c r="H983" s="94">
        <v>0</v>
      </c>
      <c r="I983" s="94">
        <v>0</v>
      </c>
      <c r="J983" s="194"/>
    </row>
    <row r="984" spans="1:18" ht="19.5" hidden="1" customHeight="1">
      <c r="A984" s="82" t="s">
        <v>172</v>
      </c>
      <c r="B984" s="84" t="s">
        <v>94</v>
      </c>
      <c r="C984" s="84" t="s">
        <v>26</v>
      </c>
      <c r="D984" s="84" t="s">
        <v>123</v>
      </c>
      <c r="E984" s="84"/>
      <c r="F984" s="84"/>
      <c r="G984" s="87">
        <f>G985</f>
        <v>0</v>
      </c>
      <c r="H984" s="87">
        <f t="shared" ref="H984:I984" si="235">H985</f>
        <v>0</v>
      </c>
      <c r="I984" s="87">
        <f t="shared" si="235"/>
        <v>0</v>
      </c>
      <c r="J984" s="177"/>
    </row>
    <row r="985" spans="1:18" ht="47.25" hidden="1" customHeight="1">
      <c r="A985" s="82" t="s">
        <v>460</v>
      </c>
      <c r="B985" s="84" t="s">
        <v>94</v>
      </c>
      <c r="C985" s="84" t="s">
        <v>26</v>
      </c>
      <c r="D985" s="84" t="s">
        <v>123</v>
      </c>
      <c r="E985" s="84" t="s">
        <v>459</v>
      </c>
      <c r="F985" s="84"/>
      <c r="G985" s="87">
        <f>G986</f>
        <v>0</v>
      </c>
      <c r="H985" s="87">
        <f t="shared" ref="H985:I987" si="236">H986</f>
        <v>0</v>
      </c>
      <c r="I985" s="87">
        <f t="shared" si="236"/>
        <v>0</v>
      </c>
      <c r="J985" s="177"/>
    </row>
    <row r="986" spans="1:18" ht="33.75" hidden="1" customHeight="1">
      <c r="A986" s="82" t="s">
        <v>458</v>
      </c>
      <c r="B986" s="84" t="s">
        <v>94</v>
      </c>
      <c r="C986" s="84" t="s">
        <v>26</v>
      </c>
      <c r="D986" s="84" t="s">
        <v>123</v>
      </c>
      <c r="E986" s="84" t="s">
        <v>456</v>
      </c>
      <c r="F986" s="84"/>
      <c r="G986" s="87">
        <f>G987</f>
        <v>0</v>
      </c>
      <c r="H986" s="87">
        <f t="shared" si="236"/>
        <v>0</v>
      </c>
      <c r="I986" s="87">
        <f t="shared" si="236"/>
        <v>0</v>
      </c>
      <c r="J986" s="177"/>
    </row>
    <row r="987" spans="1:18" ht="17.25" hidden="1" customHeight="1">
      <c r="A987" s="82" t="s">
        <v>457</v>
      </c>
      <c r="B987" s="84" t="s">
        <v>94</v>
      </c>
      <c r="C987" s="84" t="s">
        <v>26</v>
      </c>
      <c r="D987" s="84" t="s">
        <v>123</v>
      </c>
      <c r="E987" s="84" t="s">
        <v>456</v>
      </c>
      <c r="F987" s="84" t="s">
        <v>37</v>
      </c>
      <c r="G987" s="87">
        <f>G988</f>
        <v>0</v>
      </c>
      <c r="H987" s="87">
        <f t="shared" si="236"/>
        <v>0</v>
      </c>
      <c r="I987" s="87">
        <f t="shared" si="236"/>
        <v>0</v>
      </c>
      <c r="J987" s="177"/>
    </row>
    <row r="988" spans="1:18" ht="26.25" hidden="1" customHeight="1">
      <c r="A988" s="82" t="s">
        <v>38</v>
      </c>
      <c r="B988" s="84" t="s">
        <v>94</v>
      </c>
      <c r="C988" s="84" t="s">
        <v>26</v>
      </c>
      <c r="D988" s="84" t="s">
        <v>123</v>
      </c>
      <c r="E988" s="84" t="s">
        <v>456</v>
      </c>
      <c r="F988" s="84" t="s">
        <v>39</v>
      </c>
      <c r="G988" s="87">
        <f>16000-16000</f>
        <v>0</v>
      </c>
      <c r="H988" s="127"/>
      <c r="I988" s="127"/>
      <c r="J988" s="198"/>
    </row>
    <row r="989" spans="1:18" ht="30.75" hidden="1" customHeight="1">
      <c r="A989" s="82"/>
      <c r="B989" s="84"/>
      <c r="C989" s="84"/>
      <c r="D989" s="84"/>
      <c r="E989" s="84"/>
      <c r="F989" s="84"/>
      <c r="G989" s="87"/>
      <c r="H989" s="87"/>
      <c r="I989" s="87"/>
      <c r="J989" s="177"/>
    </row>
    <row r="990" spans="1:18" s="18" customFormat="1" ht="38.25" hidden="1">
      <c r="A990" s="286" t="s">
        <v>882</v>
      </c>
      <c r="B990" s="84" t="s">
        <v>94</v>
      </c>
      <c r="C990" s="84" t="s">
        <v>26</v>
      </c>
      <c r="D990" s="84" t="s">
        <v>123</v>
      </c>
      <c r="E990" s="84" t="s">
        <v>918</v>
      </c>
      <c r="F990" s="84"/>
      <c r="G990" s="87">
        <f t="shared" ref="G990:I992" si="237">G991</f>
        <v>0</v>
      </c>
      <c r="H990" s="87">
        <f t="shared" si="237"/>
        <v>0</v>
      </c>
      <c r="I990" s="87">
        <f t="shared" si="237"/>
        <v>0</v>
      </c>
      <c r="J990" s="177"/>
      <c r="K990" s="200"/>
      <c r="L990" s="200"/>
      <c r="M990" s="200"/>
      <c r="N990" s="200"/>
      <c r="O990" s="200"/>
      <c r="P990" s="200"/>
      <c r="Q990" s="200"/>
      <c r="R990" s="200"/>
    </row>
    <row r="991" spans="1:18" s="18" customFormat="1" ht="38.25" hidden="1">
      <c r="A991" s="286" t="s">
        <v>882</v>
      </c>
      <c r="B991" s="84" t="s">
        <v>94</v>
      </c>
      <c r="C991" s="84" t="s">
        <v>26</v>
      </c>
      <c r="D991" s="84" t="s">
        <v>123</v>
      </c>
      <c r="E991" s="84" t="s">
        <v>917</v>
      </c>
      <c r="F991" s="84"/>
      <c r="G991" s="87">
        <f t="shared" si="237"/>
        <v>0</v>
      </c>
      <c r="H991" s="87">
        <f t="shared" si="237"/>
        <v>0</v>
      </c>
      <c r="I991" s="87">
        <f t="shared" si="237"/>
        <v>0</v>
      </c>
      <c r="J991" s="177"/>
      <c r="K991" s="200"/>
      <c r="L991" s="200"/>
      <c r="M991" s="200"/>
      <c r="N991" s="200"/>
      <c r="O991" s="200"/>
      <c r="P991" s="200"/>
      <c r="Q991" s="200"/>
      <c r="R991" s="200"/>
    </row>
    <row r="992" spans="1:18" s="18" customFormat="1" hidden="1">
      <c r="A992" s="82" t="s">
        <v>148</v>
      </c>
      <c r="B992" s="84" t="s">
        <v>94</v>
      </c>
      <c r="C992" s="84" t="s">
        <v>26</v>
      </c>
      <c r="D992" s="84" t="s">
        <v>123</v>
      </c>
      <c r="E992" s="84" t="s">
        <v>917</v>
      </c>
      <c r="F992" s="84" t="s">
        <v>149</v>
      </c>
      <c r="G992" s="87">
        <f t="shared" si="237"/>
        <v>0</v>
      </c>
      <c r="H992" s="87">
        <f t="shared" si="237"/>
        <v>0</v>
      </c>
      <c r="I992" s="87">
        <f t="shared" si="237"/>
        <v>0</v>
      </c>
      <c r="J992" s="177"/>
      <c r="K992" s="200"/>
      <c r="L992" s="200"/>
      <c r="M992" s="200"/>
      <c r="N992" s="200"/>
      <c r="O992" s="200"/>
      <c r="P992" s="200"/>
      <c r="Q992" s="200"/>
      <c r="R992" s="200"/>
    </row>
    <row r="993" spans="1:18" s="18" customFormat="1" hidden="1">
      <c r="A993" s="82" t="s">
        <v>922</v>
      </c>
      <c r="B993" s="84" t="s">
        <v>94</v>
      </c>
      <c r="C993" s="84" t="s">
        <v>26</v>
      </c>
      <c r="D993" s="84" t="s">
        <v>123</v>
      </c>
      <c r="E993" s="84" t="s">
        <v>917</v>
      </c>
      <c r="F993" s="84" t="s">
        <v>919</v>
      </c>
      <c r="G993" s="87">
        <f>52800+123200-176000</f>
        <v>0</v>
      </c>
      <c r="H993" s="87">
        <f>52800+53402-106202</f>
        <v>0</v>
      </c>
      <c r="I993" s="87">
        <f>53402+52800-106202</f>
        <v>0</v>
      </c>
      <c r="J993" s="177"/>
      <c r="K993" s="200"/>
      <c r="L993" s="200"/>
      <c r="M993" s="200"/>
      <c r="N993" s="200"/>
      <c r="O993" s="200"/>
      <c r="P993" s="200"/>
      <c r="Q993" s="200"/>
      <c r="R993" s="200"/>
    </row>
    <row r="994" spans="1:18" ht="33" hidden="1" customHeight="1">
      <c r="A994" s="82" t="s">
        <v>984</v>
      </c>
      <c r="B994" s="84" t="s">
        <v>94</v>
      </c>
      <c r="C994" s="84" t="s">
        <v>26</v>
      </c>
      <c r="D994" s="84" t="s">
        <v>123</v>
      </c>
      <c r="E994" s="84" t="s">
        <v>964</v>
      </c>
      <c r="F994" s="84"/>
      <c r="G994" s="87">
        <f>G995</f>
        <v>0</v>
      </c>
      <c r="H994" s="87">
        <f t="shared" ref="H994:I994" si="238">H995</f>
        <v>0</v>
      </c>
      <c r="I994" s="87">
        <f t="shared" si="238"/>
        <v>0</v>
      </c>
      <c r="J994" s="177"/>
    </row>
    <row r="995" spans="1:18" ht="24.75" hidden="1" customHeight="1">
      <c r="A995" s="82" t="s">
        <v>36</v>
      </c>
      <c r="B995" s="84" t="s">
        <v>94</v>
      </c>
      <c r="C995" s="84" t="s">
        <v>26</v>
      </c>
      <c r="D995" s="84" t="s">
        <v>123</v>
      </c>
      <c r="E995" s="84" t="s">
        <v>964</v>
      </c>
      <c r="F995" s="84" t="s">
        <v>37</v>
      </c>
      <c r="G995" s="87">
        <f>G996</f>
        <v>0</v>
      </c>
      <c r="H995" s="87">
        <f t="shared" ref="H995:I995" si="239">H996</f>
        <v>0</v>
      </c>
      <c r="I995" s="87">
        <f t="shared" si="239"/>
        <v>0</v>
      </c>
      <c r="J995" s="177"/>
    </row>
    <row r="996" spans="1:18" ht="25.9" hidden="1" customHeight="1">
      <c r="A996" s="82" t="s">
        <v>38</v>
      </c>
      <c r="B996" s="84" t="s">
        <v>94</v>
      </c>
      <c r="C996" s="84" t="s">
        <v>26</v>
      </c>
      <c r="D996" s="84" t="s">
        <v>123</v>
      </c>
      <c r="E996" s="84" t="s">
        <v>964</v>
      </c>
      <c r="F996" s="84" t="s">
        <v>39</v>
      </c>
      <c r="G996" s="87">
        <f>100000-100000</f>
        <v>0</v>
      </c>
      <c r="H996" s="87">
        <v>0</v>
      </c>
      <c r="I996" s="87">
        <v>0</v>
      </c>
      <c r="J996" s="177"/>
    </row>
    <row r="997" spans="1:18">
      <c r="A997" s="270" t="s">
        <v>145</v>
      </c>
      <c r="B997" s="162" t="s">
        <v>94</v>
      </c>
      <c r="C997" s="272" t="s">
        <v>69</v>
      </c>
      <c r="D997" s="272"/>
      <c r="E997" s="272"/>
      <c r="F997" s="272"/>
      <c r="G997" s="269">
        <f>G998+G1003</f>
        <v>27791535.18</v>
      </c>
      <c r="H997" s="269">
        <f>H998+H1003</f>
        <v>26454062.789999999</v>
      </c>
      <c r="I997" s="269">
        <f>I998+I1003</f>
        <v>27225821.939999998</v>
      </c>
      <c r="J997" s="191"/>
    </row>
    <row r="998" spans="1:18">
      <c r="A998" s="82" t="s">
        <v>146</v>
      </c>
      <c r="B998" s="84" t="s">
        <v>94</v>
      </c>
      <c r="C998" s="84" t="s">
        <v>69</v>
      </c>
      <c r="D998" s="84" t="s">
        <v>19</v>
      </c>
      <c r="E998" s="84"/>
      <c r="F998" s="84"/>
      <c r="G998" s="87">
        <f>G999</f>
        <v>61500</v>
      </c>
      <c r="H998" s="87">
        <f>H999</f>
        <v>61500</v>
      </c>
      <c r="I998" s="87">
        <f>I999</f>
        <v>61500</v>
      </c>
      <c r="J998" s="177"/>
    </row>
    <row r="999" spans="1:18" s="43" customFormat="1" ht="30.75" customHeight="1">
      <c r="A999" s="82" t="s">
        <v>487</v>
      </c>
      <c r="B999" s="84" t="s">
        <v>94</v>
      </c>
      <c r="C999" s="84" t="s">
        <v>69</v>
      </c>
      <c r="D999" s="84" t="s">
        <v>19</v>
      </c>
      <c r="E999" s="84" t="s">
        <v>287</v>
      </c>
      <c r="F999" s="168"/>
      <c r="G999" s="87">
        <f t="shared" ref="G999:I1001" si="240">G1000</f>
        <v>61500</v>
      </c>
      <c r="H999" s="87">
        <f t="shared" si="240"/>
        <v>61500</v>
      </c>
      <c r="I999" s="87">
        <f t="shared" si="240"/>
        <v>61500</v>
      </c>
      <c r="J999" s="177"/>
      <c r="K999" s="218"/>
      <c r="L999" s="218"/>
      <c r="M999" s="218"/>
      <c r="N999" s="218"/>
      <c r="O999" s="218"/>
      <c r="P999" s="218"/>
      <c r="Q999" s="218"/>
      <c r="R999" s="218"/>
    </row>
    <row r="1000" spans="1:18" s="43" customFormat="1">
      <c r="A1000" s="82" t="s">
        <v>147</v>
      </c>
      <c r="B1000" s="84" t="s">
        <v>94</v>
      </c>
      <c r="C1000" s="84" t="s">
        <v>69</v>
      </c>
      <c r="D1000" s="84" t="s">
        <v>19</v>
      </c>
      <c r="E1000" s="84" t="s">
        <v>291</v>
      </c>
      <c r="F1000" s="168"/>
      <c r="G1000" s="87">
        <f t="shared" si="240"/>
        <v>61500</v>
      </c>
      <c r="H1000" s="87">
        <f t="shared" si="240"/>
        <v>61500</v>
      </c>
      <c r="I1000" s="87">
        <f t="shared" si="240"/>
        <v>61500</v>
      </c>
      <c r="J1000" s="177"/>
      <c r="K1000" s="218"/>
      <c r="L1000" s="218"/>
      <c r="M1000" s="218"/>
      <c r="N1000" s="218"/>
      <c r="O1000" s="218"/>
      <c r="P1000" s="218"/>
      <c r="Q1000" s="218"/>
      <c r="R1000" s="218"/>
    </row>
    <row r="1001" spans="1:18" s="43" customFormat="1">
      <c r="A1001" s="82" t="s">
        <v>148</v>
      </c>
      <c r="B1001" s="84" t="s">
        <v>94</v>
      </c>
      <c r="C1001" s="84" t="s">
        <v>69</v>
      </c>
      <c r="D1001" s="84" t="s">
        <v>19</v>
      </c>
      <c r="E1001" s="84" t="s">
        <v>291</v>
      </c>
      <c r="F1001" s="84" t="s">
        <v>149</v>
      </c>
      <c r="G1001" s="87">
        <f t="shared" si="240"/>
        <v>61500</v>
      </c>
      <c r="H1001" s="87">
        <f t="shared" si="240"/>
        <v>61500</v>
      </c>
      <c r="I1001" s="87">
        <f t="shared" si="240"/>
        <v>61500</v>
      </c>
      <c r="J1001" s="177"/>
      <c r="K1001" s="218"/>
      <c r="L1001" s="218"/>
      <c r="M1001" s="218"/>
      <c r="N1001" s="218"/>
      <c r="O1001" s="218"/>
      <c r="P1001" s="218"/>
      <c r="Q1001" s="218"/>
      <c r="R1001" s="218"/>
    </row>
    <row r="1002" spans="1:18" s="44" customFormat="1" ht="25.5">
      <c r="A1002" s="82" t="s">
        <v>355</v>
      </c>
      <c r="B1002" s="84" t="s">
        <v>94</v>
      </c>
      <c r="C1002" s="84" t="s">
        <v>69</v>
      </c>
      <c r="D1002" s="84" t="s">
        <v>19</v>
      </c>
      <c r="E1002" s="84" t="s">
        <v>291</v>
      </c>
      <c r="F1002" s="84" t="s">
        <v>356</v>
      </c>
      <c r="G1002" s="87">
        <v>61500</v>
      </c>
      <c r="H1002" s="87">
        <v>61500</v>
      </c>
      <c r="I1002" s="87">
        <v>61500</v>
      </c>
      <c r="J1002" s="177"/>
      <c r="K1002" s="219"/>
      <c r="L1002" s="219"/>
      <c r="M1002" s="219"/>
      <c r="N1002" s="219"/>
      <c r="O1002" s="219"/>
      <c r="P1002" s="219"/>
      <c r="Q1002" s="219"/>
      <c r="R1002" s="219"/>
    </row>
    <row r="1003" spans="1:18">
      <c r="A1003" s="135" t="s">
        <v>153</v>
      </c>
      <c r="B1003" s="84" t="s">
        <v>94</v>
      </c>
      <c r="C1003" s="84" t="s">
        <v>69</v>
      </c>
      <c r="D1003" s="84" t="s">
        <v>54</v>
      </c>
      <c r="E1003" s="84"/>
      <c r="F1003" s="84"/>
      <c r="G1003" s="87">
        <f>G1004</f>
        <v>27730035.18</v>
      </c>
      <c r="H1003" s="87">
        <f t="shared" ref="H1003:I1003" si="241">H1004</f>
        <v>26392562.789999999</v>
      </c>
      <c r="I1003" s="87">
        <f t="shared" si="241"/>
        <v>27164321.939999998</v>
      </c>
      <c r="J1003" s="177"/>
    </row>
    <row r="1004" spans="1:18" s="28" customFormat="1" ht="25.5">
      <c r="A1004" s="82" t="s">
        <v>478</v>
      </c>
      <c r="B1004" s="84" t="s">
        <v>94</v>
      </c>
      <c r="C1004" s="84" t="s">
        <v>69</v>
      </c>
      <c r="D1004" s="84" t="s">
        <v>54</v>
      </c>
      <c r="E1004" s="84" t="s">
        <v>189</v>
      </c>
      <c r="F1004" s="168"/>
      <c r="G1004" s="87">
        <f>G1005</f>
        <v>27730035.18</v>
      </c>
      <c r="H1004" s="87">
        <f t="shared" ref="H1004:I1004" si="242">H1005</f>
        <v>26392562.789999999</v>
      </c>
      <c r="I1004" s="87">
        <f t="shared" si="242"/>
        <v>27164321.939999998</v>
      </c>
      <c r="J1004" s="177"/>
      <c r="K1004" s="204"/>
      <c r="L1004" s="204"/>
      <c r="M1004" s="204"/>
      <c r="N1004" s="204"/>
      <c r="O1004" s="204"/>
      <c r="P1004" s="204"/>
      <c r="Q1004" s="204"/>
      <c r="R1004" s="204"/>
    </row>
    <row r="1005" spans="1:18" ht="30.75" customHeight="1">
      <c r="A1005" s="82" t="s">
        <v>90</v>
      </c>
      <c r="B1005" s="84" t="s">
        <v>94</v>
      </c>
      <c r="C1005" s="84" t="s">
        <v>69</v>
      </c>
      <c r="D1005" s="84" t="s">
        <v>54</v>
      </c>
      <c r="E1005" s="84" t="s">
        <v>215</v>
      </c>
      <c r="F1005" s="84"/>
      <c r="G1005" s="87">
        <f>G1006+G1009+G1013+G1016</f>
        <v>27730035.18</v>
      </c>
      <c r="H1005" s="87">
        <f t="shared" ref="H1005:I1005" si="243">H1006+H1009+H1013+H1016</f>
        <v>26392562.789999999</v>
      </c>
      <c r="I1005" s="87">
        <f t="shared" si="243"/>
        <v>27164321.939999998</v>
      </c>
      <c r="J1005" s="177"/>
    </row>
    <row r="1006" spans="1:18" s="18" customFormat="1" ht="56.25" customHeight="1">
      <c r="A1006" s="142" t="s">
        <v>65</v>
      </c>
      <c r="B1006" s="84" t="s">
        <v>94</v>
      </c>
      <c r="C1006" s="84" t="s">
        <v>69</v>
      </c>
      <c r="D1006" s="84" t="s">
        <v>54</v>
      </c>
      <c r="E1006" s="84" t="s">
        <v>437</v>
      </c>
      <c r="F1006" s="84"/>
      <c r="G1006" s="87">
        <f t="shared" ref="G1006:I1007" si="244">G1007</f>
        <v>721420</v>
      </c>
      <c r="H1006" s="87">
        <f t="shared" si="244"/>
        <v>814538</v>
      </c>
      <c r="I1006" s="87">
        <f t="shared" si="244"/>
        <v>847150</v>
      </c>
      <c r="J1006" s="177"/>
      <c r="K1006" s="200"/>
      <c r="L1006" s="200"/>
      <c r="M1006" s="200"/>
      <c r="N1006" s="200"/>
      <c r="O1006" s="200"/>
      <c r="P1006" s="200"/>
      <c r="Q1006" s="200"/>
      <c r="R1006" s="200"/>
    </row>
    <row r="1007" spans="1:18" s="18" customFormat="1" ht="25.5">
      <c r="A1007" s="82" t="s">
        <v>30</v>
      </c>
      <c r="B1007" s="84" t="s">
        <v>94</v>
      </c>
      <c r="C1007" s="84" t="s">
        <v>69</v>
      </c>
      <c r="D1007" s="84" t="s">
        <v>54</v>
      </c>
      <c r="E1007" s="84" t="s">
        <v>437</v>
      </c>
      <c r="F1007" s="84" t="s">
        <v>31</v>
      </c>
      <c r="G1007" s="87">
        <f t="shared" si="244"/>
        <v>721420</v>
      </c>
      <c r="H1007" s="87">
        <f t="shared" si="244"/>
        <v>814538</v>
      </c>
      <c r="I1007" s="87">
        <f t="shared" si="244"/>
        <v>847150</v>
      </c>
      <c r="J1007" s="177"/>
      <c r="K1007" s="200"/>
      <c r="L1007" s="200"/>
      <c r="M1007" s="200"/>
      <c r="N1007" s="200"/>
      <c r="O1007" s="200"/>
      <c r="P1007" s="200"/>
      <c r="Q1007" s="200"/>
      <c r="R1007" s="200"/>
    </row>
    <row r="1008" spans="1:18" s="18" customFormat="1">
      <c r="A1008" s="82" t="s">
        <v>32</v>
      </c>
      <c r="B1008" s="84" t="s">
        <v>94</v>
      </c>
      <c r="C1008" s="84" t="s">
        <v>69</v>
      </c>
      <c r="D1008" s="84" t="s">
        <v>54</v>
      </c>
      <c r="E1008" s="84" t="s">
        <v>437</v>
      </c>
      <c r="F1008" s="84" t="s">
        <v>33</v>
      </c>
      <c r="G1008" s="87">
        <v>721420</v>
      </c>
      <c r="H1008" s="87">
        <f>267250+547288</f>
        <v>814538</v>
      </c>
      <c r="I1008" s="87">
        <f>277950+569200</f>
        <v>847150</v>
      </c>
      <c r="J1008" s="177"/>
      <c r="K1008" s="200"/>
      <c r="L1008" s="200"/>
      <c r="M1008" s="200"/>
      <c r="N1008" s="200"/>
      <c r="O1008" s="200"/>
      <c r="P1008" s="200"/>
      <c r="Q1008" s="200"/>
      <c r="R1008" s="200"/>
    </row>
    <row r="1009" spans="1:18" s="28" customFormat="1" ht="42.75" customHeight="1">
      <c r="A1009" s="135" t="s">
        <v>154</v>
      </c>
      <c r="B1009" s="84" t="s">
        <v>94</v>
      </c>
      <c r="C1009" s="84" t="s">
        <v>69</v>
      </c>
      <c r="D1009" s="84" t="s">
        <v>54</v>
      </c>
      <c r="E1009" s="84" t="s">
        <v>438</v>
      </c>
      <c r="F1009" s="168"/>
      <c r="G1009" s="87">
        <f t="shared" ref="G1009:I1010" si="245">G1010</f>
        <v>8926409.3800000008</v>
      </c>
      <c r="H1009" s="87">
        <f t="shared" si="245"/>
        <v>8040737.3899999997</v>
      </c>
      <c r="I1009" s="87">
        <f t="shared" si="245"/>
        <v>8417019.6300000008</v>
      </c>
      <c r="J1009" s="177"/>
      <c r="K1009" s="204"/>
      <c r="L1009" s="204"/>
      <c r="M1009" s="204"/>
      <c r="N1009" s="204"/>
      <c r="O1009" s="204"/>
      <c r="P1009" s="204"/>
      <c r="Q1009" s="204"/>
      <c r="R1009" s="204"/>
    </row>
    <row r="1010" spans="1:18" s="28" customFormat="1" ht="25.5">
      <c r="A1010" s="82" t="s">
        <v>30</v>
      </c>
      <c r="B1010" s="84" t="s">
        <v>94</v>
      </c>
      <c r="C1010" s="84" t="s">
        <v>69</v>
      </c>
      <c r="D1010" s="84" t="s">
        <v>54</v>
      </c>
      <c r="E1010" s="84" t="s">
        <v>438</v>
      </c>
      <c r="F1010" s="84" t="s">
        <v>31</v>
      </c>
      <c r="G1010" s="87">
        <f t="shared" si="245"/>
        <v>8926409.3800000008</v>
      </c>
      <c r="H1010" s="87">
        <f t="shared" si="245"/>
        <v>8040737.3899999997</v>
      </c>
      <c r="I1010" s="87">
        <f t="shared" si="245"/>
        <v>8417019.6300000008</v>
      </c>
      <c r="J1010" s="177"/>
      <c r="K1010" s="204"/>
      <c r="L1010" s="204"/>
      <c r="M1010" s="204"/>
      <c r="N1010" s="204"/>
      <c r="O1010" s="204"/>
      <c r="P1010" s="204"/>
      <c r="Q1010" s="204"/>
      <c r="R1010" s="204"/>
    </row>
    <row r="1011" spans="1:18">
      <c r="A1011" s="82" t="s">
        <v>32</v>
      </c>
      <c r="B1011" s="84" t="s">
        <v>94</v>
      </c>
      <c r="C1011" s="84" t="s">
        <v>69</v>
      </c>
      <c r="D1011" s="84" t="s">
        <v>54</v>
      </c>
      <c r="E1011" s="84" t="s">
        <v>438</v>
      </c>
      <c r="F1011" s="84" t="s">
        <v>33</v>
      </c>
      <c r="G1011" s="87">
        <v>8926409.3800000008</v>
      </c>
      <c r="H1011" s="87">
        <v>8040737.3899999997</v>
      </c>
      <c r="I1011" s="87">
        <v>8417019.6300000008</v>
      </c>
      <c r="J1011" s="177"/>
    </row>
    <row r="1012" spans="1:18" ht="14.25" hidden="1" customHeight="1">
      <c r="A1012" s="82" t="s">
        <v>35</v>
      </c>
      <c r="B1012" s="84" t="s">
        <v>94</v>
      </c>
      <c r="C1012" s="84" t="s">
        <v>69</v>
      </c>
      <c r="D1012" s="84" t="s">
        <v>54</v>
      </c>
      <c r="E1012" s="84" t="s">
        <v>229</v>
      </c>
      <c r="F1012" s="84" t="s">
        <v>52</v>
      </c>
      <c r="G1012" s="87"/>
      <c r="H1012" s="87"/>
      <c r="I1012" s="87"/>
      <c r="J1012" s="177"/>
    </row>
    <row r="1013" spans="1:18" s="28" customFormat="1" ht="27" hidden="1" customHeight="1">
      <c r="A1013" s="135" t="s">
        <v>945</v>
      </c>
      <c r="B1013" s="84" t="s">
        <v>94</v>
      </c>
      <c r="C1013" s="84" t="s">
        <v>69</v>
      </c>
      <c r="D1013" s="84" t="s">
        <v>54</v>
      </c>
      <c r="E1013" s="84" t="s">
        <v>944</v>
      </c>
      <c r="F1013" s="168"/>
      <c r="G1013" s="87">
        <f t="shared" ref="G1013:I1017" si="246">G1014</f>
        <v>0</v>
      </c>
      <c r="H1013" s="87">
        <f t="shared" si="246"/>
        <v>0</v>
      </c>
      <c r="I1013" s="87">
        <f t="shared" si="246"/>
        <v>0</v>
      </c>
      <c r="J1013" s="177"/>
      <c r="K1013" s="204"/>
      <c r="L1013" s="204"/>
      <c r="M1013" s="204"/>
      <c r="N1013" s="204"/>
      <c r="O1013" s="204"/>
      <c r="P1013" s="204"/>
      <c r="Q1013" s="204"/>
      <c r="R1013" s="204"/>
    </row>
    <row r="1014" spans="1:18" s="28" customFormat="1" ht="25.5" hidden="1">
      <c r="A1014" s="82" t="s">
        <v>30</v>
      </c>
      <c r="B1014" s="84" t="s">
        <v>94</v>
      </c>
      <c r="C1014" s="84" t="s">
        <v>69</v>
      </c>
      <c r="D1014" s="84" t="s">
        <v>54</v>
      </c>
      <c r="E1014" s="84" t="s">
        <v>944</v>
      </c>
      <c r="F1014" s="84" t="s">
        <v>31</v>
      </c>
      <c r="G1014" s="87">
        <f t="shared" si="246"/>
        <v>0</v>
      </c>
      <c r="H1014" s="87">
        <f t="shared" si="246"/>
        <v>0</v>
      </c>
      <c r="I1014" s="87">
        <f t="shared" si="246"/>
        <v>0</v>
      </c>
      <c r="J1014" s="177"/>
      <c r="K1014" s="204"/>
      <c r="L1014" s="204"/>
      <c r="M1014" s="204"/>
      <c r="N1014" s="204"/>
      <c r="O1014" s="204"/>
      <c r="P1014" s="204"/>
      <c r="Q1014" s="204"/>
      <c r="R1014" s="204"/>
    </row>
    <row r="1015" spans="1:18" hidden="1">
      <c r="A1015" s="82" t="s">
        <v>32</v>
      </c>
      <c r="B1015" s="84" t="s">
        <v>94</v>
      </c>
      <c r="C1015" s="84" t="s">
        <v>69</v>
      </c>
      <c r="D1015" s="84" t="s">
        <v>54</v>
      </c>
      <c r="E1015" s="84" t="s">
        <v>944</v>
      </c>
      <c r="F1015" s="84" t="s">
        <v>33</v>
      </c>
      <c r="G1015" s="87">
        <f>61920-61920</f>
        <v>0</v>
      </c>
      <c r="H1015" s="87">
        <v>0</v>
      </c>
      <c r="I1015" s="87">
        <v>0</v>
      </c>
      <c r="J1015" s="177"/>
    </row>
    <row r="1016" spans="1:18" s="28" customFormat="1" ht="69.599999999999994" customHeight="1">
      <c r="A1016" s="135" t="s">
        <v>697</v>
      </c>
      <c r="B1016" s="84" t="s">
        <v>94</v>
      </c>
      <c r="C1016" s="84" t="s">
        <v>69</v>
      </c>
      <c r="D1016" s="84" t="s">
        <v>54</v>
      </c>
      <c r="E1016" s="84" t="s">
        <v>696</v>
      </c>
      <c r="F1016" s="168"/>
      <c r="G1016" s="87">
        <f t="shared" si="246"/>
        <v>18082205.800000001</v>
      </c>
      <c r="H1016" s="87">
        <f t="shared" si="246"/>
        <v>17537287.399999999</v>
      </c>
      <c r="I1016" s="87">
        <f t="shared" si="246"/>
        <v>17900152.309999999</v>
      </c>
      <c r="J1016" s="177"/>
      <c r="K1016" s="204"/>
      <c r="L1016" s="204"/>
      <c r="M1016" s="204"/>
      <c r="N1016" s="204"/>
      <c r="O1016" s="204"/>
      <c r="P1016" s="204"/>
      <c r="Q1016" s="204"/>
      <c r="R1016" s="204"/>
    </row>
    <row r="1017" spans="1:18" s="28" customFormat="1" ht="25.5">
      <c r="A1017" s="82" t="s">
        <v>30</v>
      </c>
      <c r="B1017" s="84" t="s">
        <v>94</v>
      </c>
      <c r="C1017" s="84" t="s">
        <v>69</v>
      </c>
      <c r="D1017" s="84" t="s">
        <v>54</v>
      </c>
      <c r="E1017" s="84" t="s">
        <v>696</v>
      </c>
      <c r="F1017" s="84" t="s">
        <v>31</v>
      </c>
      <c r="G1017" s="87">
        <f t="shared" si="246"/>
        <v>18082205.800000001</v>
      </c>
      <c r="H1017" s="87">
        <f t="shared" si="246"/>
        <v>17537287.399999999</v>
      </c>
      <c r="I1017" s="87">
        <f t="shared" si="246"/>
        <v>17900152.309999999</v>
      </c>
      <c r="J1017" s="177"/>
      <c r="K1017" s="204"/>
      <c r="L1017" s="204"/>
      <c r="M1017" s="204"/>
      <c r="N1017" s="204"/>
      <c r="O1017" s="204"/>
      <c r="P1017" s="204"/>
      <c r="Q1017" s="204"/>
      <c r="R1017" s="204"/>
    </row>
    <row r="1018" spans="1:18">
      <c r="A1018" s="82" t="s">
        <v>32</v>
      </c>
      <c r="B1018" s="84" t="s">
        <v>94</v>
      </c>
      <c r="C1018" s="84" t="s">
        <v>69</v>
      </c>
      <c r="D1018" s="84" t="s">
        <v>54</v>
      </c>
      <c r="E1018" s="84" t="s">
        <v>696</v>
      </c>
      <c r="F1018" s="84" t="s">
        <v>33</v>
      </c>
      <c r="G1018" s="87">
        <v>18082205.800000001</v>
      </c>
      <c r="H1018" s="87">
        <f>17537287.4</f>
        <v>17537287.399999999</v>
      </c>
      <c r="I1018" s="87">
        <v>17900152.309999999</v>
      </c>
      <c r="J1018" s="177"/>
    </row>
    <row r="1019" spans="1:18" s="32" customFormat="1" ht="17.25" hidden="1" customHeight="1">
      <c r="A1019" s="277" t="s">
        <v>361</v>
      </c>
      <c r="B1019" s="84" t="s">
        <v>94</v>
      </c>
      <c r="C1019" s="156" t="s">
        <v>72</v>
      </c>
      <c r="D1019" s="156"/>
      <c r="E1019" s="156"/>
      <c r="F1019" s="156"/>
      <c r="G1019" s="157">
        <f>G1035+G1020</f>
        <v>0</v>
      </c>
      <c r="H1019" s="157">
        <f>H1035+H1020</f>
        <v>0</v>
      </c>
      <c r="I1019" s="157">
        <f>I1035+I1020</f>
        <v>0</v>
      </c>
      <c r="J1019" s="196"/>
      <c r="K1019" s="203"/>
      <c r="L1019" s="203"/>
      <c r="M1019" s="203"/>
      <c r="N1019" s="203"/>
      <c r="O1019" s="203"/>
      <c r="P1019" s="203"/>
      <c r="Q1019" s="203"/>
      <c r="R1019" s="203"/>
    </row>
    <row r="1020" spans="1:18" s="32" customFormat="1" ht="17.25" hidden="1" customHeight="1">
      <c r="A1020" s="278" t="s">
        <v>496</v>
      </c>
      <c r="B1020" s="84" t="s">
        <v>94</v>
      </c>
      <c r="C1020" s="84" t="s">
        <v>72</v>
      </c>
      <c r="D1020" s="84" t="s">
        <v>19</v>
      </c>
      <c r="E1020" s="156"/>
      <c r="F1020" s="156"/>
      <c r="G1020" s="157">
        <f>G1021+G1031</f>
        <v>0</v>
      </c>
      <c r="H1020" s="157">
        <f>H1021+H1031</f>
        <v>0</v>
      </c>
      <c r="I1020" s="157">
        <f>I1021+I1031</f>
        <v>0</v>
      </c>
      <c r="J1020" s="196"/>
      <c r="K1020" s="203"/>
      <c r="L1020" s="203"/>
      <c r="M1020" s="203"/>
      <c r="N1020" s="203"/>
      <c r="O1020" s="203"/>
      <c r="P1020" s="203"/>
      <c r="Q1020" s="203"/>
      <c r="R1020" s="203"/>
    </row>
    <row r="1021" spans="1:18" ht="27.75" hidden="1" customHeight="1">
      <c r="A1021" s="139" t="s">
        <v>485</v>
      </c>
      <c r="B1021" s="84" t="s">
        <v>94</v>
      </c>
      <c r="C1021" s="84" t="s">
        <v>72</v>
      </c>
      <c r="D1021" s="84" t="s">
        <v>19</v>
      </c>
      <c r="E1021" s="84" t="s">
        <v>195</v>
      </c>
      <c r="F1021" s="84"/>
      <c r="G1021" s="87">
        <f>G1023+G1026+G1028</f>
        <v>0</v>
      </c>
      <c r="H1021" s="87">
        <f>H1023+H1026+H1028</f>
        <v>0</v>
      </c>
      <c r="I1021" s="87">
        <f>I1023+I1026+I1028</f>
        <v>0</v>
      </c>
      <c r="J1021" s="177"/>
    </row>
    <row r="1022" spans="1:18" ht="19.5" hidden="1" customHeight="1">
      <c r="A1022" s="82" t="s">
        <v>32</v>
      </c>
      <c r="B1022" s="84" t="s">
        <v>94</v>
      </c>
      <c r="C1022" s="84" t="s">
        <v>72</v>
      </c>
      <c r="D1022" s="84" t="s">
        <v>19</v>
      </c>
      <c r="E1022" s="84" t="s">
        <v>40</v>
      </c>
      <c r="F1022" s="84" t="s">
        <v>33</v>
      </c>
      <c r="G1022" s="87"/>
      <c r="H1022" s="87"/>
      <c r="I1022" s="87"/>
      <c r="J1022" s="177"/>
    </row>
    <row r="1023" spans="1:18" ht="39" hidden="1" customHeight="1">
      <c r="A1023" s="82" t="s">
        <v>112</v>
      </c>
      <c r="B1023" s="84" t="s">
        <v>94</v>
      </c>
      <c r="C1023" s="84" t="s">
        <v>72</v>
      </c>
      <c r="D1023" s="84" t="s">
        <v>19</v>
      </c>
      <c r="E1023" s="84" t="s">
        <v>196</v>
      </c>
      <c r="F1023" s="84"/>
      <c r="G1023" s="87">
        <f>G1024</f>
        <v>0</v>
      </c>
      <c r="H1023" s="87">
        <f t="shared" ref="H1023:I1023" si="247">H1024</f>
        <v>0</v>
      </c>
      <c r="I1023" s="87">
        <f t="shared" si="247"/>
        <v>0</v>
      </c>
      <c r="J1023" s="177"/>
    </row>
    <row r="1024" spans="1:18" ht="25.5" hidden="1">
      <c r="A1024" s="82" t="s">
        <v>30</v>
      </c>
      <c r="B1024" s="84" t="s">
        <v>94</v>
      </c>
      <c r="C1024" s="84" t="s">
        <v>72</v>
      </c>
      <c r="D1024" s="84" t="s">
        <v>19</v>
      </c>
      <c r="E1024" s="84" t="s">
        <v>196</v>
      </c>
      <c r="F1024" s="84" t="s">
        <v>31</v>
      </c>
      <c r="G1024" s="87">
        <f>G1025</f>
        <v>0</v>
      </c>
      <c r="H1024" s="87">
        <f>H1025</f>
        <v>0</v>
      </c>
      <c r="I1024" s="87">
        <f>I1025</f>
        <v>0</v>
      </c>
      <c r="J1024" s="177"/>
    </row>
    <row r="1025" spans="1:18" ht="19.5" hidden="1" customHeight="1">
      <c r="A1025" s="82" t="s">
        <v>32</v>
      </c>
      <c r="B1025" s="84" t="s">
        <v>94</v>
      </c>
      <c r="C1025" s="84" t="s">
        <v>72</v>
      </c>
      <c r="D1025" s="84" t="s">
        <v>19</v>
      </c>
      <c r="E1025" s="84" t="s">
        <v>196</v>
      </c>
      <c r="F1025" s="84" t="s">
        <v>33</v>
      </c>
      <c r="G1025" s="87"/>
      <c r="H1025" s="87"/>
      <c r="I1025" s="87"/>
      <c r="J1025" s="177"/>
    </row>
    <row r="1026" spans="1:18" s="32" customFormat="1" ht="25.5" hidden="1" customHeight="1">
      <c r="A1026" s="82" t="s">
        <v>30</v>
      </c>
      <c r="B1026" s="84" t="s">
        <v>94</v>
      </c>
      <c r="C1026" s="84" t="s">
        <v>72</v>
      </c>
      <c r="D1026" s="84" t="s">
        <v>19</v>
      </c>
      <c r="E1026" s="84" t="s">
        <v>547</v>
      </c>
      <c r="F1026" s="84" t="s">
        <v>31</v>
      </c>
      <c r="G1026" s="87">
        <f>G1027</f>
        <v>0</v>
      </c>
      <c r="H1026" s="87">
        <v>0</v>
      </c>
      <c r="I1026" s="87">
        <v>0</v>
      </c>
      <c r="J1026" s="177"/>
      <c r="K1026" s="203"/>
      <c r="L1026" s="203"/>
      <c r="M1026" s="203"/>
      <c r="N1026" s="203"/>
      <c r="O1026" s="203"/>
      <c r="P1026" s="203"/>
      <c r="Q1026" s="203"/>
      <c r="R1026" s="203"/>
    </row>
    <row r="1027" spans="1:18" s="32" customFormat="1" ht="17.25" hidden="1" customHeight="1">
      <c r="A1027" s="82" t="s">
        <v>32</v>
      </c>
      <c r="B1027" s="84" t="s">
        <v>94</v>
      </c>
      <c r="C1027" s="84" t="s">
        <v>72</v>
      </c>
      <c r="D1027" s="84" t="s">
        <v>19</v>
      </c>
      <c r="E1027" s="84" t="s">
        <v>547</v>
      </c>
      <c r="F1027" s="84" t="s">
        <v>33</v>
      </c>
      <c r="G1027" s="87"/>
      <c r="H1027" s="87">
        <v>0</v>
      </c>
      <c r="I1027" s="87">
        <v>0</v>
      </c>
      <c r="J1027" s="177"/>
      <c r="K1027" s="203"/>
      <c r="L1027" s="203"/>
      <c r="M1027" s="203"/>
      <c r="N1027" s="203"/>
      <c r="O1027" s="203"/>
      <c r="P1027" s="203"/>
      <c r="Q1027" s="203"/>
      <c r="R1027" s="203"/>
    </row>
    <row r="1028" spans="1:18" s="32" customFormat="1" ht="65.25" hidden="1" customHeight="1">
      <c r="A1028" s="82" t="s">
        <v>616</v>
      </c>
      <c r="B1028" s="84" t="s">
        <v>94</v>
      </c>
      <c r="C1028" s="84" t="s">
        <v>72</v>
      </c>
      <c r="D1028" s="84" t="s">
        <v>19</v>
      </c>
      <c r="E1028" s="84" t="s">
        <v>615</v>
      </c>
      <c r="F1028" s="84"/>
      <c r="G1028" s="87">
        <f>G1029</f>
        <v>0</v>
      </c>
      <c r="H1028" s="87">
        <f t="shared" ref="H1028:I1028" si="248">H1029</f>
        <v>0</v>
      </c>
      <c r="I1028" s="87">
        <f t="shared" si="248"/>
        <v>0</v>
      </c>
      <c r="J1028" s="177"/>
      <c r="K1028" s="203"/>
      <c r="L1028" s="203"/>
      <c r="M1028" s="203"/>
      <c r="N1028" s="203"/>
      <c r="O1028" s="203"/>
      <c r="P1028" s="203"/>
      <c r="Q1028" s="203"/>
      <c r="R1028" s="203"/>
    </row>
    <row r="1029" spans="1:18" s="32" customFormat="1" ht="25.5" hidden="1" customHeight="1">
      <c r="A1029" s="82" t="s">
        <v>30</v>
      </c>
      <c r="B1029" s="84" t="s">
        <v>94</v>
      </c>
      <c r="C1029" s="84" t="s">
        <v>72</v>
      </c>
      <c r="D1029" s="84" t="s">
        <v>19</v>
      </c>
      <c r="E1029" s="84" t="s">
        <v>615</v>
      </c>
      <c r="F1029" s="84" t="s">
        <v>31</v>
      </c>
      <c r="G1029" s="87">
        <f>G1030</f>
        <v>0</v>
      </c>
      <c r="H1029" s="87">
        <v>0</v>
      </c>
      <c r="I1029" s="87">
        <v>0</v>
      </c>
      <c r="J1029" s="177"/>
      <c r="K1029" s="203"/>
      <c r="L1029" s="203"/>
      <c r="M1029" s="203"/>
      <c r="N1029" s="203"/>
      <c r="O1029" s="203"/>
      <c r="P1029" s="203"/>
      <c r="Q1029" s="203"/>
      <c r="R1029" s="203"/>
    </row>
    <row r="1030" spans="1:18" s="32" customFormat="1" ht="17.25" hidden="1" customHeight="1">
      <c r="A1030" s="82" t="s">
        <v>32</v>
      </c>
      <c r="B1030" s="84" t="s">
        <v>94</v>
      </c>
      <c r="C1030" s="84" t="s">
        <v>72</v>
      </c>
      <c r="D1030" s="84" t="s">
        <v>19</v>
      </c>
      <c r="E1030" s="84" t="s">
        <v>615</v>
      </c>
      <c r="F1030" s="84" t="s">
        <v>33</v>
      </c>
      <c r="G1030" s="87"/>
      <c r="H1030" s="87">
        <v>0</v>
      </c>
      <c r="I1030" s="87">
        <v>0</v>
      </c>
      <c r="J1030" s="177"/>
      <c r="K1030" s="203"/>
      <c r="L1030" s="203"/>
      <c r="M1030" s="203"/>
      <c r="N1030" s="203"/>
      <c r="O1030" s="203"/>
      <c r="P1030" s="203"/>
      <c r="Q1030" s="203"/>
      <c r="R1030" s="203"/>
    </row>
    <row r="1031" spans="1:18" s="18" customFormat="1" ht="25.5" hidden="1">
      <c r="A1031" s="82" t="s">
        <v>475</v>
      </c>
      <c r="B1031" s="84" t="s">
        <v>94</v>
      </c>
      <c r="C1031" s="84" t="s">
        <v>72</v>
      </c>
      <c r="D1031" s="84" t="s">
        <v>19</v>
      </c>
      <c r="E1031" s="84" t="s">
        <v>263</v>
      </c>
      <c r="F1031" s="84"/>
      <c r="G1031" s="87">
        <f>G1032</f>
        <v>0</v>
      </c>
      <c r="H1031" s="87">
        <f t="shared" ref="H1031:I1033" si="249">H1032</f>
        <v>0</v>
      </c>
      <c r="I1031" s="87">
        <f t="shared" si="249"/>
        <v>0</v>
      </c>
      <c r="J1031" s="177"/>
      <c r="K1031" s="200"/>
      <c r="L1031" s="200"/>
      <c r="M1031" s="200"/>
      <c r="N1031" s="200"/>
      <c r="O1031" s="200"/>
      <c r="P1031" s="200"/>
      <c r="Q1031" s="200"/>
      <c r="R1031" s="200"/>
    </row>
    <row r="1032" spans="1:18" s="18" customFormat="1" ht="25.5" hidden="1">
      <c r="A1032" s="82" t="s">
        <v>474</v>
      </c>
      <c r="B1032" s="84" t="s">
        <v>94</v>
      </c>
      <c r="C1032" s="84" t="s">
        <v>72</v>
      </c>
      <c r="D1032" s="84" t="s">
        <v>19</v>
      </c>
      <c r="E1032" s="84" t="s">
        <v>446</v>
      </c>
      <c r="F1032" s="84"/>
      <c r="G1032" s="87">
        <f>G1033</f>
        <v>0</v>
      </c>
      <c r="H1032" s="87">
        <f t="shared" si="249"/>
        <v>0</v>
      </c>
      <c r="I1032" s="87">
        <f t="shared" si="249"/>
        <v>0</v>
      </c>
      <c r="J1032" s="177"/>
      <c r="K1032" s="200"/>
      <c r="L1032" s="200"/>
      <c r="M1032" s="200"/>
      <c r="N1032" s="200"/>
      <c r="O1032" s="200"/>
      <c r="P1032" s="200"/>
      <c r="Q1032" s="200"/>
      <c r="R1032" s="200"/>
    </row>
    <row r="1033" spans="1:18" s="18" customFormat="1" ht="25.5" hidden="1">
      <c r="A1033" s="82" t="s">
        <v>96</v>
      </c>
      <c r="B1033" s="84" t="s">
        <v>94</v>
      </c>
      <c r="C1033" s="84" t="s">
        <v>72</v>
      </c>
      <c r="D1033" s="84" t="s">
        <v>19</v>
      </c>
      <c r="E1033" s="84" t="s">
        <v>446</v>
      </c>
      <c r="F1033" s="84" t="s">
        <v>349</v>
      </c>
      <c r="G1033" s="87">
        <f>G1034</f>
        <v>0</v>
      </c>
      <c r="H1033" s="87">
        <f t="shared" si="249"/>
        <v>0</v>
      </c>
      <c r="I1033" s="87">
        <f t="shared" si="249"/>
        <v>0</v>
      </c>
      <c r="J1033" s="177"/>
      <c r="K1033" s="200"/>
      <c r="L1033" s="200"/>
      <c r="M1033" s="200"/>
      <c r="N1033" s="200"/>
      <c r="O1033" s="200"/>
      <c r="P1033" s="200"/>
      <c r="Q1033" s="200"/>
      <c r="R1033" s="200"/>
    </row>
    <row r="1034" spans="1:18" s="18" customFormat="1" ht="89.25" hidden="1">
      <c r="A1034" s="133" t="s">
        <v>421</v>
      </c>
      <c r="B1034" s="84" t="s">
        <v>94</v>
      </c>
      <c r="C1034" s="84" t="s">
        <v>72</v>
      </c>
      <c r="D1034" s="84" t="s">
        <v>19</v>
      </c>
      <c r="E1034" s="84" t="s">
        <v>446</v>
      </c>
      <c r="F1034" s="84" t="s">
        <v>420</v>
      </c>
      <c r="G1034" s="87">
        <f>50000-50000</f>
        <v>0</v>
      </c>
      <c r="H1034" s="87"/>
      <c r="I1034" s="87"/>
      <c r="J1034" s="177"/>
      <c r="K1034" s="200"/>
      <c r="L1034" s="200"/>
      <c r="M1034" s="200"/>
      <c r="N1034" s="200"/>
      <c r="O1034" s="200"/>
      <c r="P1034" s="200"/>
      <c r="Q1034" s="200"/>
      <c r="R1034" s="200"/>
    </row>
    <row r="1035" spans="1:18" s="33" customFormat="1" ht="15" hidden="1" customHeight="1">
      <c r="A1035" s="82" t="s">
        <v>71</v>
      </c>
      <c r="B1035" s="84" t="s">
        <v>94</v>
      </c>
      <c r="C1035" s="84" t="s">
        <v>72</v>
      </c>
      <c r="D1035" s="84" t="s">
        <v>28</v>
      </c>
      <c r="E1035" s="168"/>
      <c r="F1035" s="168"/>
      <c r="G1035" s="93">
        <f>G1036</f>
        <v>0</v>
      </c>
      <c r="H1035" s="93">
        <f>H1036+H583</f>
        <v>0</v>
      </c>
      <c r="I1035" s="93">
        <f>I1036+I583</f>
        <v>0</v>
      </c>
      <c r="J1035" s="195"/>
      <c r="K1035" s="211"/>
      <c r="L1035" s="211"/>
      <c r="M1035" s="211"/>
      <c r="N1035" s="211"/>
      <c r="O1035" s="211"/>
      <c r="P1035" s="211"/>
      <c r="Q1035" s="211"/>
      <c r="R1035" s="211"/>
    </row>
    <row r="1036" spans="1:18" s="28" customFormat="1" ht="28.5" hidden="1" customHeight="1">
      <c r="A1036" s="139" t="s">
        <v>485</v>
      </c>
      <c r="B1036" s="84" t="s">
        <v>94</v>
      </c>
      <c r="C1036" s="84" t="s">
        <v>72</v>
      </c>
      <c r="D1036" s="84" t="s">
        <v>28</v>
      </c>
      <c r="E1036" s="84" t="s">
        <v>195</v>
      </c>
      <c r="F1036" s="84"/>
      <c r="G1036" s="87">
        <f>G1037+G1040+G1043</f>
        <v>0</v>
      </c>
      <c r="H1036" s="87">
        <f t="shared" ref="H1036:I1036" si="250">H1037+H1040+H1043</f>
        <v>0</v>
      </c>
      <c r="I1036" s="87">
        <f t="shared" si="250"/>
        <v>0</v>
      </c>
      <c r="J1036" s="177"/>
      <c r="K1036" s="204"/>
      <c r="L1036" s="204"/>
      <c r="M1036" s="204"/>
      <c r="N1036" s="204"/>
      <c r="O1036" s="204"/>
      <c r="P1036" s="204"/>
      <c r="Q1036" s="204"/>
      <c r="R1036" s="204"/>
    </row>
    <row r="1037" spans="1:18" s="28" customFormat="1" ht="27.75" hidden="1" customHeight="1">
      <c r="A1037" s="139" t="s">
        <v>73</v>
      </c>
      <c r="B1037" s="84" t="s">
        <v>94</v>
      </c>
      <c r="C1037" s="84" t="s">
        <v>72</v>
      </c>
      <c r="D1037" s="84" t="s">
        <v>28</v>
      </c>
      <c r="E1037" s="84" t="s">
        <v>206</v>
      </c>
      <c r="F1037" s="84"/>
      <c r="G1037" s="87">
        <f>G1038</f>
        <v>0</v>
      </c>
      <c r="H1037" s="87">
        <f t="shared" ref="H1037:I1037" si="251">H1038</f>
        <v>0</v>
      </c>
      <c r="I1037" s="87">
        <f t="shared" si="251"/>
        <v>0</v>
      </c>
      <c r="J1037" s="177"/>
      <c r="K1037" s="204"/>
      <c r="L1037" s="204"/>
      <c r="M1037" s="204"/>
      <c r="N1037" s="204"/>
      <c r="O1037" s="204"/>
      <c r="P1037" s="204"/>
      <c r="Q1037" s="204"/>
      <c r="R1037" s="204"/>
    </row>
    <row r="1038" spans="1:18" s="32" customFormat="1" ht="28.5" hidden="1" customHeight="1">
      <c r="A1038" s="82" t="s">
        <v>36</v>
      </c>
      <c r="B1038" s="84" t="s">
        <v>94</v>
      </c>
      <c r="C1038" s="84" t="s">
        <v>72</v>
      </c>
      <c r="D1038" s="84" t="s">
        <v>28</v>
      </c>
      <c r="E1038" s="84" t="s">
        <v>206</v>
      </c>
      <c r="F1038" s="84" t="s">
        <v>37</v>
      </c>
      <c r="G1038" s="87">
        <f>G1039</f>
        <v>0</v>
      </c>
      <c r="H1038" s="87">
        <f>H1039</f>
        <v>0</v>
      </c>
      <c r="I1038" s="87">
        <f>I1039</f>
        <v>0</v>
      </c>
      <c r="J1038" s="177"/>
      <c r="K1038" s="203"/>
      <c r="L1038" s="203"/>
      <c r="M1038" s="203"/>
      <c r="N1038" s="203"/>
      <c r="O1038" s="203"/>
      <c r="P1038" s="203"/>
      <c r="Q1038" s="203"/>
      <c r="R1038" s="203"/>
    </row>
    <row r="1039" spans="1:18" s="32" customFormat="1" hidden="1">
      <c r="A1039" s="82"/>
      <c r="B1039" s="84" t="s">
        <v>94</v>
      </c>
      <c r="C1039" s="84"/>
      <c r="D1039" s="84"/>
      <c r="E1039" s="84"/>
      <c r="F1039" s="84"/>
      <c r="G1039" s="87"/>
      <c r="H1039" s="87"/>
      <c r="I1039" s="87"/>
      <c r="J1039" s="177"/>
      <c r="K1039" s="205"/>
      <c r="L1039" s="203"/>
      <c r="M1039" s="203"/>
      <c r="N1039" s="203"/>
      <c r="O1039" s="203"/>
      <c r="P1039" s="203"/>
      <c r="Q1039" s="203"/>
      <c r="R1039" s="203"/>
    </row>
    <row r="1040" spans="1:18" s="28" customFormat="1" ht="51" hidden="1" customHeight="1">
      <c r="A1040" s="139" t="s">
        <v>850</v>
      </c>
      <c r="B1040" s="84" t="s">
        <v>94</v>
      </c>
      <c r="C1040" s="84" t="s">
        <v>72</v>
      </c>
      <c r="D1040" s="84" t="s">
        <v>28</v>
      </c>
      <c r="E1040" s="84" t="s">
        <v>849</v>
      </c>
      <c r="F1040" s="84"/>
      <c r="G1040" s="87">
        <f>G1041</f>
        <v>0</v>
      </c>
      <c r="H1040" s="87">
        <f t="shared" ref="H1040:I1040" si="252">H1041</f>
        <v>0</v>
      </c>
      <c r="I1040" s="87">
        <f t="shared" si="252"/>
        <v>0</v>
      </c>
      <c r="J1040" s="177"/>
      <c r="K1040" s="204"/>
      <c r="L1040" s="204"/>
      <c r="M1040" s="204"/>
      <c r="N1040" s="204"/>
      <c r="O1040" s="204"/>
      <c r="P1040" s="204"/>
      <c r="Q1040" s="204"/>
      <c r="R1040" s="204"/>
    </row>
    <row r="1041" spans="1:18" s="32" customFormat="1" ht="28.5" hidden="1" customHeight="1">
      <c r="A1041" s="82" t="s">
        <v>36</v>
      </c>
      <c r="B1041" s="84" t="s">
        <v>94</v>
      </c>
      <c r="C1041" s="84" t="s">
        <v>72</v>
      </c>
      <c r="D1041" s="84" t="s">
        <v>28</v>
      </c>
      <c r="E1041" s="84" t="s">
        <v>849</v>
      </c>
      <c r="F1041" s="84" t="s">
        <v>37</v>
      </c>
      <c r="G1041" s="87">
        <f>G1042</f>
        <v>0</v>
      </c>
      <c r="H1041" s="87">
        <f>H1042</f>
        <v>0</v>
      </c>
      <c r="I1041" s="87">
        <f>I1042</f>
        <v>0</v>
      </c>
      <c r="J1041" s="177"/>
      <c r="K1041" s="203"/>
      <c r="L1041" s="203"/>
      <c r="M1041" s="203"/>
      <c r="N1041" s="203"/>
      <c r="O1041" s="203"/>
      <c r="P1041" s="203"/>
      <c r="Q1041" s="203"/>
      <c r="R1041" s="203"/>
    </row>
    <row r="1042" spans="1:18" s="32" customFormat="1" ht="25.5" hidden="1">
      <c r="A1042" s="82" t="s">
        <v>38</v>
      </c>
      <c r="B1042" s="84" t="s">
        <v>94</v>
      </c>
      <c r="C1042" s="84" t="s">
        <v>72</v>
      </c>
      <c r="D1042" s="84" t="s">
        <v>28</v>
      </c>
      <c r="E1042" s="84" t="s">
        <v>849</v>
      </c>
      <c r="F1042" s="84" t="s">
        <v>39</v>
      </c>
      <c r="G1042" s="87"/>
      <c r="H1042" s="87">
        <v>0</v>
      </c>
      <c r="I1042" s="87">
        <v>0</v>
      </c>
      <c r="J1042" s="177"/>
      <c r="K1042" s="205"/>
      <c r="L1042" s="203"/>
      <c r="M1042" s="203"/>
      <c r="N1042" s="203"/>
      <c r="O1042" s="203"/>
      <c r="P1042" s="203"/>
      <c r="Q1042" s="203"/>
      <c r="R1042" s="203"/>
    </row>
    <row r="1043" spans="1:18" s="28" customFormat="1" ht="51" hidden="1" customHeight="1">
      <c r="A1043" s="139" t="s">
        <v>852</v>
      </c>
      <c r="B1043" s="84" t="s">
        <v>94</v>
      </c>
      <c r="C1043" s="84" t="s">
        <v>72</v>
      </c>
      <c r="D1043" s="84" t="s">
        <v>28</v>
      </c>
      <c r="E1043" s="84" t="s">
        <v>851</v>
      </c>
      <c r="F1043" s="84"/>
      <c r="G1043" s="87">
        <f>G1044</f>
        <v>0</v>
      </c>
      <c r="H1043" s="87">
        <f t="shared" ref="H1043:I1043" si="253">H1044</f>
        <v>0</v>
      </c>
      <c r="I1043" s="87">
        <f t="shared" si="253"/>
        <v>0</v>
      </c>
      <c r="J1043" s="177"/>
      <c r="K1043" s="204"/>
      <c r="L1043" s="204"/>
      <c r="M1043" s="204"/>
      <c r="N1043" s="204"/>
      <c r="O1043" s="204"/>
      <c r="P1043" s="204"/>
      <c r="Q1043" s="204"/>
      <c r="R1043" s="204"/>
    </row>
    <row r="1044" spans="1:18" s="32" customFormat="1" ht="28.5" hidden="1" customHeight="1">
      <c r="A1044" s="82" t="s">
        <v>36</v>
      </c>
      <c r="B1044" s="84" t="s">
        <v>94</v>
      </c>
      <c r="C1044" s="84" t="s">
        <v>72</v>
      </c>
      <c r="D1044" s="84" t="s">
        <v>28</v>
      </c>
      <c r="E1044" s="84" t="s">
        <v>851</v>
      </c>
      <c r="F1044" s="84" t="s">
        <v>37</v>
      </c>
      <c r="G1044" s="87">
        <f>G1045</f>
        <v>0</v>
      </c>
      <c r="H1044" s="87">
        <f>H1045</f>
        <v>0</v>
      </c>
      <c r="I1044" s="87">
        <f>I1045</f>
        <v>0</v>
      </c>
      <c r="J1044" s="177"/>
      <c r="K1044" s="203"/>
      <c r="L1044" s="203"/>
      <c r="M1044" s="203"/>
      <c r="N1044" s="203"/>
      <c r="O1044" s="203"/>
      <c r="P1044" s="203"/>
      <c r="Q1044" s="203"/>
      <c r="R1044" s="203"/>
    </row>
    <row r="1045" spans="1:18" s="32" customFormat="1" ht="25.5" hidden="1">
      <c r="A1045" s="82" t="s">
        <v>38</v>
      </c>
      <c r="B1045" s="84" t="s">
        <v>94</v>
      </c>
      <c r="C1045" s="84" t="s">
        <v>72</v>
      </c>
      <c r="D1045" s="84" t="s">
        <v>28</v>
      </c>
      <c r="E1045" s="84" t="s">
        <v>851</v>
      </c>
      <c r="F1045" s="84" t="s">
        <v>39</v>
      </c>
      <c r="G1045" s="87"/>
      <c r="H1045" s="87">
        <v>0</v>
      </c>
      <c r="I1045" s="87">
        <v>0</v>
      </c>
      <c r="J1045" s="177"/>
      <c r="K1045" s="205"/>
      <c r="L1045" s="203"/>
      <c r="M1045" s="203"/>
      <c r="N1045" s="203"/>
      <c r="O1045" s="203"/>
      <c r="P1045" s="203"/>
      <c r="Q1045" s="203"/>
      <c r="R1045" s="203"/>
    </row>
    <row r="1046" spans="1:18" s="124" customFormat="1">
      <c r="A1046" s="138" t="s">
        <v>74</v>
      </c>
      <c r="B1046" s="275"/>
      <c r="C1046" s="162"/>
      <c r="D1046" s="162"/>
      <c r="E1046" s="162"/>
      <c r="F1046" s="162"/>
      <c r="G1046" s="96">
        <f>G473+G997+G460+G453+G468+G1019</f>
        <v>1194521385.0700002</v>
      </c>
      <c r="H1046" s="96">
        <f>H473+H997+H460+H453+H468+H1019</f>
        <v>1063973719.9299999</v>
      </c>
      <c r="I1046" s="96">
        <f>I473+I997+I460+I453+I468+I1019</f>
        <v>1054591720.03</v>
      </c>
      <c r="J1046" s="192"/>
      <c r="K1046" s="208"/>
      <c r="L1046" s="208"/>
      <c r="M1046" s="207"/>
      <c r="N1046" s="207"/>
      <c r="O1046" s="207"/>
      <c r="P1046" s="207"/>
      <c r="Q1046" s="207"/>
      <c r="R1046" s="207"/>
    </row>
    <row r="1047" spans="1:18" s="90" customFormat="1" ht="36" customHeight="1">
      <c r="A1047" s="279" t="s">
        <v>989</v>
      </c>
      <c r="B1047" s="280">
        <v>792</v>
      </c>
      <c r="C1047" s="280"/>
      <c r="D1047" s="280"/>
      <c r="E1047" s="280"/>
      <c r="F1047" s="280"/>
      <c r="G1047" s="282"/>
      <c r="H1047" s="282"/>
      <c r="I1047" s="282"/>
      <c r="J1047" s="197"/>
      <c r="K1047" s="209"/>
      <c r="L1047" s="209"/>
      <c r="M1047" s="186"/>
      <c r="N1047" s="186"/>
      <c r="O1047" s="186"/>
      <c r="P1047" s="186"/>
      <c r="Q1047" s="186"/>
      <c r="R1047" s="186"/>
    </row>
    <row r="1048" spans="1:18">
      <c r="A1048" s="277" t="s">
        <v>18</v>
      </c>
      <c r="B1048" s="275">
        <v>792</v>
      </c>
      <c r="C1048" s="272" t="s">
        <v>19</v>
      </c>
      <c r="D1048" s="272"/>
      <c r="E1048" s="272"/>
      <c r="F1048" s="272"/>
      <c r="G1048" s="269">
        <f>G1049+G1056+G1066</f>
        <v>16770454.460000001</v>
      </c>
      <c r="H1048" s="269">
        <f>H1049+H1056+H1066</f>
        <v>15807252.76</v>
      </c>
      <c r="I1048" s="269">
        <f>I1049+I1056+I1066</f>
        <v>16600065</v>
      </c>
      <c r="J1048" s="191"/>
    </row>
    <row r="1049" spans="1:18" ht="51">
      <c r="A1049" s="82" t="s">
        <v>75</v>
      </c>
      <c r="B1049" s="149">
        <v>792</v>
      </c>
      <c r="C1049" s="84" t="s">
        <v>19</v>
      </c>
      <c r="D1049" s="84" t="s">
        <v>54</v>
      </c>
      <c r="E1049" s="84"/>
      <c r="F1049" s="84"/>
      <c r="G1049" s="87">
        <f>G1050</f>
        <v>1330000</v>
      </c>
      <c r="H1049" s="87">
        <f t="shared" ref="H1049:I1050" si="254">H1050</f>
        <v>1330000</v>
      </c>
      <c r="I1049" s="87">
        <f t="shared" si="254"/>
        <v>1330000</v>
      </c>
      <c r="J1049" s="177"/>
      <c r="K1049" s="209"/>
    </row>
    <row r="1050" spans="1:18" s="28" customFormat="1" ht="39.75" customHeight="1">
      <c r="A1050" s="82" t="s">
        <v>443</v>
      </c>
      <c r="B1050" s="149">
        <v>792</v>
      </c>
      <c r="C1050" s="84" t="s">
        <v>19</v>
      </c>
      <c r="D1050" s="84" t="s">
        <v>54</v>
      </c>
      <c r="E1050" s="84" t="s">
        <v>230</v>
      </c>
      <c r="F1050" s="168"/>
      <c r="G1050" s="87">
        <f>G1051</f>
        <v>1330000</v>
      </c>
      <c r="H1050" s="87">
        <f t="shared" si="254"/>
        <v>1330000</v>
      </c>
      <c r="I1050" s="87">
        <f t="shared" si="254"/>
        <v>1330000</v>
      </c>
      <c r="J1050" s="177"/>
      <c r="K1050" s="210"/>
      <c r="L1050" s="204"/>
      <c r="M1050" s="204"/>
      <c r="N1050" s="204"/>
      <c r="O1050" s="204"/>
      <c r="P1050" s="204"/>
      <c r="Q1050" s="204"/>
      <c r="R1050" s="204"/>
    </row>
    <row r="1051" spans="1:18" s="28" customFormat="1" ht="38.25">
      <c r="A1051" s="82" t="s">
        <v>155</v>
      </c>
      <c r="B1051" s="149">
        <v>792</v>
      </c>
      <c r="C1051" s="84" t="s">
        <v>19</v>
      </c>
      <c r="D1051" s="84" t="s">
        <v>54</v>
      </c>
      <c r="E1051" s="84" t="s">
        <v>681</v>
      </c>
      <c r="F1051" s="168"/>
      <c r="G1051" s="87">
        <f>G1053</f>
        <v>1330000</v>
      </c>
      <c r="H1051" s="87">
        <f t="shared" ref="H1051:I1051" si="255">H1053</f>
        <v>1330000</v>
      </c>
      <c r="I1051" s="87">
        <f t="shared" si="255"/>
        <v>1330000</v>
      </c>
      <c r="J1051" s="177"/>
      <c r="K1051" s="210"/>
      <c r="L1051" s="210"/>
      <c r="M1051" s="204"/>
      <c r="N1051" s="204"/>
      <c r="O1051" s="204"/>
      <c r="P1051" s="204"/>
      <c r="Q1051" s="204"/>
      <c r="R1051" s="204"/>
    </row>
    <row r="1052" spans="1:18" hidden="1">
      <c r="A1052" s="82"/>
      <c r="B1052" s="149"/>
      <c r="C1052" s="84"/>
      <c r="D1052" s="84"/>
      <c r="E1052" s="84"/>
      <c r="F1052" s="84"/>
      <c r="G1052" s="87"/>
      <c r="H1052" s="87"/>
      <c r="I1052" s="87"/>
      <c r="J1052" s="177"/>
    </row>
    <row r="1053" spans="1:18" s="3" customFormat="1" ht="73.5" customHeight="1">
      <c r="A1053" s="82" t="s">
        <v>683</v>
      </c>
      <c r="B1053" s="149">
        <v>792</v>
      </c>
      <c r="C1053" s="84" t="s">
        <v>19</v>
      </c>
      <c r="D1053" s="84" t="s">
        <v>54</v>
      </c>
      <c r="E1053" s="84" t="s">
        <v>681</v>
      </c>
      <c r="F1053" s="84"/>
      <c r="G1053" s="87">
        <f>G1055</f>
        <v>1330000</v>
      </c>
      <c r="H1053" s="87">
        <f t="shared" ref="H1053:I1053" si="256">H1055</f>
        <v>1330000</v>
      </c>
      <c r="I1053" s="87">
        <f t="shared" si="256"/>
        <v>1330000</v>
      </c>
      <c r="J1053" s="177"/>
      <c r="K1053" s="199"/>
      <c r="L1053" s="199"/>
      <c r="M1053" s="199"/>
      <c r="N1053" s="199"/>
      <c r="O1053" s="199"/>
      <c r="P1053" s="199"/>
      <c r="Q1053" s="199"/>
      <c r="R1053" s="199"/>
    </row>
    <row r="1054" spans="1:18" s="3" customFormat="1">
      <c r="A1054" s="82" t="s">
        <v>156</v>
      </c>
      <c r="B1054" s="149">
        <v>792</v>
      </c>
      <c r="C1054" s="84" t="s">
        <v>19</v>
      </c>
      <c r="D1054" s="84" t="s">
        <v>54</v>
      </c>
      <c r="E1054" s="84" t="s">
        <v>681</v>
      </c>
      <c r="F1054" s="84" t="s">
        <v>157</v>
      </c>
      <c r="G1054" s="87">
        <f t="shared" ref="G1054:I1054" si="257">G1055</f>
        <v>1330000</v>
      </c>
      <c r="H1054" s="87">
        <f t="shared" si="257"/>
        <v>1330000</v>
      </c>
      <c r="I1054" s="87">
        <f t="shared" si="257"/>
        <v>1330000</v>
      </c>
      <c r="J1054" s="177"/>
      <c r="K1054" s="220"/>
      <c r="L1054" s="199"/>
      <c r="M1054" s="199"/>
      <c r="N1054" s="199"/>
      <c r="O1054" s="199"/>
      <c r="P1054" s="199"/>
      <c r="Q1054" s="199"/>
      <c r="R1054" s="199"/>
    </row>
    <row r="1055" spans="1:18">
      <c r="A1055" s="82" t="s">
        <v>158</v>
      </c>
      <c r="B1055" s="149">
        <v>792</v>
      </c>
      <c r="C1055" s="84" t="s">
        <v>19</v>
      </c>
      <c r="D1055" s="84" t="s">
        <v>54</v>
      </c>
      <c r="E1055" s="84" t="s">
        <v>681</v>
      </c>
      <c r="F1055" s="84" t="s">
        <v>159</v>
      </c>
      <c r="G1055" s="87">
        <v>1330000</v>
      </c>
      <c r="H1055" s="87">
        <v>1330000</v>
      </c>
      <c r="I1055" s="87">
        <v>1330000</v>
      </c>
      <c r="J1055" s="177"/>
    </row>
    <row r="1056" spans="1:18" ht="38.25">
      <c r="A1056" s="82" t="s">
        <v>160</v>
      </c>
      <c r="B1056" s="149">
        <v>792</v>
      </c>
      <c r="C1056" s="84" t="s">
        <v>19</v>
      </c>
      <c r="D1056" s="84" t="s">
        <v>161</v>
      </c>
      <c r="E1056" s="84"/>
      <c r="F1056" s="84"/>
      <c r="G1056" s="87">
        <f t="shared" ref="G1056:I1058" si="258">G1057</f>
        <v>11937631</v>
      </c>
      <c r="H1056" s="87">
        <f t="shared" si="258"/>
        <v>12101328</v>
      </c>
      <c r="I1056" s="87">
        <f t="shared" si="258"/>
        <v>12270065</v>
      </c>
      <c r="J1056" s="177"/>
      <c r="K1056" s="209"/>
    </row>
    <row r="1057" spans="1:18" s="33" customFormat="1" ht="31.5" customHeight="1">
      <c r="A1057" s="82" t="s">
        <v>443</v>
      </c>
      <c r="B1057" s="149">
        <v>792</v>
      </c>
      <c r="C1057" s="84" t="s">
        <v>19</v>
      </c>
      <c r="D1057" s="84" t="s">
        <v>161</v>
      </c>
      <c r="E1057" s="84" t="s">
        <v>230</v>
      </c>
      <c r="F1057" s="168"/>
      <c r="G1057" s="87">
        <f t="shared" si="258"/>
        <v>11937631</v>
      </c>
      <c r="H1057" s="87">
        <f t="shared" si="258"/>
        <v>12101328</v>
      </c>
      <c r="I1057" s="87">
        <f t="shared" si="258"/>
        <v>12270065</v>
      </c>
      <c r="J1057" s="177"/>
      <c r="K1057" s="221"/>
      <c r="L1057" s="211"/>
      <c r="M1057" s="211"/>
      <c r="N1057" s="211"/>
      <c r="O1057" s="211"/>
      <c r="P1057" s="211"/>
      <c r="Q1057" s="211"/>
      <c r="R1057" s="211"/>
    </row>
    <row r="1058" spans="1:18" s="46" customFormat="1" ht="41.25" customHeight="1">
      <c r="A1058" s="82" t="s">
        <v>162</v>
      </c>
      <c r="B1058" s="149">
        <v>792</v>
      </c>
      <c r="C1058" s="84" t="s">
        <v>19</v>
      </c>
      <c r="D1058" s="84" t="s">
        <v>161</v>
      </c>
      <c r="E1058" s="84" t="s">
        <v>232</v>
      </c>
      <c r="F1058" s="84"/>
      <c r="G1058" s="87">
        <f t="shared" si="258"/>
        <v>11937631</v>
      </c>
      <c r="H1058" s="87">
        <f t="shared" si="258"/>
        <v>12101328</v>
      </c>
      <c r="I1058" s="87">
        <f t="shared" si="258"/>
        <v>12270065</v>
      </c>
      <c r="J1058" s="177"/>
      <c r="K1058" s="222"/>
      <c r="L1058" s="222"/>
      <c r="M1058" s="222"/>
      <c r="N1058" s="222"/>
      <c r="O1058" s="222"/>
      <c r="P1058" s="222"/>
      <c r="Q1058" s="222"/>
      <c r="R1058" s="222"/>
    </row>
    <row r="1059" spans="1:18" s="46" customFormat="1" ht="27.75" customHeight="1">
      <c r="A1059" s="82" t="s">
        <v>76</v>
      </c>
      <c r="B1059" s="149">
        <v>792</v>
      </c>
      <c r="C1059" s="84" t="s">
        <v>19</v>
      </c>
      <c r="D1059" s="84" t="s">
        <v>161</v>
      </c>
      <c r="E1059" s="84" t="s">
        <v>233</v>
      </c>
      <c r="F1059" s="84"/>
      <c r="G1059" s="87">
        <f>G1060+G1062+G1064</f>
        <v>11937631</v>
      </c>
      <c r="H1059" s="87">
        <f t="shared" ref="H1059:I1059" si="259">H1060+H1062+H1064</f>
        <v>12101328</v>
      </c>
      <c r="I1059" s="87">
        <f t="shared" si="259"/>
        <v>12270065</v>
      </c>
      <c r="J1059" s="177"/>
      <c r="K1059" s="222"/>
      <c r="L1059" s="222"/>
      <c r="M1059" s="222"/>
      <c r="N1059" s="222"/>
      <c r="O1059" s="222"/>
      <c r="P1059" s="222"/>
      <c r="Q1059" s="222"/>
      <c r="R1059" s="222"/>
    </row>
    <row r="1060" spans="1:18" s="46" customFormat="1" ht="51" customHeight="1">
      <c r="A1060" s="82" t="s">
        <v>55</v>
      </c>
      <c r="B1060" s="149">
        <v>792</v>
      </c>
      <c r="C1060" s="84" t="s">
        <v>19</v>
      </c>
      <c r="D1060" s="84" t="s">
        <v>161</v>
      </c>
      <c r="E1060" s="84" t="s">
        <v>233</v>
      </c>
      <c r="F1060" s="84" t="s">
        <v>58</v>
      </c>
      <c r="G1060" s="87">
        <f>G1061</f>
        <v>10759115</v>
      </c>
      <c r="H1060" s="87">
        <f>H1061</f>
        <v>10864936</v>
      </c>
      <c r="I1060" s="87">
        <f>I1061</f>
        <v>10971816</v>
      </c>
      <c r="J1060" s="177"/>
      <c r="K1060" s="222"/>
      <c r="L1060" s="222"/>
      <c r="M1060" s="222"/>
      <c r="N1060" s="222"/>
      <c r="O1060" s="222"/>
      <c r="P1060" s="222"/>
      <c r="Q1060" s="222"/>
      <c r="R1060" s="222"/>
    </row>
    <row r="1061" spans="1:18" s="46" customFormat="1" ht="25.5">
      <c r="A1061" s="82" t="s">
        <v>56</v>
      </c>
      <c r="B1061" s="149">
        <v>792</v>
      </c>
      <c r="C1061" s="84" t="s">
        <v>19</v>
      </c>
      <c r="D1061" s="84" t="s">
        <v>161</v>
      </c>
      <c r="E1061" s="84" t="s">
        <v>233</v>
      </c>
      <c r="F1061" s="84" t="s">
        <v>59</v>
      </c>
      <c r="G1061" s="87">
        <v>10759115</v>
      </c>
      <c r="H1061" s="87">
        <v>10864936</v>
      </c>
      <c r="I1061" s="87">
        <v>10971816</v>
      </c>
      <c r="J1061" s="177"/>
      <c r="K1061" s="222"/>
      <c r="L1061" s="222"/>
      <c r="M1061" s="222"/>
      <c r="N1061" s="222"/>
      <c r="O1061" s="222"/>
      <c r="P1061" s="222"/>
      <c r="Q1061" s="222"/>
      <c r="R1061" s="222"/>
    </row>
    <row r="1062" spans="1:18" s="46" customFormat="1" ht="25.5">
      <c r="A1062" s="82" t="s">
        <v>36</v>
      </c>
      <c r="B1062" s="149">
        <v>792</v>
      </c>
      <c r="C1062" s="84" t="s">
        <v>19</v>
      </c>
      <c r="D1062" s="84" t="s">
        <v>161</v>
      </c>
      <c r="E1062" s="84" t="s">
        <v>233</v>
      </c>
      <c r="F1062" s="84" t="s">
        <v>37</v>
      </c>
      <c r="G1062" s="87">
        <f>G1063</f>
        <v>1152516</v>
      </c>
      <c r="H1062" s="87">
        <f>H1063</f>
        <v>1209392</v>
      </c>
      <c r="I1062" s="87">
        <f>I1063</f>
        <v>1270249</v>
      </c>
      <c r="J1062" s="177"/>
      <c r="K1062" s="222"/>
      <c r="L1062" s="222"/>
      <c r="M1062" s="222"/>
      <c r="N1062" s="222"/>
      <c r="O1062" s="222"/>
      <c r="P1062" s="222"/>
      <c r="Q1062" s="222"/>
      <c r="R1062" s="222"/>
    </row>
    <row r="1063" spans="1:18" s="46" customFormat="1" ht="25.5">
      <c r="A1063" s="82" t="s">
        <v>38</v>
      </c>
      <c r="B1063" s="149">
        <v>792</v>
      </c>
      <c r="C1063" s="84" t="s">
        <v>19</v>
      </c>
      <c r="D1063" s="84" t="s">
        <v>161</v>
      </c>
      <c r="E1063" s="84" t="s">
        <v>233</v>
      </c>
      <c r="F1063" s="84" t="s">
        <v>39</v>
      </c>
      <c r="G1063" s="87">
        <v>1152516</v>
      </c>
      <c r="H1063" s="87">
        <v>1209392</v>
      </c>
      <c r="I1063" s="87">
        <v>1270249</v>
      </c>
      <c r="J1063" s="177"/>
      <c r="K1063" s="222"/>
      <c r="L1063" s="222"/>
      <c r="M1063" s="222"/>
      <c r="N1063" s="222"/>
      <c r="O1063" s="222"/>
      <c r="P1063" s="222"/>
      <c r="Q1063" s="222"/>
      <c r="R1063" s="222"/>
    </row>
    <row r="1064" spans="1:18" s="46" customFormat="1">
      <c r="A1064" s="136" t="s">
        <v>63</v>
      </c>
      <c r="B1064" s="149">
        <v>792</v>
      </c>
      <c r="C1064" s="84" t="s">
        <v>19</v>
      </c>
      <c r="D1064" s="84" t="s">
        <v>161</v>
      </c>
      <c r="E1064" s="84" t="s">
        <v>233</v>
      </c>
      <c r="F1064" s="84" t="s">
        <v>64</v>
      </c>
      <c r="G1064" s="87">
        <f>G1065</f>
        <v>26000</v>
      </c>
      <c r="H1064" s="87">
        <f>H1065</f>
        <v>27000</v>
      </c>
      <c r="I1064" s="87">
        <f>I1065</f>
        <v>28000</v>
      </c>
      <c r="J1064" s="177"/>
      <c r="K1064" s="222"/>
      <c r="L1064" s="222"/>
      <c r="M1064" s="222"/>
      <c r="N1064" s="222"/>
      <c r="O1064" s="222"/>
      <c r="P1064" s="222"/>
      <c r="Q1064" s="222"/>
      <c r="R1064" s="222"/>
    </row>
    <row r="1065" spans="1:18" s="46" customFormat="1">
      <c r="A1065" s="136" t="s">
        <v>144</v>
      </c>
      <c r="B1065" s="149">
        <v>792</v>
      </c>
      <c r="C1065" s="84" t="s">
        <v>19</v>
      </c>
      <c r="D1065" s="84" t="s">
        <v>161</v>
      </c>
      <c r="E1065" s="84" t="s">
        <v>233</v>
      </c>
      <c r="F1065" s="84" t="s">
        <v>67</v>
      </c>
      <c r="G1065" s="87">
        <v>26000</v>
      </c>
      <c r="H1065" s="87">
        <v>27000</v>
      </c>
      <c r="I1065" s="87">
        <v>28000</v>
      </c>
      <c r="J1065" s="177"/>
      <c r="K1065" s="222"/>
      <c r="L1065" s="222"/>
      <c r="M1065" s="222"/>
      <c r="N1065" s="222"/>
      <c r="O1065" s="222"/>
      <c r="P1065" s="222"/>
      <c r="Q1065" s="222"/>
      <c r="R1065" s="222"/>
    </row>
    <row r="1066" spans="1:18">
      <c r="A1066" s="137" t="s">
        <v>22</v>
      </c>
      <c r="B1066" s="149">
        <v>792</v>
      </c>
      <c r="C1066" s="84" t="s">
        <v>19</v>
      </c>
      <c r="D1066" s="84" t="s">
        <v>23</v>
      </c>
      <c r="E1066" s="84"/>
      <c r="F1066" s="84"/>
      <c r="G1066" s="87">
        <f>G1067</f>
        <v>3502823.4600000004</v>
      </c>
      <c r="H1066" s="87">
        <f t="shared" ref="H1066:I1066" si="260">H1067</f>
        <v>2375924.7599999998</v>
      </c>
      <c r="I1066" s="87">
        <f t="shared" si="260"/>
        <v>3000000</v>
      </c>
      <c r="J1066" s="177"/>
    </row>
    <row r="1067" spans="1:18" s="33" customFormat="1" ht="31.5" customHeight="1">
      <c r="A1067" s="82" t="s">
        <v>98</v>
      </c>
      <c r="B1067" s="149">
        <v>792</v>
      </c>
      <c r="C1067" s="84" t="s">
        <v>19</v>
      </c>
      <c r="D1067" s="84" t="s">
        <v>23</v>
      </c>
      <c r="E1067" s="149" t="s">
        <v>210</v>
      </c>
      <c r="F1067" s="84"/>
      <c r="G1067" s="87">
        <f>G1068</f>
        <v>3502823.4600000004</v>
      </c>
      <c r="H1067" s="87">
        <f t="shared" ref="H1067:I1067" si="261">H1068</f>
        <v>2375924.7599999998</v>
      </c>
      <c r="I1067" s="87">
        <f t="shared" si="261"/>
        <v>3000000</v>
      </c>
      <c r="J1067" s="177"/>
      <c r="K1067" s="211"/>
      <c r="L1067" s="211"/>
      <c r="M1067" s="211"/>
      <c r="N1067" s="211"/>
      <c r="O1067" s="211"/>
      <c r="P1067" s="211"/>
      <c r="Q1067" s="211"/>
      <c r="R1067" s="211"/>
    </row>
    <row r="1068" spans="1:18" ht="18.75" customHeight="1">
      <c r="A1068" s="82" t="s">
        <v>334</v>
      </c>
      <c r="B1068" s="149">
        <v>792</v>
      </c>
      <c r="C1068" s="84" t="s">
        <v>19</v>
      </c>
      <c r="D1068" s="84" t="s">
        <v>23</v>
      </c>
      <c r="E1068" s="84" t="s">
        <v>211</v>
      </c>
      <c r="F1068" s="84"/>
      <c r="G1068" s="87">
        <f>G1069</f>
        <v>3502823.4600000004</v>
      </c>
      <c r="H1068" s="87">
        <f t="shared" ref="H1068:I1068" si="262">H1069</f>
        <v>2375924.7599999998</v>
      </c>
      <c r="I1068" s="87">
        <f t="shared" si="262"/>
        <v>3000000</v>
      </c>
      <c r="J1068" s="177"/>
    </row>
    <row r="1069" spans="1:18" ht="18.75" customHeight="1">
      <c r="A1069" s="82" t="s">
        <v>63</v>
      </c>
      <c r="B1069" s="149">
        <v>792</v>
      </c>
      <c r="C1069" s="84" t="s">
        <v>19</v>
      </c>
      <c r="D1069" s="84" t="s">
        <v>23</v>
      </c>
      <c r="E1069" s="84" t="s">
        <v>211</v>
      </c>
      <c r="F1069" s="84" t="s">
        <v>64</v>
      </c>
      <c r="G1069" s="87">
        <f>G1070</f>
        <v>3502823.4600000004</v>
      </c>
      <c r="H1069" s="87">
        <f>H1070</f>
        <v>2375924.7599999998</v>
      </c>
      <c r="I1069" s="87">
        <f>I1070</f>
        <v>3000000</v>
      </c>
      <c r="J1069" s="177"/>
    </row>
    <row r="1070" spans="1:18" ht="18.75" customHeight="1">
      <c r="A1070" s="82" t="s">
        <v>329</v>
      </c>
      <c r="B1070" s="149">
        <v>792</v>
      </c>
      <c r="C1070" s="84" t="s">
        <v>19</v>
      </c>
      <c r="D1070" s="84" t="s">
        <v>23</v>
      </c>
      <c r="E1070" s="84" t="s">
        <v>211</v>
      </c>
      <c r="F1070" s="84" t="s">
        <v>328</v>
      </c>
      <c r="G1070" s="87">
        <f>5386696.78-1500000-383873.32</f>
        <v>3502823.4600000004</v>
      </c>
      <c r="H1070" s="87">
        <f>3000000-624075.24</f>
        <v>2375924.7599999998</v>
      </c>
      <c r="I1070" s="87">
        <f>3000000</f>
        <v>3000000</v>
      </c>
      <c r="J1070" s="177"/>
    </row>
    <row r="1071" spans="1:18">
      <c r="A1071" s="138" t="s">
        <v>165</v>
      </c>
      <c r="B1071" s="275">
        <v>792</v>
      </c>
      <c r="C1071" s="162" t="s">
        <v>28</v>
      </c>
      <c r="D1071" s="162"/>
      <c r="E1071" s="162"/>
      <c r="F1071" s="162"/>
      <c r="G1071" s="96">
        <f t="shared" ref="G1071:I1072" si="263">G1072</f>
        <v>3750613.11</v>
      </c>
      <c r="H1071" s="96">
        <f t="shared" si="263"/>
        <v>3663447.84</v>
      </c>
      <c r="I1071" s="96">
        <f t="shared" si="263"/>
        <v>3793072.21</v>
      </c>
      <c r="J1071" s="192"/>
    </row>
    <row r="1072" spans="1:18">
      <c r="A1072" s="137" t="s">
        <v>166</v>
      </c>
      <c r="B1072" s="149">
        <v>792</v>
      </c>
      <c r="C1072" s="84" t="s">
        <v>28</v>
      </c>
      <c r="D1072" s="84" t="s">
        <v>70</v>
      </c>
      <c r="E1072" s="84"/>
      <c r="F1072" s="84"/>
      <c r="G1072" s="87">
        <f t="shared" si="263"/>
        <v>3750613.11</v>
      </c>
      <c r="H1072" s="87">
        <f t="shared" si="263"/>
        <v>3663447.84</v>
      </c>
      <c r="I1072" s="87">
        <f t="shared" si="263"/>
        <v>3793072.21</v>
      </c>
      <c r="J1072" s="177"/>
    </row>
    <row r="1073" spans="1:18" s="28" customFormat="1" ht="38.25">
      <c r="A1073" s="82" t="s">
        <v>443</v>
      </c>
      <c r="B1073" s="149">
        <v>792</v>
      </c>
      <c r="C1073" s="84" t="s">
        <v>28</v>
      </c>
      <c r="D1073" s="84" t="s">
        <v>70</v>
      </c>
      <c r="E1073" s="84" t="s">
        <v>230</v>
      </c>
      <c r="F1073" s="168"/>
      <c r="G1073" s="87">
        <f>G1075</f>
        <v>3750613.11</v>
      </c>
      <c r="H1073" s="87">
        <f>H1075</f>
        <v>3663447.84</v>
      </c>
      <c r="I1073" s="87">
        <f>I1075</f>
        <v>3793072.21</v>
      </c>
      <c r="J1073" s="177"/>
      <c r="K1073" s="204"/>
      <c r="L1073" s="204"/>
      <c r="M1073" s="204"/>
      <c r="N1073" s="204"/>
      <c r="O1073" s="204"/>
      <c r="P1073" s="204"/>
      <c r="Q1073" s="204"/>
      <c r="R1073" s="204"/>
    </row>
    <row r="1074" spans="1:18" s="46" customFormat="1" ht="41.25" customHeight="1">
      <c r="A1074" s="82" t="s">
        <v>155</v>
      </c>
      <c r="B1074" s="149">
        <v>792</v>
      </c>
      <c r="C1074" s="84" t="s">
        <v>28</v>
      </c>
      <c r="D1074" s="84" t="s">
        <v>70</v>
      </c>
      <c r="E1074" s="84" t="s">
        <v>231</v>
      </c>
      <c r="F1074" s="84"/>
      <c r="G1074" s="87">
        <f t="shared" ref="G1074" si="264">G1075</f>
        <v>3750613.11</v>
      </c>
      <c r="H1074" s="87">
        <f t="shared" ref="H1074" si="265">H1075</f>
        <v>3663447.84</v>
      </c>
      <c r="I1074" s="87">
        <f t="shared" ref="I1074" si="266">I1075</f>
        <v>3793072.21</v>
      </c>
      <c r="J1074" s="177"/>
      <c r="K1074" s="222"/>
      <c r="L1074" s="222"/>
      <c r="M1074" s="222"/>
      <c r="N1074" s="222"/>
      <c r="O1074" s="222"/>
      <c r="P1074" s="222"/>
      <c r="Q1074" s="222"/>
      <c r="R1074" s="222"/>
    </row>
    <row r="1075" spans="1:18" s="28" customFormat="1" ht="25.5">
      <c r="A1075" s="82" t="s">
        <v>167</v>
      </c>
      <c r="B1075" s="149">
        <v>792</v>
      </c>
      <c r="C1075" s="84" t="s">
        <v>28</v>
      </c>
      <c r="D1075" s="84" t="s">
        <v>70</v>
      </c>
      <c r="E1075" s="84" t="s">
        <v>386</v>
      </c>
      <c r="F1075" s="168"/>
      <c r="G1075" s="87">
        <f t="shared" ref="G1075:I1076" si="267">G1076</f>
        <v>3750613.11</v>
      </c>
      <c r="H1075" s="87">
        <f t="shared" si="267"/>
        <v>3663447.84</v>
      </c>
      <c r="I1075" s="87">
        <f t="shared" si="267"/>
        <v>3793072.21</v>
      </c>
      <c r="J1075" s="177"/>
      <c r="K1075" s="204"/>
      <c r="L1075" s="204"/>
      <c r="M1075" s="204"/>
      <c r="N1075" s="204"/>
      <c r="O1075" s="204"/>
      <c r="P1075" s="204"/>
      <c r="Q1075" s="204"/>
      <c r="R1075" s="204"/>
    </row>
    <row r="1076" spans="1:18" ht="22.5" customHeight="1">
      <c r="A1076" s="82" t="s">
        <v>156</v>
      </c>
      <c r="B1076" s="149">
        <v>792</v>
      </c>
      <c r="C1076" s="84" t="s">
        <v>28</v>
      </c>
      <c r="D1076" s="84" t="s">
        <v>70</v>
      </c>
      <c r="E1076" s="84" t="s">
        <v>386</v>
      </c>
      <c r="F1076" s="84" t="s">
        <v>157</v>
      </c>
      <c r="G1076" s="87">
        <f t="shared" si="267"/>
        <v>3750613.11</v>
      </c>
      <c r="H1076" s="87">
        <f t="shared" si="267"/>
        <v>3663447.84</v>
      </c>
      <c r="I1076" s="87">
        <f t="shared" si="267"/>
        <v>3793072.21</v>
      </c>
      <c r="J1076" s="177"/>
    </row>
    <row r="1077" spans="1:18">
      <c r="A1077" s="82" t="s">
        <v>158</v>
      </c>
      <c r="B1077" s="149">
        <v>792</v>
      </c>
      <c r="C1077" s="84" t="s">
        <v>28</v>
      </c>
      <c r="D1077" s="84" t="s">
        <v>70</v>
      </c>
      <c r="E1077" s="84" t="s">
        <v>386</v>
      </c>
      <c r="F1077" s="84" t="s">
        <v>159</v>
      </c>
      <c r="G1077" s="87">
        <v>3750613.11</v>
      </c>
      <c r="H1077" s="87">
        <v>3663447.84</v>
      </c>
      <c r="I1077" s="87">
        <v>3793072.21</v>
      </c>
      <c r="J1077" s="177"/>
    </row>
    <row r="1078" spans="1:18" hidden="1">
      <c r="A1078" s="135" t="s">
        <v>175</v>
      </c>
      <c r="B1078" s="149">
        <v>792</v>
      </c>
      <c r="C1078" s="84" t="s">
        <v>173</v>
      </c>
      <c r="D1078" s="84" t="s">
        <v>28</v>
      </c>
      <c r="E1078" s="84"/>
      <c r="F1078" s="84"/>
      <c r="G1078" s="87">
        <f>G1080</f>
        <v>0</v>
      </c>
      <c r="H1078" s="87">
        <f t="shared" ref="H1078:I1078" si="268">H1080</f>
        <v>0</v>
      </c>
      <c r="I1078" s="87">
        <f t="shared" si="268"/>
        <v>0</v>
      </c>
      <c r="J1078" s="177"/>
    </row>
    <row r="1079" spans="1:18" ht="68.25" hidden="1" customHeight="1">
      <c r="A1079" s="135" t="s">
        <v>807</v>
      </c>
      <c r="B1079" s="149">
        <v>792</v>
      </c>
      <c r="C1079" s="84" t="s">
        <v>173</v>
      </c>
      <c r="D1079" s="84" t="s">
        <v>28</v>
      </c>
      <c r="E1079" s="84" t="s">
        <v>700</v>
      </c>
      <c r="F1079" s="84"/>
      <c r="G1079" s="87">
        <f>G1080</f>
        <v>0</v>
      </c>
      <c r="H1079" s="87">
        <f t="shared" ref="H1079:I1079" si="269">H1080</f>
        <v>0</v>
      </c>
      <c r="I1079" s="87">
        <f t="shared" si="269"/>
        <v>0</v>
      </c>
      <c r="J1079" s="177"/>
      <c r="K1079" s="177"/>
      <c r="L1079" s="177"/>
      <c r="M1079" s="177"/>
      <c r="N1079" s="177"/>
      <c r="O1079" s="177"/>
    </row>
    <row r="1080" spans="1:18" hidden="1">
      <c r="A1080" s="82" t="s">
        <v>701</v>
      </c>
      <c r="B1080" s="149">
        <v>792</v>
      </c>
      <c r="C1080" s="84" t="s">
        <v>173</v>
      </c>
      <c r="D1080" s="84" t="s">
        <v>28</v>
      </c>
      <c r="E1080" s="84" t="s">
        <v>700</v>
      </c>
      <c r="F1080" s="84"/>
      <c r="G1080" s="87">
        <f t="shared" ref="G1080:I1081" si="270">G1081</f>
        <v>0</v>
      </c>
      <c r="H1080" s="87">
        <f t="shared" si="270"/>
        <v>0</v>
      </c>
      <c r="I1080" s="87">
        <f t="shared" si="270"/>
        <v>0</v>
      </c>
      <c r="J1080" s="177"/>
    </row>
    <row r="1081" spans="1:18" ht="25.5" hidden="1">
      <c r="A1081" s="82" t="s">
        <v>36</v>
      </c>
      <c r="B1081" s="149">
        <v>792</v>
      </c>
      <c r="C1081" s="84" t="s">
        <v>173</v>
      </c>
      <c r="D1081" s="84" t="s">
        <v>28</v>
      </c>
      <c r="E1081" s="84" t="s">
        <v>700</v>
      </c>
      <c r="F1081" s="84" t="s">
        <v>37</v>
      </c>
      <c r="G1081" s="87">
        <f t="shared" si="270"/>
        <v>0</v>
      </c>
      <c r="H1081" s="87">
        <f t="shared" si="270"/>
        <v>0</v>
      </c>
      <c r="I1081" s="87">
        <f t="shared" si="270"/>
        <v>0</v>
      </c>
      <c r="J1081" s="177"/>
    </row>
    <row r="1082" spans="1:18" ht="25.5" hidden="1">
      <c r="A1082" s="82" t="s">
        <v>38</v>
      </c>
      <c r="B1082" s="149">
        <v>792</v>
      </c>
      <c r="C1082" s="84" t="s">
        <v>173</v>
      </c>
      <c r="D1082" s="84" t="s">
        <v>28</v>
      </c>
      <c r="E1082" s="84" t="s">
        <v>700</v>
      </c>
      <c r="F1082" s="84" t="s">
        <v>39</v>
      </c>
      <c r="G1082" s="87"/>
      <c r="H1082" s="87"/>
      <c r="I1082" s="87"/>
      <c r="J1082" s="177"/>
    </row>
    <row r="1083" spans="1:18">
      <c r="A1083" s="270" t="s">
        <v>145</v>
      </c>
      <c r="B1083" s="162" t="s">
        <v>788</v>
      </c>
      <c r="C1083" s="272" t="s">
        <v>69</v>
      </c>
      <c r="D1083" s="272"/>
      <c r="E1083" s="272"/>
      <c r="F1083" s="272"/>
      <c r="G1083" s="269">
        <f>G1084</f>
        <v>144516</v>
      </c>
      <c r="H1083" s="269">
        <f t="shared" ref="H1083:I1083" si="271">H1084</f>
        <v>145961</v>
      </c>
      <c r="I1083" s="269">
        <f t="shared" si="271"/>
        <v>147421</v>
      </c>
      <c r="J1083" s="191"/>
    </row>
    <row r="1084" spans="1:18">
      <c r="A1084" s="82" t="s">
        <v>146</v>
      </c>
      <c r="B1084" s="149">
        <v>792</v>
      </c>
      <c r="C1084" s="84" t="s">
        <v>69</v>
      </c>
      <c r="D1084" s="84" t="s">
        <v>19</v>
      </c>
      <c r="E1084" s="84"/>
      <c r="F1084" s="84"/>
      <c r="G1084" s="87">
        <f>G1085</f>
        <v>144516</v>
      </c>
      <c r="H1084" s="87">
        <f>H1085</f>
        <v>145961</v>
      </c>
      <c r="I1084" s="87">
        <f>I1085</f>
        <v>147421</v>
      </c>
      <c r="J1084" s="177"/>
    </row>
    <row r="1085" spans="1:18" s="43" customFormat="1" ht="30.75" customHeight="1">
      <c r="A1085" s="82" t="s">
        <v>487</v>
      </c>
      <c r="B1085" s="149">
        <v>792</v>
      </c>
      <c r="C1085" s="84" t="s">
        <v>69</v>
      </c>
      <c r="D1085" s="84" t="s">
        <v>19</v>
      </c>
      <c r="E1085" s="84" t="s">
        <v>287</v>
      </c>
      <c r="F1085" s="168"/>
      <c r="G1085" s="87">
        <f t="shared" ref="G1085:I1087" si="272">G1086</f>
        <v>144516</v>
      </c>
      <c r="H1085" s="87">
        <f t="shared" si="272"/>
        <v>145961</v>
      </c>
      <c r="I1085" s="87">
        <f t="shared" si="272"/>
        <v>147421</v>
      </c>
      <c r="J1085" s="177"/>
      <c r="K1085" s="218"/>
      <c r="L1085" s="218"/>
      <c r="M1085" s="218"/>
      <c r="N1085" s="218"/>
      <c r="O1085" s="218"/>
      <c r="P1085" s="218"/>
      <c r="Q1085" s="218"/>
      <c r="R1085" s="218"/>
    </row>
    <row r="1086" spans="1:18" s="43" customFormat="1">
      <c r="A1086" s="82" t="s">
        <v>147</v>
      </c>
      <c r="B1086" s="149">
        <v>792</v>
      </c>
      <c r="C1086" s="84" t="s">
        <v>69</v>
      </c>
      <c r="D1086" s="84" t="s">
        <v>19</v>
      </c>
      <c r="E1086" s="84" t="s">
        <v>291</v>
      </c>
      <c r="F1086" s="168"/>
      <c r="G1086" s="87">
        <f t="shared" si="272"/>
        <v>144516</v>
      </c>
      <c r="H1086" s="87">
        <f t="shared" si="272"/>
        <v>145961</v>
      </c>
      <c r="I1086" s="87">
        <f t="shared" si="272"/>
        <v>147421</v>
      </c>
      <c r="J1086" s="177"/>
      <c r="K1086" s="218"/>
      <c r="L1086" s="218"/>
      <c r="M1086" s="218"/>
      <c r="N1086" s="218"/>
      <c r="O1086" s="218"/>
      <c r="P1086" s="218"/>
      <c r="Q1086" s="218"/>
      <c r="R1086" s="218"/>
    </row>
    <row r="1087" spans="1:18" s="43" customFormat="1">
      <c r="A1087" s="82" t="s">
        <v>148</v>
      </c>
      <c r="B1087" s="149">
        <v>792</v>
      </c>
      <c r="C1087" s="84" t="s">
        <v>69</v>
      </c>
      <c r="D1087" s="84" t="s">
        <v>19</v>
      </c>
      <c r="E1087" s="84" t="s">
        <v>291</v>
      </c>
      <c r="F1087" s="84" t="s">
        <v>149</v>
      </c>
      <c r="G1087" s="87">
        <f t="shared" si="272"/>
        <v>144516</v>
      </c>
      <c r="H1087" s="87">
        <f t="shared" si="272"/>
        <v>145961</v>
      </c>
      <c r="I1087" s="87">
        <f t="shared" si="272"/>
        <v>147421</v>
      </c>
      <c r="J1087" s="177"/>
      <c r="K1087" s="218"/>
      <c r="L1087" s="218"/>
      <c r="M1087" s="218"/>
      <c r="N1087" s="218"/>
      <c r="O1087" s="218"/>
      <c r="P1087" s="218"/>
      <c r="Q1087" s="218"/>
      <c r="R1087" s="218"/>
    </row>
    <row r="1088" spans="1:18" s="44" customFormat="1" ht="25.5">
      <c r="A1088" s="82" t="s">
        <v>355</v>
      </c>
      <c r="B1088" s="149">
        <v>792</v>
      </c>
      <c r="C1088" s="84" t="s">
        <v>69</v>
      </c>
      <c r="D1088" s="84" t="s">
        <v>19</v>
      </c>
      <c r="E1088" s="84" t="s">
        <v>291</v>
      </c>
      <c r="F1088" s="84" t="s">
        <v>356</v>
      </c>
      <c r="G1088" s="87">
        <v>144516</v>
      </c>
      <c r="H1088" s="87">
        <v>145961</v>
      </c>
      <c r="I1088" s="87">
        <v>147421</v>
      </c>
      <c r="J1088" s="177"/>
      <c r="K1088" s="219"/>
      <c r="L1088" s="219"/>
      <c r="M1088" s="219"/>
      <c r="N1088" s="219"/>
      <c r="O1088" s="219"/>
      <c r="P1088" s="219"/>
      <c r="Q1088" s="219"/>
      <c r="R1088" s="219"/>
    </row>
    <row r="1089" spans="1:18" ht="25.5">
      <c r="A1089" s="134" t="s">
        <v>301</v>
      </c>
      <c r="B1089" s="275">
        <v>792</v>
      </c>
      <c r="C1089" s="272" t="s">
        <v>23</v>
      </c>
      <c r="D1089" s="272"/>
      <c r="E1089" s="272"/>
      <c r="F1089" s="272"/>
      <c r="G1089" s="269">
        <f t="shared" ref="G1089:G1094" si="273">G1090</f>
        <v>90000</v>
      </c>
      <c r="H1089" s="269">
        <f t="shared" ref="H1089:I1094" si="274">H1090</f>
        <v>90000</v>
      </c>
      <c r="I1089" s="269">
        <f t="shared" si="274"/>
        <v>90000</v>
      </c>
      <c r="J1089" s="191"/>
    </row>
    <row r="1090" spans="1:18" ht="28.5" customHeight="1">
      <c r="A1090" s="135" t="s">
        <v>302</v>
      </c>
      <c r="B1090" s="149">
        <v>792</v>
      </c>
      <c r="C1090" s="84" t="s">
        <v>23</v>
      </c>
      <c r="D1090" s="84" t="s">
        <v>19</v>
      </c>
      <c r="E1090" s="156"/>
      <c r="F1090" s="156"/>
      <c r="G1090" s="87">
        <f t="shared" si="273"/>
        <v>90000</v>
      </c>
      <c r="H1090" s="87">
        <f t="shared" si="274"/>
        <v>90000</v>
      </c>
      <c r="I1090" s="87">
        <f t="shared" si="274"/>
        <v>90000</v>
      </c>
      <c r="J1090" s="177"/>
    </row>
    <row r="1091" spans="1:18" s="28" customFormat="1" ht="38.25">
      <c r="A1091" s="82" t="s">
        <v>443</v>
      </c>
      <c r="B1091" s="149">
        <v>792</v>
      </c>
      <c r="C1091" s="84" t="s">
        <v>23</v>
      </c>
      <c r="D1091" s="84" t="s">
        <v>19</v>
      </c>
      <c r="E1091" s="84" t="s">
        <v>230</v>
      </c>
      <c r="F1091" s="168"/>
      <c r="G1091" s="87">
        <f t="shared" si="273"/>
        <v>90000</v>
      </c>
      <c r="H1091" s="87">
        <f t="shared" si="274"/>
        <v>90000</v>
      </c>
      <c r="I1091" s="87">
        <f t="shared" si="274"/>
        <v>90000</v>
      </c>
      <c r="J1091" s="177"/>
      <c r="K1091" s="204"/>
      <c r="L1091" s="204"/>
      <c r="M1091" s="204"/>
      <c r="N1091" s="204"/>
      <c r="O1091" s="204"/>
      <c r="P1091" s="204"/>
      <c r="Q1091" s="204"/>
      <c r="R1091" s="204"/>
    </row>
    <row r="1092" spans="1:18" s="28" customFormat="1" ht="25.5">
      <c r="A1092" s="82" t="s">
        <v>303</v>
      </c>
      <c r="B1092" s="149">
        <v>792</v>
      </c>
      <c r="C1092" s="84" t="s">
        <v>23</v>
      </c>
      <c r="D1092" s="84" t="s">
        <v>19</v>
      </c>
      <c r="E1092" s="84" t="s">
        <v>236</v>
      </c>
      <c r="F1092" s="168"/>
      <c r="G1092" s="87">
        <f t="shared" si="273"/>
        <v>90000</v>
      </c>
      <c r="H1092" s="87">
        <f t="shared" si="274"/>
        <v>90000</v>
      </c>
      <c r="I1092" s="87">
        <f t="shared" si="274"/>
        <v>90000</v>
      </c>
      <c r="J1092" s="177"/>
      <c r="K1092" s="204"/>
      <c r="L1092" s="204"/>
      <c r="M1092" s="204"/>
      <c r="N1092" s="204"/>
      <c r="O1092" s="204"/>
      <c r="P1092" s="204"/>
      <c r="Q1092" s="204"/>
      <c r="R1092" s="204"/>
    </row>
    <row r="1093" spans="1:18">
      <c r="A1093" s="82" t="s">
        <v>304</v>
      </c>
      <c r="B1093" s="149">
        <v>792</v>
      </c>
      <c r="C1093" s="84" t="s">
        <v>23</v>
      </c>
      <c r="D1093" s="84" t="s">
        <v>19</v>
      </c>
      <c r="E1093" s="84" t="s">
        <v>237</v>
      </c>
      <c r="F1093" s="84"/>
      <c r="G1093" s="87">
        <f t="shared" si="273"/>
        <v>90000</v>
      </c>
      <c r="H1093" s="87">
        <f t="shared" si="274"/>
        <v>90000</v>
      </c>
      <c r="I1093" s="87">
        <f t="shared" si="274"/>
        <v>90000</v>
      </c>
      <c r="J1093" s="177"/>
    </row>
    <row r="1094" spans="1:18" ht="25.5">
      <c r="A1094" s="82" t="s">
        <v>305</v>
      </c>
      <c r="B1094" s="149">
        <v>792</v>
      </c>
      <c r="C1094" s="84" t="s">
        <v>23</v>
      </c>
      <c r="D1094" s="84" t="s">
        <v>19</v>
      </c>
      <c r="E1094" s="84" t="s">
        <v>237</v>
      </c>
      <c r="F1094" s="84" t="s">
        <v>306</v>
      </c>
      <c r="G1094" s="87">
        <f t="shared" si="273"/>
        <v>90000</v>
      </c>
      <c r="H1094" s="87">
        <f t="shared" si="274"/>
        <v>90000</v>
      </c>
      <c r="I1094" s="87">
        <f t="shared" si="274"/>
        <v>90000</v>
      </c>
      <c r="J1094" s="177"/>
    </row>
    <row r="1095" spans="1:18">
      <c r="A1095" s="82" t="s">
        <v>307</v>
      </c>
      <c r="B1095" s="149">
        <v>792</v>
      </c>
      <c r="C1095" s="84" t="s">
        <v>23</v>
      </c>
      <c r="D1095" s="84" t="s">
        <v>19</v>
      </c>
      <c r="E1095" s="84" t="s">
        <v>237</v>
      </c>
      <c r="F1095" s="84" t="s">
        <v>308</v>
      </c>
      <c r="G1095" s="87">
        <v>90000</v>
      </c>
      <c r="H1095" s="87">
        <v>90000</v>
      </c>
      <c r="I1095" s="87">
        <v>90000</v>
      </c>
      <c r="J1095" s="177"/>
    </row>
    <row r="1096" spans="1:18" s="46" customFormat="1" ht="38.25">
      <c r="A1096" s="132" t="s">
        <v>309</v>
      </c>
      <c r="B1096" s="83">
        <v>792</v>
      </c>
      <c r="C1096" s="153" t="s">
        <v>310</v>
      </c>
      <c r="D1096" s="153"/>
      <c r="E1096" s="153"/>
      <c r="F1096" s="153"/>
      <c r="G1096" s="94">
        <f>G1098+G1106</f>
        <v>43367710.5</v>
      </c>
      <c r="H1096" s="94">
        <f t="shared" ref="H1096:I1096" si="275">H1098+H1106</f>
        <v>18649308</v>
      </c>
      <c r="I1096" s="94">
        <f t="shared" si="275"/>
        <v>19297922.399999999</v>
      </c>
      <c r="J1096" s="194"/>
      <c r="K1096" s="222"/>
      <c r="L1096" s="222"/>
      <c r="M1096" s="222"/>
      <c r="N1096" s="222"/>
      <c r="O1096" s="222"/>
      <c r="P1096" s="222"/>
      <c r="Q1096" s="222"/>
      <c r="R1096" s="222"/>
    </row>
    <row r="1097" spans="1:18" s="28" customFormat="1" ht="35.25" customHeight="1">
      <c r="A1097" s="135" t="s">
        <v>311</v>
      </c>
      <c r="B1097" s="149">
        <v>792</v>
      </c>
      <c r="C1097" s="84" t="s">
        <v>310</v>
      </c>
      <c r="D1097" s="84" t="s">
        <v>19</v>
      </c>
      <c r="E1097" s="168"/>
      <c r="F1097" s="168"/>
      <c r="G1097" s="87">
        <f>G1098</f>
        <v>20147049.5</v>
      </c>
      <c r="H1097" s="87">
        <f>H1098</f>
        <v>18649308</v>
      </c>
      <c r="I1097" s="87">
        <f>I1098</f>
        <v>19297922.399999999</v>
      </c>
      <c r="J1097" s="177"/>
      <c r="K1097" s="204"/>
      <c r="L1097" s="204"/>
      <c r="M1097" s="204"/>
      <c r="N1097" s="204"/>
      <c r="O1097" s="204"/>
      <c r="P1097" s="204"/>
      <c r="Q1097" s="204"/>
      <c r="R1097" s="204"/>
    </row>
    <row r="1098" spans="1:18" s="18" customFormat="1" ht="38.25">
      <c r="A1098" s="82" t="s">
        <v>443</v>
      </c>
      <c r="B1098" s="149">
        <v>792</v>
      </c>
      <c r="C1098" s="84" t="s">
        <v>310</v>
      </c>
      <c r="D1098" s="84" t="s">
        <v>19</v>
      </c>
      <c r="E1098" s="84" t="s">
        <v>230</v>
      </c>
      <c r="F1098" s="84"/>
      <c r="G1098" s="87">
        <f>G1099</f>
        <v>20147049.5</v>
      </c>
      <c r="H1098" s="87">
        <f t="shared" ref="H1098:I1098" si="276">H1099</f>
        <v>18649308</v>
      </c>
      <c r="I1098" s="87">
        <f t="shared" si="276"/>
        <v>19297922.399999999</v>
      </c>
      <c r="J1098" s="177"/>
      <c r="K1098" s="200"/>
      <c r="L1098" s="200"/>
      <c r="M1098" s="200"/>
      <c r="N1098" s="200"/>
      <c r="O1098" s="200"/>
      <c r="P1098" s="200"/>
      <c r="Q1098" s="200"/>
      <c r="R1098" s="200"/>
    </row>
    <row r="1099" spans="1:18" s="18" customFormat="1" ht="38.25">
      <c r="A1099" s="82" t="s">
        <v>155</v>
      </c>
      <c r="B1099" s="149">
        <v>792</v>
      </c>
      <c r="C1099" s="84" t="s">
        <v>310</v>
      </c>
      <c r="D1099" s="84" t="s">
        <v>19</v>
      </c>
      <c r="E1099" s="84" t="s">
        <v>231</v>
      </c>
      <c r="F1099" s="84"/>
      <c r="G1099" s="87">
        <f>G1100+G1103</f>
        <v>20147049.5</v>
      </c>
      <c r="H1099" s="87">
        <f>H1100+H1103</f>
        <v>18649308</v>
      </c>
      <c r="I1099" s="87">
        <f>I1100+I1103</f>
        <v>19297922.399999999</v>
      </c>
      <c r="J1099" s="177"/>
      <c r="K1099" s="200"/>
      <c r="L1099" s="200"/>
      <c r="M1099" s="200"/>
      <c r="N1099" s="200"/>
      <c r="O1099" s="200"/>
      <c r="P1099" s="200"/>
      <c r="Q1099" s="200"/>
      <c r="R1099" s="200"/>
    </row>
    <row r="1100" spans="1:18" s="18" customFormat="1" ht="25.5">
      <c r="A1100" s="82" t="s">
        <v>312</v>
      </c>
      <c r="B1100" s="149">
        <v>792</v>
      </c>
      <c r="C1100" s="84" t="s">
        <v>310</v>
      </c>
      <c r="D1100" s="84" t="s">
        <v>19</v>
      </c>
      <c r="E1100" s="84" t="s">
        <v>284</v>
      </c>
      <c r="F1100" s="84"/>
      <c r="G1100" s="87">
        <f t="shared" ref="G1100:I1101" si="277">G1101</f>
        <v>13832299</v>
      </c>
      <c r="H1100" s="87">
        <f t="shared" si="277"/>
        <v>13587894</v>
      </c>
      <c r="I1100" s="87">
        <f t="shared" si="277"/>
        <v>14246122</v>
      </c>
      <c r="J1100" s="177"/>
      <c r="K1100" s="200"/>
      <c r="L1100" s="200"/>
      <c r="M1100" s="200"/>
      <c r="N1100" s="200"/>
      <c r="O1100" s="200"/>
      <c r="P1100" s="200"/>
      <c r="Q1100" s="200"/>
      <c r="R1100" s="200"/>
    </row>
    <row r="1101" spans="1:18" s="18" customFormat="1">
      <c r="A1101" s="82" t="s">
        <v>156</v>
      </c>
      <c r="B1101" s="149">
        <v>792</v>
      </c>
      <c r="C1101" s="84" t="s">
        <v>310</v>
      </c>
      <c r="D1101" s="84" t="s">
        <v>19</v>
      </c>
      <c r="E1101" s="84" t="s">
        <v>284</v>
      </c>
      <c r="F1101" s="84" t="s">
        <v>157</v>
      </c>
      <c r="G1101" s="87">
        <f t="shared" si="277"/>
        <v>13832299</v>
      </c>
      <c r="H1101" s="87">
        <f t="shared" si="277"/>
        <v>13587894</v>
      </c>
      <c r="I1101" s="87">
        <f t="shared" si="277"/>
        <v>14246122</v>
      </c>
      <c r="J1101" s="177"/>
      <c r="K1101" s="200"/>
      <c r="L1101" s="200"/>
      <c r="M1101" s="200"/>
      <c r="N1101" s="200"/>
      <c r="O1101" s="200"/>
      <c r="P1101" s="200"/>
      <c r="Q1101" s="200"/>
      <c r="R1101" s="200"/>
    </row>
    <row r="1102" spans="1:18" s="18" customFormat="1">
      <c r="A1102" s="82" t="s">
        <v>313</v>
      </c>
      <c r="B1102" s="149">
        <v>792</v>
      </c>
      <c r="C1102" s="84" t="s">
        <v>310</v>
      </c>
      <c r="D1102" s="84" t="s">
        <v>19</v>
      </c>
      <c r="E1102" s="84" t="s">
        <v>284</v>
      </c>
      <c r="F1102" s="84" t="s">
        <v>314</v>
      </c>
      <c r="G1102" s="87">
        <v>13832299</v>
      </c>
      <c r="H1102" s="87">
        <v>13587894</v>
      </c>
      <c r="I1102" s="87">
        <v>14246122</v>
      </c>
      <c r="J1102" s="177"/>
      <c r="K1102" s="200"/>
      <c r="L1102" s="200"/>
      <c r="M1102" s="200"/>
      <c r="N1102" s="200"/>
      <c r="O1102" s="200"/>
      <c r="P1102" s="200"/>
      <c r="Q1102" s="200"/>
      <c r="R1102" s="200"/>
    </row>
    <row r="1103" spans="1:18" s="28" customFormat="1" ht="23.25" customHeight="1">
      <c r="A1103" s="82" t="s">
        <v>315</v>
      </c>
      <c r="B1103" s="149">
        <v>792</v>
      </c>
      <c r="C1103" s="84" t="s">
        <v>310</v>
      </c>
      <c r="D1103" s="84" t="s">
        <v>19</v>
      </c>
      <c r="E1103" s="84" t="s">
        <v>238</v>
      </c>
      <c r="F1103" s="84"/>
      <c r="G1103" s="87">
        <f t="shared" ref="G1103:I1104" si="278">G1104</f>
        <v>6314750.5</v>
      </c>
      <c r="H1103" s="87">
        <f t="shared" si="278"/>
        <v>5061414</v>
      </c>
      <c r="I1103" s="87">
        <f t="shared" si="278"/>
        <v>5051800.4000000004</v>
      </c>
      <c r="J1103" s="177"/>
      <c r="K1103" s="204"/>
      <c r="L1103" s="204"/>
      <c r="M1103" s="204"/>
      <c r="N1103" s="204"/>
      <c r="O1103" s="204"/>
      <c r="P1103" s="204"/>
      <c r="Q1103" s="204"/>
      <c r="R1103" s="204"/>
    </row>
    <row r="1104" spans="1:18" s="28" customFormat="1">
      <c r="A1104" s="82" t="s">
        <v>156</v>
      </c>
      <c r="B1104" s="149">
        <v>792</v>
      </c>
      <c r="C1104" s="84" t="s">
        <v>310</v>
      </c>
      <c r="D1104" s="84" t="s">
        <v>19</v>
      </c>
      <c r="E1104" s="84" t="s">
        <v>238</v>
      </c>
      <c r="F1104" s="84" t="s">
        <v>157</v>
      </c>
      <c r="G1104" s="87">
        <f t="shared" si="278"/>
        <v>6314750.5</v>
      </c>
      <c r="H1104" s="87">
        <f t="shared" si="278"/>
        <v>5061414</v>
      </c>
      <c r="I1104" s="87">
        <f t="shared" si="278"/>
        <v>5051800.4000000004</v>
      </c>
      <c r="J1104" s="177"/>
      <c r="K1104" s="204"/>
      <c r="L1104" s="204"/>
      <c r="M1104" s="204"/>
      <c r="N1104" s="204"/>
      <c r="O1104" s="204"/>
      <c r="P1104" s="204"/>
      <c r="Q1104" s="204"/>
      <c r="R1104" s="204"/>
    </row>
    <row r="1105" spans="1:18" s="3" customFormat="1">
      <c r="A1105" s="82" t="s">
        <v>313</v>
      </c>
      <c r="B1105" s="149">
        <v>792</v>
      </c>
      <c r="C1105" s="84" t="s">
        <v>310</v>
      </c>
      <c r="D1105" s="84" t="s">
        <v>19</v>
      </c>
      <c r="E1105" s="84" t="s">
        <v>238</v>
      </c>
      <c r="F1105" s="84" t="s">
        <v>314</v>
      </c>
      <c r="G1105" s="87">
        <v>6314750.5</v>
      </c>
      <c r="H1105" s="87">
        <v>5061414</v>
      </c>
      <c r="I1105" s="87">
        <v>5051800.4000000004</v>
      </c>
      <c r="J1105" s="177"/>
      <c r="K1105" s="199"/>
      <c r="L1105" s="199"/>
      <c r="M1105" s="199"/>
      <c r="N1105" s="199"/>
      <c r="O1105" s="199"/>
      <c r="P1105" s="199"/>
      <c r="Q1105" s="199"/>
      <c r="R1105" s="199"/>
    </row>
    <row r="1106" spans="1:18" ht="18.75" customHeight="1">
      <c r="A1106" s="135" t="s">
        <v>316</v>
      </c>
      <c r="B1106" s="149">
        <v>792</v>
      </c>
      <c r="C1106" s="84" t="s">
        <v>310</v>
      </c>
      <c r="D1106" s="84" t="s">
        <v>70</v>
      </c>
      <c r="E1106" s="84"/>
      <c r="F1106" s="84"/>
      <c r="G1106" s="87">
        <f>G1107</f>
        <v>23220661</v>
      </c>
      <c r="H1106" s="87">
        <f>H1107</f>
        <v>0</v>
      </c>
      <c r="I1106" s="87">
        <f>I1107</f>
        <v>0</v>
      </c>
      <c r="J1106" s="177"/>
    </row>
    <row r="1107" spans="1:18" s="28" customFormat="1" ht="27.75" customHeight="1">
      <c r="A1107" s="82" t="s">
        <v>443</v>
      </c>
      <c r="B1107" s="149">
        <v>792</v>
      </c>
      <c r="C1107" s="84" t="s">
        <v>310</v>
      </c>
      <c r="D1107" s="84" t="s">
        <v>70</v>
      </c>
      <c r="E1107" s="84" t="s">
        <v>230</v>
      </c>
      <c r="F1107" s="84"/>
      <c r="G1107" s="87">
        <f>G1108</f>
        <v>23220661</v>
      </c>
      <c r="H1107" s="87">
        <f t="shared" ref="H1107:I1108" si="279">H1108</f>
        <v>0</v>
      </c>
      <c r="I1107" s="87">
        <f t="shared" si="279"/>
        <v>0</v>
      </c>
      <c r="J1107" s="177"/>
      <c r="K1107" s="204"/>
      <c r="L1107" s="204"/>
      <c r="M1107" s="204"/>
      <c r="N1107" s="204"/>
      <c r="O1107" s="204"/>
      <c r="P1107" s="204"/>
      <c r="Q1107" s="204"/>
      <c r="R1107" s="204"/>
    </row>
    <row r="1108" spans="1:18" s="3" customFormat="1" ht="38.25">
      <c r="A1108" s="82" t="s">
        <v>155</v>
      </c>
      <c r="B1108" s="149">
        <v>792</v>
      </c>
      <c r="C1108" s="84" t="s">
        <v>310</v>
      </c>
      <c r="D1108" s="84" t="s">
        <v>70</v>
      </c>
      <c r="E1108" s="84" t="s">
        <v>231</v>
      </c>
      <c r="F1108" s="84"/>
      <c r="G1108" s="87">
        <f>G1109</f>
        <v>23220661</v>
      </c>
      <c r="H1108" s="87">
        <f t="shared" si="279"/>
        <v>0</v>
      </c>
      <c r="I1108" s="87">
        <f t="shared" si="279"/>
        <v>0</v>
      </c>
      <c r="J1108" s="177"/>
      <c r="K1108" s="199"/>
      <c r="L1108" s="199"/>
      <c r="M1108" s="199"/>
      <c r="N1108" s="199"/>
      <c r="O1108" s="199"/>
      <c r="P1108" s="199"/>
      <c r="Q1108" s="199"/>
      <c r="R1108" s="199"/>
    </row>
    <row r="1109" spans="1:18" s="3" customFormat="1" ht="25.5">
      <c r="A1109" s="82" t="s">
        <v>476</v>
      </c>
      <c r="B1109" s="149">
        <v>792</v>
      </c>
      <c r="C1109" s="84" t="s">
        <v>310</v>
      </c>
      <c r="D1109" s="84" t="s">
        <v>70</v>
      </c>
      <c r="E1109" s="84" t="s">
        <v>239</v>
      </c>
      <c r="F1109" s="84"/>
      <c r="G1109" s="87">
        <f t="shared" ref="G1109:I1110" si="280">G1110</f>
        <v>23220661</v>
      </c>
      <c r="H1109" s="87">
        <f t="shared" si="280"/>
        <v>0</v>
      </c>
      <c r="I1109" s="87">
        <f t="shared" si="280"/>
        <v>0</v>
      </c>
      <c r="J1109" s="177"/>
      <c r="K1109" s="199"/>
      <c r="L1109" s="199"/>
      <c r="M1109" s="199"/>
      <c r="N1109" s="199"/>
      <c r="O1109" s="199"/>
      <c r="P1109" s="199"/>
      <c r="Q1109" s="199"/>
      <c r="R1109" s="199"/>
    </row>
    <row r="1110" spans="1:18" s="3" customFormat="1">
      <c r="A1110" s="82" t="s">
        <v>156</v>
      </c>
      <c r="B1110" s="149">
        <v>792</v>
      </c>
      <c r="C1110" s="84" t="s">
        <v>310</v>
      </c>
      <c r="D1110" s="84" t="s">
        <v>70</v>
      </c>
      <c r="E1110" s="84" t="s">
        <v>239</v>
      </c>
      <c r="F1110" s="84" t="s">
        <v>157</v>
      </c>
      <c r="G1110" s="87">
        <f t="shared" si="280"/>
        <v>23220661</v>
      </c>
      <c r="H1110" s="87">
        <f t="shared" si="280"/>
        <v>0</v>
      </c>
      <c r="I1110" s="87">
        <f t="shared" si="280"/>
        <v>0</v>
      </c>
      <c r="J1110" s="177"/>
      <c r="K1110" s="199"/>
      <c r="L1110" s="199"/>
      <c r="M1110" s="199"/>
      <c r="N1110" s="199"/>
      <c r="O1110" s="199"/>
      <c r="P1110" s="199"/>
      <c r="Q1110" s="199"/>
      <c r="R1110" s="199"/>
    </row>
    <row r="1111" spans="1:18" s="3" customFormat="1">
      <c r="A1111" s="82" t="s">
        <v>178</v>
      </c>
      <c r="B1111" s="149">
        <v>792</v>
      </c>
      <c r="C1111" s="84" t="s">
        <v>310</v>
      </c>
      <c r="D1111" s="84" t="s">
        <v>70</v>
      </c>
      <c r="E1111" s="84" t="s">
        <v>239</v>
      </c>
      <c r="F1111" s="84" t="s">
        <v>179</v>
      </c>
      <c r="G1111" s="87">
        <v>23220661</v>
      </c>
      <c r="H1111" s="87">
        <v>0</v>
      </c>
      <c r="I1111" s="87">
        <v>0</v>
      </c>
      <c r="J1111" s="177"/>
      <c r="K1111" s="177"/>
      <c r="L1111" s="177"/>
      <c r="M1111" s="199"/>
      <c r="N1111" s="199"/>
      <c r="O1111" s="199"/>
      <c r="P1111" s="199"/>
      <c r="Q1111" s="199"/>
      <c r="R1111" s="199"/>
    </row>
    <row r="1112" spans="1:18" s="3" customFormat="1" ht="47.25" hidden="1" customHeight="1">
      <c r="A1112" s="82" t="s">
        <v>176</v>
      </c>
      <c r="B1112" s="149">
        <v>792</v>
      </c>
      <c r="C1112" s="84" t="s">
        <v>310</v>
      </c>
      <c r="D1112" s="84" t="s">
        <v>70</v>
      </c>
      <c r="E1112" s="84" t="s">
        <v>239</v>
      </c>
      <c r="F1112" s="84" t="s">
        <v>177</v>
      </c>
      <c r="G1112" s="87"/>
      <c r="H1112" s="87"/>
      <c r="I1112" s="87"/>
      <c r="J1112" s="177"/>
      <c r="K1112" s="199"/>
      <c r="L1112" s="199"/>
      <c r="M1112" s="199"/>
      <c r="N1112" s="199"/>
      <c r="O1112" s="199"/>
      <c r="P1112" s="199"/>
      <c r="Q1112" s="199"/>
      <c r="R1112" s="199"/>
    </row>
    <row r="1113" spans="1:18" s="18" customFormat="1" hidden="1">
      <c r="A1113" s="82"/>
      <c r="B1113" s="149"/>
      <c r="C1113" s="84"/>
      <c r="D1113" s="84"/>
      <c r="E1113" s="84"/>
      <c r="F1113" s="84"/>
      <c r="G1113" s="87"/>
      <c r="H1113" s="87"/>
      <c r="I1113" s="87"/>
      <c r="J1113" s="177"/>
      <c r="K1113" s="200"/>
      <c r="L1113" s="200"/>
      <c r="M1113" s="200"/>
      <c r="N1113" s="200"/>
      <c r="O1113" s="200"/>
      <c r="P1113" s="200"/>
      <c r="Q1113" s="200"/>
      <c r="R1113" s="200"/>
    </row>
    <row r="1114" spans="1:18" s="124" customFormat="1">
      <c r="A1114" s="287" t="s">
        <v>74</v>
      </c>
      <c r="B1114" s="275"/>
      <c r="C1114" s="162"/>
      <c r="D1114" s="162"/>
      <c r="E1114" s="162"/>
      <c r="F1114" s="162"/>
      <c r="G1114" s="96">
        <f>G1048+G1071+G1089+G1096+G1083+G1078</f>
        <v>64123294.07</v>
      </c>
      <c r="H1114" s="96">
        <f t="shared" ref="H1114:I1114" si="281">H1048+H1071+H1089+H1096+H1083+H1078</f>
        <v>38355969.600000001</v>
      </c>
      <c r="I1114" s="96">
        <f t="shared" si="281"/>
        <v>39928480.609999999</v>
      </c>
      <c r="J1114" s="192"/>
      <c r="K1114" s="207"/>
      <c r="L1114" s="207"/>
      <c r="M1114" s="207"/>
      <c r="N1114" s="207"/>
      <c r="O1114" s="207"/>
      <c r="P1114" s="207"/>
      <c r="Q1114" s="207"/>
      <c r="R1114" s="207"/>
    </row>
    <row r="1115" spans="1:18" s="90" customFormat="1" ht="39" customHeight="1">
      <c r="A1115" s="279" t="s">
        <v>990</v>
      </c>
      <c r="B1115" s="280">
        <v>793</v>
      </c>
      <c r="C1115" s="280"/>
      <c r="D1115" s="280"/>
      <c r="E1115" s="280"/>
      <c r="F1115" s="280"/>
      <c r="G1115" s="282"/>
      <c r="H1115" s="282"/>
      <c r="I1115" s="282"/>
      <c r="J1115" s="197"/>
      <c r="K1115" s="186"/>
      <c r="L1115" s="186"/>
      <c r="M1115" s="186"/>
      <c r="N1115" s="186"/>
      <c r="O1115" s="186"/>
      <c r="P1115" s="186"/>
      <c r="Q1115" s="186"/>
      <c r="R1115" s="186"/>
    </row>
    <row r="1116" spans="1:18">
      <c r="A1116" s="277" t="s">
        <v>18</v>
      </c>
      <c r="B1116" s="275">
        <v>793</v>
      </c>
      <c r="C1116" s="272" t="s">
        <v>19</v>
      </c>
      <c r="D1116" s="272"/>
      <c r="E1116" s="272"/>
      <c r="F1116" s="272"/>
      <c r="G1116" s="269">
        <f>G1117+G1126+G1176+G1180+G1165+G1170</f>
        <v>73897639.530000001</v>
      </c>
      <c r="H1116" s="269">
        <f>H1117+H1126+H1176+H1180+H1165+H1170</f>
        <v>71315812.480000004</v>
      </c>
      <c r="I1116" s="269">
        <f>I1117+I1126+I1176+I1180+I1165+I1170</f>
        <v>73063543.670000002</v>
      </c>
      <c r="J1116" s="191"/>
      <c r="P1116" s="209"/>
      <c r="Q1116" s="209"/>
    </row>
    <row r="1117" spans="1:18" ht="25.5">
      <c r="A1117" s="82" t="s">
        <v>317</v>
      </c>
      <c r="B1117" s="149">
        <v>793</v>
      </c>
      <c r="C1117" s="84" t="s">
        <v>19</v>
      </c>
      <c r="D1117" s="84" t="s">
        <v>28</v>
      </c>
      <c r="E1117" s="84"/>
      <c r="F1117" s="84"/>
      <c r="G1117" s="87">
        <f t="shared" ref="G1117:I1124" si="282">G1118</f>
        <v>2168162.42</v>
      </c>
      <c r="H1117" s="87">
        <f t="shared" si="282"/>
        <v>1889447.4</v>
      </c>
      <c r="I1117" s="87">
        <f t="shared" si="282"/>
        <v>1908341.87</v>
      </c>
      <c r="J1117" s="177"/>
    </row>
    <row r="1118" spans="1:18" s="18" customFormat="1" ht="25.5">
      <c r="A1118" s="82" t="s">
        <v>318</v>
      </c>
      <c r="B1118" s="149">
        <v>793</v>
      </c>
      <c r="C1118" s="84" t="s">
        <v>19</v>
      </c>
      <c r="D1118" s="84" t="s">
        <v>28</v>
      </c>
      <c r="E1118" s="84" t="s">
        <v>240</v>
      </c>
      <c r="F1118" s="84"/>
      <c r="G1118" s="87">
        <f t="shared" si="282"/>
        <v>2168162.42</v>
      </c>
      <c r="H1118" s="87">
        <f t="shared" si="282"/>
        <v>1889447.4</v>
      </c>
      <c r="I1118" s="87">
        <f t="shared" si="282"/>
        <v>1908341.87</v>
      </c>
      <c r="J1118" s="177"/>
      <c r="K1118" s="200"/>
      <c r="L1118" s="200"/>
      <c r="M1118" s="200"/>
      <c r="N1118" s="200"/>
      <c r="O1118" s="200"/>
      <c r="P1118" s="200"/>
      <c r="Q1118" s="200"/>
      <c r="R1118" s="200"/>
    </row>
    <row r="1119" spans="1:18">
      <c r="A1119" s="82" t="s">
        <v>319</v>
      </c>
      <c r="B1119" s="149">
        <v>793</v>
      </c>
      <c r="C1119" s="84" t="s">
        <v>19</v>
      </c>
      <c r="D1119" s="84" t="s">
        <v>28</v>
      </c>
      <c r="E1119" s="84" t="s">
        <v>241</v>
      </c>
      <c r="F1119" s="84"/>
      <c r="G1119" s="87">
        <f>G1123+G1120</f>
        <v>2168162.42</v>
      </c>
      <c r="H1119" s="87">
        <f>H1123</f>
        <v>1889447.4</v>
      </c>
      <c r="I1119" s="87">
        <f>I1123</f>
        <v>1908341.87</v>
      </c>
      <c r="J1119" s="177"/>
    </row>
    <row r="1120" spans="1:18" ht="79.5" customHeight="1">
      <c r="A1120" s="82" t="s">
        <v>1086</v>
      </c>
      <c r="B1120" s="149">
        <v>793</v>
      </c>
      <c r="C1120" s="84" t="s">
        <v>19</v>
      </c>
      <c r="D1120" s="84" t="s">
        <v>28</v>
      </c>
      <c r="E1120" s="84" t="s">
        <v>1085</v>
      </c>
      <c r="F1120" s="84"/>
      <c r="G1120" s="87">
        <f t="shared" si="282"/>
        <v>297422.42</v>
      </c>
      <c r="H1120" s="87">
        <f t="shared" si="282"/>
        <v>0</v>
      </c>
      <c r="I1120" s="87">
        <f t="shared" si="282"/>
        <v>0</v>
      </c>
      <c r="J1120" s="177"/>
    </row>
    <row r="1121" spans="1:18" ht="51">
      <c r="A1121" s="82" t="s">
        <v>320</v>
      </c>
      <c r="B1121" s="149">
        <v>793</v>
      </c>
      <c r="C1121" s="84" t="s">
        <v>19</v>
      </c>
      <c r="D1121" s="84" t="s">
        <v>28</v>
      </c>
      <c r="E1121" s="84" t="s">
        <v>1085</v>
      </c>
      <c r="F1121" s="84" t="s">
        <v>58</v>
      </c>
      <c r="G1121" s="87">
        <f t="shared" si="282"/>
        <v>297422.42</v>
      </c>
      <c r="H1121" s="87">
        <f t="shared" si="282"/>
        <v>0</v>
      </c>
      <c r="I1121" s="87">
        <f t="shared" si="282"/>
        <v>0</v>
      </c>
      <c r="J1121" s="177"/>
    </row>
    <row r="1122" spans="1:18" ht="25.5">
      <c r="A1122" s="82" t="s">
        <v>56</v>
      </c>
      <c r="B1122" s="149">
        <v>793</v>
      </c>
      <c r="C1122" s="84" t="s">
        <v>19</v>
      </c>
      <c r="D1122" s="84" t="s">
        <v>28</v>
      </c>
      <c r="E1122" s="84" t="s">
        <v>1085</v>
      </c>
      <c r="F1122" s="84" t="s">
        <v>59</v>
      </c>
      <c r="G1122" s="87">
        <v>297422.42</v>
      </c>
      <c r="H1122" s="87"/>
      <c r="I1122" s="87"/>
      <c r="J1122" s="177"/>
    </row>
    <row r="1123" spans="1:18" ht="25.5">
      <c r="A1123" s="82" t="s">
        <v>76</v>
      </c>
      <c r="B1123" s="149">
        <v>793</v>
      </c>
      <c r="C1123" s="84" t="s">
        <v>19</v>
      </c>
      <c r="D1123" s="84" t="s">
        <v>28</v>
      </c>
      <c r="E1123" s="84" t="s">
        <v>242</v>
      </c>
      <c r="F1123" s="84"/>
      <c r="G1123" s="87">
        <f t="shared" si="282"/>
        <v>1870740</v>
      </c>
      <c r="H1123" s="87">
        <f t="shared" si="282"/>
        <v>1889447.4</v>
      </c>
      <c r="I1123" s="87">
        <f t="shared" si="282"/>
        <v>1908341.87</v>
      </c>
      <c r="J1123" s="177"/>
    </row>
    <row r="1124" spans="1:18" ht="51">
      <c r="A1124" s="82" t="s">
        <v>320</v>
      </c>
      <c r="B1124" s="149">
        <v>793</v>
      </c>
      <c r="C1124" s="84" t="s">
        <v>19</v>
      </c>
      <c r="D1124" s="84" t="s">
        <v>28</v>
      </c>
      <c r="E1124" s="84" t="s">
        <v>242</v>
      </c>
      <c r="F1124" s="84" t="s">
        <v>58</v>
      </c>
      <c r="G1124" s="87">
        <f t="shared" si="282"/>
        <v>1870740</v>
      </c>
      <c r="H1124" s="87">
        <f t="shared" si="282"/>
        <v>1889447.4</v>
      </c>
      <c r="I1124" s="87">
        <f t="shared" si="282"/>
        <v>1908341.87</v>
      </c>
      <c r="J1124" s="177"/>
    </row>
    <row r="1125" spans="1:18" ht="25.5">
      <c r="A1125" s="82" t="s">
        <v>56</v>
      </c>
      <c r="B1125" s="149">
        <v>793</v>
      </c>
      <c r="C1125" s="84" t="s">
        <v>19</v>
      </c>
      <c r="D1125" s="84" t="s">
        <v>28</v>
      </c>
      <c r="E1125" s="84" t="s">
        <v>242</v>
      </c>
      <c r="F1125" s="84" t="s">
        <v>59</v>
      </c>
      <c r="G1125" s="87">
        <v>1870740</v>
      </c>
      <c r="H1125" s="87">
        <v>1889447.4</v>
      </c>
      <c r="I1125" s="87">
        <v>1908341.87</v>
      </c>
      <c r="J1125" s="177"/>
    </row>
    <row r="1126" spans="1:18" ht="51">
      <c r="A1126" s="82" t="s">
        <v>75</v>
      </c>
      <c r="B1126" s="149">
        <v>793</v>
      </c>
      <c r="C1126" s="84" t="s">
        <v>19</v>
      </c>
      <c r="D1126" s="84" t="s">
        <v>54</v>
      </c>
      <c r="E1126" s="84"/>
      <c r="F1126" s="84"/>
      <c r="G1126" s="87">
        <f>G1131+G1127</f>
        <v>48011646.07</v>
      </c>
      <c r="H1126" s="87">
        <f>H1131+H1127</f>
        <v>48823051.160000004</v>
      </c>
      <c r="I1126" s="87">
        <f>I1131+I1127</f>
        <v>49454131.560000002</v>
      </c>
      <c r="J1126" s="177"/>
    </row>
    <row r="1127" spans="1:18" ht="27" customHeight="1">
      <c r="A1127" s="139" t="s">
        <v>715</v>
      </c>
      <c r="B1127" s="149">
        <v>793</v>
      </c>
      <c r="C1127" s="84" t="s">
        <v>19</v>
      </c>
      <c r="D1127" s="84" t="s">
        <v>54</v>
      </c>
      <c r="E1127" s="149" t="s">
        <v>243</v>
      </c>
      <c r="F1127" s="149"/>
      <c r="G1127" s="87">
        <f>G1130</f>
        <v>35000</v>
      </c>
      <c r="H1127" s="87">
        <f>H1130</f>
        <v>35000</v>
      </c>
      <c r="I1127" s="87">
        <f>I1130</f>
        <v>35000</v>
      </c>
      <c r="J1127" s="177"/>
      <c r="Q1127" s="209"/>
    </row>
    <row r="1128" spans="1:18" ht="25.5">
      <c r="A1128" s="82" t="s">
        <v>323</v>
      </c>
      <c r="B1128" s="149">
        <v>793</v>
      </c>
      <c r="C1128" s="84" t="s">
        <v>19</v>
      </c>
      <c r="D1128" s="84" t="s">
        <v>54</v>
      </c>
      <c r="E1128" s="84" t="s">
        <v>244</v>
      </c>
      <c r="F1128" s="84"/>
      <c r="G1128" s="87">
        <f t="shared" ref="G1128:I1129" si="283">G1129</f>
        <v>35000</v>
      </c>
      <c r="H1128" s="87">
        <f t="shared" si="283"/>
        <v>35000</v>
      </c>
      <c r="I1128" s="87">
        <f t="shared" si="283"/>
        <v>35000</v>
      </c>
      <c r="J1128" s="177"/>
    </row>
    <row r="1129" spans="1:18" ht="19.5" customHeight="1">
      <c r="A1129" s="82" t="s">
        <v>324</v>
      </c>
      <c r="B1129" s="149">
        <v>793</v>
      </c>
      <c r="C1129" s="84" t="s">
        <v>19</v>
      </c>
      <c r="D1129" s="84" t="s">
        <v>54</v>
      </c>
      <c r="E1129" s="84" t="s">
        <v>244</v>
      </c>
      <c r="F1129" s="84" t="s">
        <v>37</v>
      </c>
      <c r="G1129" s="87">
        <f t="shared" si="283"/>
        <v>35000</v>
      </c>
      <c r="H1129" s="87">
        <f t="shared" si="283"/>
        <v>35000</v>
      </c>
      <c r="I1129" s="87">
        <f t="shared" si="283"/>
        <v>35000</v>
      </c>
      <c r="J1129" s="177"/>
      <c r="Q1129" s="209"/>
    </row>
    <row r="1130" spans="1:18" ht="25.5">
      <c r="A1130" s="82" t="s">
        <v>38</v>
      </c>
      <c r="B1130" s="149">
        <v>793</v>
      </c>
      <c r="C1130" s="84" t="s">
        <v>19</v>
      </c>
      <c r="D1130" s="84" t="s">
        <v>54</v>
      </c>
      <c r="E1130" s="84" t="s">
        <v>244</v>
      </c>
      <c r="F1130" s="84" t="s">
        <v>39</v>
      </c>
      <c r="G1130" s="87">
        <v>35000</v>
      </c>
      <c r="H1130" s="87">
        <v>35000</v>
      </c>
      <c r="I1130" s="87">
        <v>35000</v>
      </c>
      <c r="J1130" s="177"/>
    </row>
    <row r="1131" spans="1:18" s="46" customFormat="1" ht="25.5">
      <c r="A1131" s="82" t="s">
        <v>318</v>
      </c>
      <c r="B1131" s="149">
        <v>793</v>
      </c>
      <c r="C1131" s="84" t="s">
        <v>19</v>
      </c>
      <c r="D1131" s="84" t="s">
        <v>54</v>
      </c>
      <c r="E1131" s="84" t="s">
        <v>240</v>
      </c>
      <c r="F1131" s="84"/>
      <c r="G1131" s="87">
        <f>G1132</f>
        <v>47976646.07</v>
      </c>
      <c r="H1131" s="87">
        <f>H1132</f>
        <v>48788051.160000004</v>
      </c>
      <c r="I1131" s="87">
        <f>I1132</f>
        <v>49419131.560000002</v>
      </c>
      <c r="J1131" s="177"/>
      <c r="K1131" s="222"/>
      <c r="L1131" s="222"/>
      <c r="M1131" s="222"/>
      <c r="N1131" s="222"/>
      <c r="O1131" s="222"/>
      <c r="P1131" s="222"/>
      <c r="Q1131" s="222"/>
      <c r="R1131" s="222"/>
    </row>
    <row r="1132" spans="1:18" s="46" customFormat="1">
      <c r="A1132" s="146" t="s">
        <v>325</v>
      </c>
      <c r="B1132" s="149">
        <v>793</v>
      </c>
      <c r="C1132" s="84" t="s">
        <v>19</v>
      </c>
      <c r="D1132" s="84" t="s">
        <v>54</v>
      </c>
      <c r="E1132" s="84" t="s">
        <v>245</v>
      </c>
      <c r="F1132" s="84"/>
      <c r="G1132" s="87">
        <f>G1133+G1159+G1142+G1154+G1147+G1162</f>
        <v>47976646.07</v>
      </c>
      <c r="H1132" s="87">
        <f t="shared" ref="H1132:I1132" si="284">H1133+H1159+H1142+H1154+H1147</f>
        <v>48788051.160000004</v>
      </c>
      <c r="I1132" s="87">
        <f t="shared" si="284"/>
        <v>49419131.560000002</v>
      </c>
      <c r="J1132" s="177"/>
      <c r="K1132" s="222"/>
      <c r="L1132" s="222"/>
      <c r="M1132" s="222"/>
      <c r="N1132" s="222"/>
      <c r="O1132" s="222"/>
      <c r="P1132" s="222"/>
      <c r="Q1132" s="222"/>
      <c r="R1132" s="222"/>
    </row>
    <row r="1133" spans="1:18" s="46" customFormat="1" ht="25.5">
      <c r="A1133" s="82" t="s">
        <v>76</v>
      </c>
      <c r="B1133" s="149">
        <v>793</v>
      </c>
      <c r="C1133" s="84" t="s">
        <v>19</v>
      </c>
      <c r="D1133" s="84" t="s">
        <v>54</v>
      </c>
      <c r="E1133" s="84" t="s">
        <v>246</v>
      </c>
      <c r="F1133" s="84"/>
      <c r="G1133" s="87">
        <f>G1134+G1136+G1140+G1138</f>
        <v>41246492</v>
      </c>
      <c r="H1133" s="87">
        <f t="shared" ref="H1133:I1133" si="285">H1134+H1136+H1140+H1138</f>
        <v>41892191</v>
      </c>
      <c r="I1133" s="87">
        <f t="shared" si="285"/>
        <v>42280397</v>
      </c>
      <c r="J1133" s="177"/>
      <c r="K1133" s="222"/>
      <c r="L1133" s="222"/>
      <c r="M1133" s="222"/>
      <c r="N1133" s="222"/>
      <c r="O1133" s="222"/>
      <c r="P1133" s="222"/>
      <c r="Q1133" s="222"/>
      <c r="R1133" s="222"/>
    </row>
    <row r="1134" spans="1:18" s="46" customFormat="1" ht="51">
      <c r="A1134" s="82" t="s">
        <v>320</v>
      </c>
      <c r="B1134" s="149">
        <v>793</v>
      </c>
      <c r="C1134" s="84" t="s">
        <v>19</v>
      </c>
      <c r="D1134" s="84" t="s">
        <v>54</v>
      </c>
      <c r="E1134" s="84" t="s">
        <v>246</v>
      </c>
      <c r="F1134" s="84" t="s">
        <v>58</v>
      </c>
      <c r="G1134" s="87">
        <f>G1135</f>
        <v>38443613</v>
      </c>
      <c r="H1134" s="87">
        <f>H1135</f>
        <v>39412631</v>
      </c>
      <c r="I1134" s="87">
        <f>I1135</f>
        <v>39800837</v>
      </c>
      <c r="J1134" s="177"/>
      <c r="K1134" s="222"/>
      <c r="L1134" s="222"/>
      <c r="M1134" s="222"/>
      <c r="N1134" s="222"/>
      <c r="O1134" s="222"/>
      <c r="P1134" s="222"/>
      <c r="Q1134" s="222"/>
      <c r="R1134" s="222"/>
    </row>
    <row r="1135" spans="1:18" s="46" customFormat="1" ht="25.5">
      <c r="A1135" s="82" t="s">
        <v>56</v>
      </c>
      <c r="B1135" s="149">
        <v>793</v>
      </c>
      <c r="C1135" s="84" t="s">
        <v>19</v>
      </c>
      <c r="D1135" s="84" t="s">
        <v>54</v>
      </c>
      <c r="E1135" s="84" t="s">
        <v>246</v>
      </c>
      <c r="F1135" s="84" t="s">
        <v>59</v>
      </c>
      <c r="G1135" s="87">
        <f>30598649+9240792+273000+144000+175000-1403173-584655</f>
        <v>38443613</v>
      </c>
      <c r="H1135" s="87">
        <f>30904635+9333200+273000+144000+175000-1417204</f>
        <v>39412631</v>
      </c>
      <c r="I1135" s="87">
        <f>31213681+9426532+273000+144000+175000-1431376</f>
        <v>39800837</v>
      </c>
      <c r="J1135" s="177"/>
      <c r="K1135" s="222"/>
      <c r="L1135" s="222"/>
      <c r="M1135" s="222"/>
      <c r="N1135" s="222"/>
      <c r="O1135" s="222"/>
      <c r="P1135" s="222"/>
      <c r="Q1135" s="214"/>
      <c r="R1135" s="222"/>
    </row>
    <row r="1136" spans="1:18" s="46" customFormat="1" ht="34.5" customHeight="1">
      <c r="A1136" s="82" t="s">
        <v>324</v>
      </c>
      <c r="B1136" s="149">
        <v>793</v>
      </c>
      <c r="C1136" s="84" t="s">
        <v>19</v>
      </c>
      <c r="D1136" s="84" t="s">
        <v>54</v>
      </c>
      <c r="E1136" s="84" t="s">
        <v>246</v>
      </c>
      <c r="F1136" s="84" t="s">
        <v>37</v>
      </c>
      <c r="G1136" s="87">
        <f>G1137</f>
        <v>2578597.85</v>
      </c>
      <c r="H1136" s="87">
        <f>H1137</f>
        <v>2474560</v>
      </c>
      <c r="I1136" s="87">
        <f>I1137</f>
        <v>2474560</v>
      </c>
      <c r="J1136" s="177"/>
      <c r="K1136" s="222"/>
      <c r="L1136" s="222"/>
      <c r="M1136" s="222"/>
      <c r="N1136" s="222"/>
      <c r="O1136" s="222"/>
      <c r="P1136" s="222"/>
      <c r="Q1136" s="222"/>
      <c r="R1136" s="222"/>
    </row>
    <row r="1137" spans="1:18" s="46" customFormat="1" ht="25.5">
      <c r="A1137" s="82" t="s">
        <v>38</v>
      </c>
      <c r="B1137" s="149">
        <v>793</v>
      </c>
      <c r="C1137" s="84" t="s">
        <v>19</v>
      </c>
      <c r="D1137" s="84" t="s">
        <v>54</v>
      </c>
      <c r="E1137" s="84" t="s">
        <v>246</v>
      </c>
      <c r="F1137" s="84" t="s">
        <v>39</v>
      </c>
      <c r="G1137" s="87">
        <f>2597682.18-19084.33</f>
        <v>2578597.85</v>
      </c>
      <c r="H1137" s="87">
        <f>2572560-98000</f>
        <v>2474560</v>
      </c>
      <c r="I1137" s="87">
        <f>2572560-98000</f>
        <v>2474560</v>
      </c>
      <c r="J1137" s="177"/>
      <c r="K1137" s="222"/>
      <c r="L1137" s="222"/>
      <c r="M1137" s="222"/>
      <c r="N1137" s="222"/>
      <c r="O1137" s="222"/>
      <c r="P1137" s="222"/>
      <c r="Q1137" s="222"/>
      <c r="R1137" s="222"/>
    </row>
    <row r="1138" spans="1:18" s="46" customFormat="1">
      <c r="A1138" s="82" t="s">
        <v>148</v>
      </c>
      <c r="B1138" s="149">
        <v>793</v>
      </c>
      <c r="C1138" s="84" t="s">
        <v>19</v>
      </c>
      <c r="D1138" s="84" t="s">
        <v>54</v>
      </c>
      <c r="E1138" s="84" t="s">
        <v>246</v>
      </c>
      <c r="F1138" s="84" t="s">
        <v>149</v>
      </c>
      <c r="G1138" s="87">
        <f>G1139</f>
        <v>200196.82</v>
      </c>
      <c r="H1138" s="87"/>
      <c r="I1138" s="87"/>
      <c r="J1138" s="177"/>
      <c r="K1138" s="222"/>
      <c r="L1138" s="222"/>
      <c r="M1138" s="222"/>
      <c r="N1138" s="222"/>
      <c r="O1138" s="222"/>
      <c r="P1138" s="222"/>
      <c r="Q1138" s="222"/>
      <c r="R1138" s="222"/>
    </row>
    <row r="1139" spans="1:18" s="46" customFormat="1" ht="25.5">
      <c r="A1139" s="82" t="s">
        <v>150</v>
      </c>
      <c r="B1139" s="149">
        <v>793</v>
      </c>
      <c r="C1139" s="84" t="s">
        <v>19</v>
      </c>
      <c r="D1139" s="84" t="s">
        <v>54</v>
      </c>
      <c r="E1139" s="84" t="s">
        <v>246</v>
      </c>
      <c r="F1139" s="84" t="s">
        <v>151</v>
      </c>
      <c r="G1139" s="87">
        <v>200196.82</v>
      </c>
      <c r="H1139" s="87"/>
      <c r="I1139" s="87"/>
      <c r="J1139" s="177"/>
      <c r="K1139" s="222"/>
      <c r="L1139" s="222"/>
      <c r="M1139" s="222"/>
      <c r="N1139" s="222"/>
      <c r="O1139" s="222"/>
      <c r="P1139" s="222"/>
      <c r="Q1139" s="222"/>
      <c r="R1139" s="222"/>
    </row>
    <row r="1140" spans="1:18" s="46" customFormat="1" ht="17.25" customHeight="1">
      <c r="A1140" s="82" t="s">
        <v>63</v>
      </c>
      <c r="B1140" s="149">
        <v>793</v>
      </c>
      <c r="C1140" s="84" t="s">
        <v>19</v>
      </c>
      <c r="D1140" s="84" t="s">
        <v>54</v>
      </c>
      <c r="E1140" s="84" t="s">
        <v>246</v>
      </c>
      <c r="F1140" s="84" t="s">
        <v>64</v>
      </c>
      <c r="G1140" s="87">
        <f>G1141</f>
        <v>24084.33</v>
      </c>
      <c r="H1140" s="87">
        <f t="shared" ref="H1140:I1140" si="286">H1141</f>
        <v>5000</v>
      </c>
      <c r="I1140" s="87">
        <f t="shared" si="286"/>
        <v>5000</v>
      </c>
      <c r="J1140" s="177"/>
      <c r="K1140" s="222"/>
      <c r="L1140" s="222"/>
      <c r="M1140" s="222"/>
      <c r="N1140" s="222"/>
      <c r="O1140" s="222"/>
      <c r="P1140" s="222"/>
      <c r="Q1140" s="222"/>
      <c r="R1140" s="222"/>
    </row>
    <row r="1141" spans="1:18" s="46" customFormat="1">
      <c r="A1141" s="82" t="s">
        <v>144</v>
      </c>
      <c r="B1141" s="149">
        <v>793</v>
      </c>
      <c r="C1141" s="84" t="s">
        <v>19</v>
      </c>
      <c r="D1141" s="84" t="s">
        <v>54</v>
      </c>
      <c r="E1141" s="84" t="s">
        <v>246</v>
      </c>
      <c r="F1141" s="84" t="s">
        <v>67</v>
      </c>
      <c r="G1141" s="87">
        <f>5000+19084.33</f>
        <v>24084.33</v>
      </c>
      <c r="H1141" s="87">
        <v>5000</v>
      </c>
      <c r="I1141" s="87">
        <v>5000</v>
      </c>
      <c r="J1141" s="177"/>
      <c r="K1141" s="222"/>
      <c r="L1141" s="222"/>
      <c r="M1141" s="222"/>
      <c r="N1141" s="222"/>
      <c r="O1141" s="222"/>
      <c r="P1141" s="222"/>
      <c r="Q1141" s="222"/>
      <c r="R1141" s="222"/>
    </row>
    <row r="1142" spans="1:18" s="3" customFormat="1" ht="80.25" customHeight="1">
      <c r="A1142" s="82" t="s">
        <v>684</v>
      </c>
      <c r="B1142" s="149">
        <v>793</v>
      </c>
      <c r="C1142" s="84" t="s">
        <v>19</v>
      </c>
      <c r="D1142" s="84" t="s">
        <v>54</v>
      </c>
      <c r="E1142" s="84" t="s">
        <v>682</v>
      </c>
      <c r="F1142" s="84"/>
      <c r="G1142" s="87">
        <f>G1143+G1145</f>
        <v>4801569.55</v>
      </c>
      <c r="H1142" s="87">
        <f>H1143+H1145</f>
        <v>4970232.34</v>
      </c>
      <c r="I1142" s="87">
        <f>I1143+I1145</f>
        <v>5145641.63</v>
      </c>
      <c r="J1142" s="177"/>
      <c r="K1142" s="199"/>
      <c r="L1142" s="199"/>
      <c r="M1142" s="199"/>
      <c r="N1142" s="199"/>
      <c r="O1142" s="199"/>
      <c r="P1142" s="199"/>
      <c r="Q1142" s="199"/>
      <c r="R1142" s="199"/>
    </row>
    <row r="1143" spans="1:18" s="3" customFormat="1" ht="51">
      <c r="A1143" s="82" t="s">
        <v>320</v>
      </c>
      <c r="B1143" s="149">
        <v>793</v>
      </c>
      <c r="C1143" s="84" t="s">
        <v>19</v>
      </c>
      <c r="D1143" s="84" t="s">
        <v>54</v>
      </c>
      <c r="E1143" s="84" t="s">
        <v>682</v>
      </c>
      <c r="F1143" s="84" t="s">
        <v>58</v>
      </c>
      <c r="G1143" s="87">
        <f>G1144</f>
        <v>4346569.55</v>
      </c>
      <c r="H1143" s="87">
        <f>H1144</f>
        <v>4515232.34</v>
      </c>
      <c r="I1143" s="87">
        <f>I1144</f>
        <v>4690641.63</v>
      </c>
      <c r="J1143" s="177"/>
      <c r="K1143" s="199"/>
      <c r="L1143" s="199"/>
      <c r="M1143" s="199"/>
      <c r="N1143" s="199"/>
      <c r="O1143" s="199"/>
      <c r="P1143" s="199"/>
      <c r="Q1143" s="199"/>
      <c r="R1143" s="199"/>
    </row>
    <row r="1144" spans="1:18" s="3" customFormat="1" ht="25.5">
      <c r="A1144" s="82" t="s">
        <v>56</v>
      </c>
      <c r="B1144" s="149">
        <v>793</v>
      </c>
      <c r="C1144" s="84" t="s">
        <v>19</v>
      </c>
      <c r="D1144" s="84" t="s">
        <v>54</v>
      </c>
      <c r="E1144" s="84" t="s">
        <v>682</v>
      </c>
      <c r="F1144" s="84" t="s">
        <v>59</v>
      </c>
      <c r="G1144" s="87">
        <v>4346569.55</v>
      </c>
      <c r="H1144" s="87">
        <v>4515232.34</v>
      </c>
      <c r="I1144" s="87">
        <v>4690641.63</v>
      </c>
      <c r="J1144" s="177"/>
      <c r="K1144" s="199"/>
      <c r="L1144" s="199"/>
      <c r="M1144" s="220"/>
      <c r="N1144" s="199"/>
      <c r="O1144" s="199"/>
      <c r="P1144" s="199"/>
      <c r="Q1144" s="199"/>
      <c r="R1144" s="199"/>
    </row>
    <row r="1145" spans="1:18" s="3" customFormat="1" ht="21.75" customHeight="1">
      <c r="A1145" s="82" t="s">
        <v>324</v>
      </c>
      <c r="B1145" s="149">
        <v>793</v>
      </c>
      <c r="C1145" s="84" t="s">
        <v>19</v>
      </c>
      <c r="D1145" s="84" t="s">
        <v>54</v>
      </c>
      <c r="E1145" s="84" t="s">
        <v>682</v>
      </c>
      <c r="F1145" s="84" t="s">
        <v>37</v>
      </c>
      <c r="G1145" s="87">
        <f>G1146</f>
        <v>455000</v>
      </c>
      <c r="H1145" s="87">
        <f>H1146</f>
        <v>455000</v>
      </c>
      <c r="I1145" s="87">
        <f>I1146</f>
        <v>455000</v>
      </c>
      <c r="J1145" s="177"/>
      <c r="K1145" s="199"/>
      <c r="L1145" s="199"/>
      <c r="M1145" s="199"/>
      <c r="N1145" s="199"/>
      <c r="O1145" s="199"/>
      <c r="P1145" s="199"/>
      <c r="Q1145" s="199"/>
      <c r="R1145" s="199"/>
    </row>
    <row r="1146" spans="1:18" s="3" customFormat="1" ht="25.5">
      <c r="A1146" s="82" t="s">
        <v>38</v>
      </c>
      <c r="B1146" s="149">
        <v>793</v>
      </c>
      <c r="C1146" s="84" t="s">
        <v>19</v>
      </c>
      <c r="D1146" s="84" t="s">
        <v>54</v>
      </c>
      <c r="E1146" s="84" t="s">
        <v>682</v>
      </c>
      <c r="F1146" s="84" t="s">
        <v>39</v>
      </c>
      <c r="G1146" s="87">
        <v>455000</v>
      </c>
      <c r="H1146" s="87">
        <v>455000</v>
      </c>
      <c r="I1146" s="87">
        <v>455000</v>
      </c>
      <c r="J1146" s="177"/>
      <c r="K1146" s="199"/>
      <c r="L1146" s="199"/>
      <c r="M1146" s="199"/>
      <c r="N1146" s="199"/>
      <c r="O1146" s="199"/>
      <c r="P1146" s="199"/>
      <c r="Q1146" s="199"/>
      <c r="R1146" s="199"/>
    </row>
    <row r="1147" spans="1:18" s="3" customFormat="1" ht="76.5">
      <c r="A1147" s="82" t="s">
        <v>685</v>
      </c>
      <c r="B1147" s="149">
        <v>793</v>
      </c>
      <c r="C1147" s="84" t="s">
        <v>19</v>
      </c>
      <c r="D1147" s="84" t="s">
        <v>54</v>
      </c>
      <c r="E1147" s="84" t="s">
        <v>686</v>
      </c>
      <c r="F1147" s="84"/>
      <c r="G1147" s="87">
        <f>G1148+G1152</f>
        <v>1477406.02</v>
      </c>
      <c r="H1147" s="87">
        <f>H1148+H1152</f>
        <v>1529302.26</v>
      </c>
      <c r="I1147" s="87">
        <f>I1148+I1152</f>
        <v>1583274.35</v>
      </c>
      <c r="J1147" s="177"/>
      <c r="K1147" s="199"/>
      <c r="L1147" s="199"/>
      <c r="M1147" s="199"/>
      <c r="N1147" s="199"/>
      <c r="O1147" s="199"/>
      <c r="P1147" s="199"/>
      <c r="Q1147" s="199"/>
      <c r="R1147" s="199"/>
    </row>
    <row r="1148" spans="1:18" s="3" customFormat="1" ht="51">
      <c r="A1148" s="82" t="s">
        <v>320</v>
      </c>
      <c r="B1148" s="149">
        <v>793</v>
      </c>
      <c r="C1148" s="84" t="s">
        <v>19</v>
      </c>
      <c r="D1148" s="84" t="s">
        <v>54</v>
      </c>
      <c r="E1148" s="84" t="s">
        <v>686</v>
      </c>
      <c r="F1148" s="84" t="s">
        <v>58</v>
      </c>
      <c r="G1148" s="87">
        <f>G1149</f>
        <v>1337406.02</v>
      </c>
      <c r="H1148" s="87">
        <f>H1149</f>
        <v>1389302.26</v>
      </c>
      <c r="I1148" s="87">
        <f>I1149</f>
        <v>1443274.35</v>
      </c>
      <c r="J1148" s="177"/>
      <c r="K1148" s="199"/>
      <c r="L1148" s="199"/>
      <c r="M1148" s="199"/>
      <c r="N1148" s="199"/>
      <c r="O1148" s="199"/>
      <c r="P1148" s="199"/>
      <c r="Q1148" s="199"/>
      <c r="R1148" s="199"/>
    </row>
    <row r="1149" spans="1:18" s="3" customFormat="1" ht="25.5">
      <c r="A1149" s="82" t="s">
        <v>56</v>
      </c>
      <c r="B1149" s="149">
        <v>793</v>
      </c>
      <c r="C1149" s="84" t="s">
        <v>19</v>
      </c>
      <c r="D1149" s="84" t="s">
        <v>54</v>
      </c>
      <c r="E1149" s="84" t="s">
        <v>686</v>
      </c>
      <c r="F1149" s="84" t="s">
        <v>59</v>
      </c>
      <c r="G1149" s="87">
        <v>1337406.02</v>
      </c>
      <c r="H1149" s="87">
        <v>1389302.26</v>
      </c>
      <c r="I1149" s="87">
        <v>1443274.35</v>
      </c>
      <c r="J1149" s="177"/>
      <c r="K1149" s="199"/>
      <c r="L1149" s="199"/>
      <c r="M1149" s="199"/>
      <c r="N1149" s="199"/>
      <c r="O1149" s="199"/>
      <c r="P1149" s="199"/>
      <c r="Q1149" s="199"/>
      <c r="R1149" s="199"/>
    </row>
    <row r="1150" spans="1:18" s="3" customFormat="1" ht="38.25" hidden="1">
      <c r="A1150" s="82" t="s">
        <v>57</v>
      </c>
      <c r="B1150" s="149">
        <v>793</v>
      </c>
      <c r="C1150" s="84" t="s">
        <v>19</v>
      </c>
      <c r="D1150" s="84" t="s">
        <v>54</v>
      </c>
      <c r="E1150" s="84" t="s">
        <v>686</v>
      </c>
      <c r="F1150" s="84" t="s">
        <v>60</v>
      </c>
      <c r="G1150" s="87"/>
      <c r="H1150" s="87"/>
      <c r="I1150" s="87"/>
      <c r="J1150" s="177"/>
      <c r="K1150" s="199"/>
      <c r="L1150" s="199"/>
      <c r="M1150" s="199"/>
      <c r="N1150" s="199"/>
      <c r="O1150" s="199"/>
      <c r="P1150" s="199"/>
      <c r="Q1150" s="199"/>
      <c r="R1150" s="199"/>
    </row>
    <row r="1151" spans="1:18" s="3" customFormat="1" ht="38.25" hidden="1">
      <c r="A1151" s="82" t="s">
        <v>61</v>
      </c>
      <c r="B1151" s="149">
        <v>793</v>
      </c>
      <c r="C1151" s="84" t="s">
        <v>19</v>
      </c>
      <c r="D1151" s="84" t="s">
        <v>54</v>
      </c>
      <c r="E1151" s="84" t="s">
        <v>686</v>
      </c>
      <c r="F1151" s="84" t="s">
        <v>62</v>
      </c>
      <c r="G1151" s="87"/>
      <c r="H1151" s="87"/>
      <c r="I1151" s="87"/>
      <c r="J1151" s="177"/>
      <c r="K1151" s="199"/>
      <c r="L1151" s="199"/>
      <c r="M1151" s="199"/>
      <c r="N1151" s="199"/>
      <c r="O1151" s="199"/>
      <c r="P1151" s="199"/>
      <c r="Q1151" s="199"/>
      <c r="R1151" s="199"/>
    </row>
    <row r="1152" spans="1:18" s="3" customFormat="1" ht="20.25" customHeight="1">
      <c r="A1152" s="82" t="s">
        <v>324</v>
      </c>
      <c r="B1152" s="149">
        <v>793</v>
      </c>
      <c r="C1152" s="84" t="s">
        <v>19</v>
      </c>
      <c r="D1152" s="84" t="s">
        <v>54</v>
      </c>
      <c r="E1152" s="84" t="s">
        <v>686</v>
      </c>
      <c r="F1152" s="84" t="s">
        <v>37</v>
      </c>
      <c r="G1152" s="87">
        <f>G1153</f>
        <v>140000</v>
      </c>
      <c r="H1152" s="87">
        <f>H1153</f>
        <v>140000</v>
      </c>
      <c r="I1152" s="87">
        <f>I1153</f>
        <v>140000</v>
      </c>
      <c r="J1152" s="177"/>
      <c r="K1152" s="199"/>
      <c r="L1152" s="199"/>
      <c r="M1152" s="199"/>
      <c r="N1152" s="199"/>
      <c r="O1152" s="199"/>
      <c r="P1152" s="199"/>
      <c r="Q1152" s="199"/>
      <c r="R1152" s="199"/>
    </row>
    <row r="1153" spans="1:18" s="3" customFormat="1" ht="25.5">
      <c r="A1153" s="82" t="s">
        <v>38</v>
      </c>
      <c r="B1153" s="149">
        <v>793</v>
      </c>
      <c r="C1153" s="84" t="s">
        <v>19</v>
      </c>
      <c r="D1153" s="84" t="s">
        <v>54</v>
      </c>
      <c r="E1153" s="84" t="s">
        <v>686</v>
      </c>
      <c r="F1153" s="84" t="s">
        <v>39</v>
      </c>
      <c r="G1153" s="87">
        <v>140000</v>
      </c>
      <c r="H1153" s="87">
        <v>140000</v>
      </c>
      <c r="I1153" s="87">
        <v>140000</v>
      </c>
      <c r="J1153" s="177"/>
      <c r="K1153" s="199"/>
      <c r="L1153" s="199"/>
      <c r="M1153" s="199"/>
      <c r="N1153" s="199"/>
      <c r="O1153" s="199"/>
      <c r="P1153" s="199"/>
      <c r="Q1153" s="199"/>
      <c r="R1153" s="199"/>
    </row>
    <row r="1154" spans="1:18" ht="13.5" customHeight="1">
      <c r="A1154" s="288" t="s">
        <v>330</v>
      </c>
      <c r="B1154" s="149">
        <v>793</v>
      </c>
      <c r="C1154" s="84" t="s">
        <v>19</v>
      </c>
      <c r="D1154" s="84" t="s">
        <v>54</v>
      </c>
      <c r="E1154" s="84" t="s">
        <v>247</v>
      </c>
      <c r="F1154" s="84"/>
      <c r="G1154" s="87">
        <f>G1155+G1157</f>
        <v>369351.5</v>
      </c>
      <c r="H1154" s="87">
        <f>H1155+H1157</f>
        <v>382325.56</v>
      </c>
      <c r="I1154" s="87">
        <f>I1155+I1157</f>
        <v>395818.58</v>
      </c>
      <c r="J1154" s="177"/>
    </row>
    <row r="1155" spans="1:18" s="3" customFormat="1" ht="51">
      <c r="A1155" s="82" t="s">
        <v>320</v>
      </c>
      <c r="B1155" s="149">
        <v>793</v>
      </c>
      <c r="C1155" s="84" t="s">
        <v>19</v>
      </c>
      <c r="D1155" s="84" t="s">
        <v>54</v>
      </c>
      <c r="E1155" s="84" t="s">
        <v>247</v>
      </c>
      <c r="F1155" s="84" t="s">
        <v>58</v>
      </c>
      <c r="G1155" s="87">
        <f>G1156</f>
        <v>359351.5</v>
      </c>
      <c r="H1155" s="87">
        <f>H1156</f>
        <v>372325.56</v>
      </c>
      <c r="I1155" s="87">
        <f>I1156</f>
        <v>385818.58</v>
      </c>
      <c r="J1155" s="177"/>
      <c r="K1155" s="199"/>
      <c r="L1155" s="199"/>
      <c r="M1155" s="199"/>
      <c r="N1155" s="199"/>
      <c r="O1155" s="199"/>
      <c r="P1155" s="199"/>
      <c r="Q1155" s="199"/>
      <c r="R1155" s="199"/>
    </row>
    <row r="1156" spans="1:18" s="3" customFormat="1" ht="25.5">
      <c r="A1156" s="82" t="s">
        <v>56</v>
      </c>
      <c r="B1156" s="149">
        <v>793</v>
      </c>
      <c r="C1156" s="84" t="s">
        <v>19</v>
      </c>
      <c r="D1156" s="84" t="s">
        <v>54</v>
      </c>
      <c r="E1156" s="84" t="s">
        <v>247</v>
      </c>
      <c r="F1156" s="84" t="s">
        <v>59</v>
      </c>
      <c r="G1156" s="87">
        <v>359351.5</v>
      </c>
      <c r="H1156" s="87">
        <v>372325.56</v>
      </c>
      <c r="I1156" s="87">
        <v>385818.58</v>
      </c>
      <c r="J1156" s="177"/>
      <c r="K1156" s="199"/>
      <c r="L1156" s="199"/>
      <c r="M1156" s="199"/>
      <c r="N1156" s="199"/>
      <c r="O1156" s="199"/>
      <c r="P1156" s="199"/>
      <c r="Q1156" s="199"/>
      <c r="R1156" s="199"/>
    </row>
    <row r="1157" spans="1:18" ht="19.5" customHeight="1">
      <c r="A1157" s="82" t="s">
        <v>324</v>
      </c>
      <c r="B1157" s="149">
        <v>793</v>
      </c>
      <c r="C1157" s="84" t="s">
        <v>19</v>
      </c>
      <c r="D1157" s="84" t="s">
        <v>54</v>
      </c>
      <c r="E1157" s="84" t="s">
        <v>247</v>
      </c>
      <c r="F1157" s="84" t="s">
        <v>37</v>
      </c>
      <c r="G1157" s="87">
        <f>G1158</f>
        <v>10000</v>
      </c>
      <c r="H1157" s="87">
        <f>H1158</f>
        <v>10000</v>
      </c>
      <c r="I1157" s="87">
        <f>I1158</f>
        <v>10000</v>
      </c>
      <c r="J1157" s="177"/>
    </row>
    <row r="1158" spans="1:18" ht="25.5" customHeight="1">
      <c r="A1158" s="82" t="s">
        <v>38</v>
      </c>
      <c r="B1158" s="149">
        <v>793</v>
      </c>
      <c r="C1158" s="84" t="s">
        <v>19</v>
      </c>
      <c r="D1158" s="84" t="s">
        <v>54</v>
      </c>
      <c r="E1158" s="84" t="s">
        <v>247</v>
      </c>
      <c r="F1158" s="84" t="s">
        <v>39</v>
      </c>
      <c r="G1158" s="87">
        <v>10000</v>
      </c>
      <c r="H1158" s="87">
        <v>10000</v>
      </c>
      <c r="I1158" s="87">
        <v>10000</v>
      </c>
      <c r="J1158" s="177"/>
    </row>
    <row r="1159" spans="1:18" s="46" customFormat="1" ht="63.75">
      <c r="A1159" s="82" t="s">
        <v>331</v>
      </c>
      <c r="B1159" s="149">
        <v>793</v>
      </c>
      <c r="C1159" s="84" t="s">
        <v>19</v>
      </c>
      <c r="D1159" s="84" t="s">
        <v>54</v>
      </c>
      <c r="E1159" s="84" t="s">
        <v>387</v>
      </c>
      <c r="F1159" s="84"/>
      <c r="G1159" s="87">
        <f t="shared" ref="G1159:I1159" si="287">G1160</f>
        <v>14000</v>
      </c>
      <c r="H1159" s="87">
        <f t="shared" si="287"/>
        <v>14000</v>
      </c>
      <c r="I1159" s="87">
        <f t="shared" si="287"/>
        <v>14000</v>
      </c>
      <c r="J1159" s="177"/>
      <c r="K1159" s="222"/>
      <c r="L1159" s="222"/>
      <c r="M1159" s="222"/>
      <c r="N1159" s="222"/>
      <c r="O1159" s="222"/>
      <c r="P1159" s="222"/>
      <c r="Q1159" s="222"/>
      <c r="R1159" s="222"/>
    </row>
    <row r="1160" spans="1:18" s="46" customFormat="1" ht="25.5">
      <c r="A1160" s="82" t="s">
        <v>324</v>
      </c>
      <c r="B1160" s="149">
        <v>793</v>
      </c>
      <c r="C1160" s="84" t="s">
        <v>19</v>
      </c>
      <c r="D1160" s="84" t="s">
        <v>54</v>
      </c>
      <c r="E1160" s="84" t="s">
        <v>387</v>
      </c>
      <c r="F1160" s="84" t="s">
        <v>37</v>
      </c>
      <c r="G1160" s="87">
        <f>G1161</f>
        <v>14000</v>
      </c>
      <c r="H1160" s="87">
        <f>H1161</f>
        <v>14000</v>
      </c>
      <c r="I1160" s="87">
        <f>I1161</f>
        <v>14000</v>
      </c>
      <c r="J1160" s="177"/>
      <c r="K1160" s="222"/>
      <c r="L1160" s="222"/>
      <c r="M1160" s="222"/>
      <c r="N1160" s="222"/>
      <c r="O1160" s="222"/>
      <c r="P1160" s="222"/>
      <c r="Q1160" s="222"/>
      <c r="R1160" s="222"/>
    </row>
    <row r="1161" spans="1:18" s="46" customFormat="1" ht="25.5">
      <c r="A1161" s="82" t="s">
        <v>38</v>
      </c>
      <c r="B1161" s="149">
        <v>793</v>
      </c>
      <c r="C1161" s="84" t="s">
        <v>19</v>
      </c>
      <c r="D1161" s="84" t="s">
        <v>54</v>
      </c>
      <c r="E1161" s="84" t="s">
        <v>387</v>
      </c>
      <c r="F1161" s="84" t="s">
        <v>39</v>
      </c>
      <c r="G1161" s="87">
        <v>14000</v>
      </c>
      <c r="H1161" s="87">
        <v>14000</v>
      </c>
      <c r="I1161" s="87">
        <v>14000</v>
      </c>
      <c r="J1161" s="177"/>
      <c r="K1161" s="222"/>
      <c r="L1161" s="222"/>
      <c r="M1161" s="222"/>
      <c r="N1161" s="222"/>
      <c r="O1161" s="222"/>
      <c r="P1161" s="222"/>
      <c r="Q1161" s="222"/>
      <c r="R1161" s="222"/>
    </row>
    <row r="1162" spans="1:18" s="46" customFormat="1" ht="102" customHeight="1">
      <c r="A1162" s="82" t="s">
        <v>947</v>
      </c>
      <c r="B1162" s="149">
        <v>793</v>
      </c>
      <c r="C1162" s="84" t="s">
        <v>19</v>
      </c>
      <c r="D1162" s="84" t="s">
        <v>54</v>
      </c>
      <c r="E1162" s="84" t="s">
        <v>946</v>
      </c>
      <c r="F1162" s="84"/>
      <c r="G1162" s="87">
        <f t="shared" ref="G1162:I1163" si="288">G1163</f>
        <v>67827</v>
      </c>
      <c r="H1162" s="87">
        <f t="shared" si="288"/>
        <v>0</v>
      </c>
      <c r="I1162" s="87">
        <f t="shared" si="288"/>
        <v>0</v>
      </c>
      <c r="J1162" s="177"/>
      <c r="K1162" s="222"/>
      <c r="L1162" s="222"/>
      <c r="M1162" s="222"/>
      <c r="N1162" s="222"/>
      <c r="O1162" s="222"/>
      <c r="P1162" s="222"/>
      <c r="Q1162" s="222"/>
      <c r="R1162" s="222"/>
    </row>
    <row r="1163" spans="1:18" s="46" customFormat="1" ht="27" customHeight="1">
      <c r="A1163" s="82" t="s">
        <v>324</v>
      </c>
      <c r="B1163" s="149">
        <v>793</v>
      </c>
      <c r="C1163" s="84" t="s">
        <v>19</v>
      </c>
      <c r="D1163" s="84" t="s">
        <v>54</v>
      </c>
      <c r="E1163" s="84" t="s">
        <v>946</v>
      </c>
      <c r="F1163" s="84" t="s">
        <v>37</v>
      </c>
      <c r="G1163" s="87">
        <f t="shared" si="288"/>
        <v>67827</v>
      </c>
      <c r="H1163" s="87">
        <f t="shared" si="288"/>
        <v>0</v>
      </c>
      <c r="I1163" s="87">
        <f t="shared" si="288"/>
        <v>0</v>
      </c>
      <c r="J1163" s="177"/>
      <c r="K1163" s="222"/>
      <c r="L1163" s="222"/>
      <c r="M1163" s="222"/>
      <c r="N1163" s="222"/>
      <c r="O1163" s="222"/>
      <c r="P1163" s="222"/>
      <c r="Q1163" s="222"/>
      <c r="R1163" s="222"/>
    </row>
    <row r="1164" spans="1:18" s="46" customFormat="1" ht="25.5">
      <c r="A1164" s="82" t="s">
        <v>38</v>
      </c>
      <c r="B1164" s="149">
        <v>793</v>
      </c>
      <c r="C1164" s="84" t="s">
        <v>19</v>
      </c>
      <c r="D1164" s="84" t="s">
        <v>54</v>
      </c>
      <c r="E1164" s="84" t="s">
        <v>946</v>
      </c>
      <c r="F1164" s="84" t="s">
        <v>39</v>
      </c>
      <c r="G1164" s="87">
        <f>62888+4939</f>
        <v>67827</v>
      </c>
      <c r="H1164" s="87">
        <v>0</v>
      </c>
      <c r="I1164" s="87">
        <v>0</v>
      </c>
      <c r="J1164" s="177"/>
      <c r="K1164" s="222"/>
      <c r="L1164" s="222"/>
      <c r="M1164" s="222"/>
      <c r="N1164" s="222"/>
      <c r="O1164" s="222"/>
      <c r="P1164" s="222"/>
      <c r="Q1164" s="222"/>
      <c r="R1164" s="222"/>
    </row>
    <row r="1165" spans="1:18" s="46" customFormat="1">
      <c r="A1165" s="82" t="s">
        <v>277</v>
      </c>
      <c r="B1165" s="149">
        <v>793</v>
      </c>
      <c r="C1165" s="84" t="s">
        <v>19</v>
      </c>
      <c r="D1165" s="84" t="s">
        <v>173</v>
      </c>
      <c r="E1165" s="84"/>
      <c r="F1165" s="84"/>
      <c r="G1165" s="87">
        <f t="shared" ref="G1165:I1173" si="289">G1166</f>
        <v>124287.62999999999</v>
      </c>
      <c r="H1165" s="87">
        <f t="shared" si="289"/>
        <v>4134.4299999999994</v>
      </c>
      <c r="I1165" s="87">
        <f t="shared" si="289"/>
        <v>3685.6099999999997</v>
      </c>
      <c r="J1165" s="177"/>
      <c r="K1165" s="222"/>
      <c r="L1165" s="222"/>
      <c r="M1165" s="222"/>
      <c r="N1165" s="222"/>
      <c r="O1165" s="222"/>
      <c r="P1165" s="222"/>
      <c r="Q1165" s="222"/>
      <c r="R1165" s="222"/>
    </row>
    <row r="1166" spans="1:18" s="46" customFormat="1">
      <c r="A1166" s="82" t="s">
        <v>278</v>
      </c>
      <c r="B1166" s="149">
        <v>793</v>
      </c>
      <c r="C1166" s="84" t="s">
        <v>19</v>
      </c>
      <c r="D1166" s="84" t="s">
        <v>173</v>
      </c>
      <c r="E1166" s="84" t="s">
        <v>279</v>
      </c>
      <c r="F1166" s="84"/>
      <c r="G1166" s="87">
        <f t="shared" si="289"/>
        <v>124287.62999999999</v>
      </c>
      <c r="H1166" s="87">
        <f t="shared" si="289"/>
        <v>4134.4299999999994</v>
      </c>
      <c r="I1166" s="87">
        <f t="shared" si="289"/>
        <v>3685.6099999999997</v>
      </c>
      <c r="J1166" s="177"/>
      <c r="K1166" s="222"/>
      <c r="L1166" s="222"/>
      <c r="M1166" s="222"/>
      <c r="N1166" s="222"/>
      <c r="O1166" s="222"/>
      <c r="P1166" s="222"/>
      <c r="Q1166" s="222"/>
      <c r="R1166" s="222"/>
    </row>
    <row r="1167" spans="1:18" s="46" customFormat="1" ht="51">
      <c r="A1167" s="82" t="s">
        <v>281</v>
      </c>
      <c r="B1167" s="149">
        <v>793</v>
      </c>
      <c r="C1167" s="84" t="s">
        <v>19</v>
      </c>
      <c r="D1167" s="84" t="s">
        <v>173</v>
      </c>
      <c r="E1167" s="84" t="s">
        <v>375</v>
      </c>
      <c r="F1167" s="84"/>
      <c r="G1167" s="87">
        <f t="shared" si="289"/>
        <v>124287.62999999999</v>
      </c>
      <c r="H1167" s="87">
        <f t="shared" si="289"/>
        <v>4134.4299999999994</v>
      </c>
      <c r="I1167" s="87">
        <f t="shared" si="289"/>
        <v>3685.6099999999997</v>
      </c>
      <c r="J1167" s="177"/>
      <c r="K1167" s="222"/>
      <c r="L1167" s="222"/>
      <c r="M1167" s="222"/>
      <c r="N1167" s="222"/>
      <c r="O1167" s="222"/>
      <c r="P1167" s="222"/>
      <c r="Q1167" s="222"/>
      <c r="R1167" s="222"/>
    </row>
    <row r="1168" spans="1:18" s="46" customFormat="1" ht="27.75" customHeight="1">
      <c r="A1168" s="82" t="s">
        <v>324</v>
      </c>
      <c r="B1168" s="149">
        <v>793</v>
      </c>
      <c r="C1168" s="84" t="s">
        <v>19</v>
      </c>
      <c r="D1168" s="84" t="s">
        <v>173</v>
      </c>
      <c r="E1168" s="84" t="s">
        <v>375</v>
      </c>
      <c r="F1168" s="84" t="s">
        <v>37</v>
      </c>
      <c r="G1168" s="87">
        <f t="shared" si="289"/>
        <v>124287.62999999999</v>
      </c>
      <c r="H1168" s="87">
        <f t="shared" si="289"/>
        <v>4134.4299999999994</v>
      </c>
      <c r="I1168" s="87">
        <f t="shared" si="289"/>
        <v>3685.6099999999997</v>
      </c>
      <c r="J1168" s="177"/>
      <c r="K1168" s="222"/>
      <c r="L1168" s="222"/>
      <c r="M1168" s="222"/>
      <c r="N1168" s="222"/>
      <c r="O1168" s="222"/>
      <c r="P1168" s="222"/>
      <c r="Q1168" s="222"/>
      <c r="R1168" s="222"/>
    </row>
    <row r="1169" spans="1:18" s="46" customFormat="1" ht="25.5">
      <c r="A1169" s="82" t="s">
        <v>38</v>
      </c>
      <c r="B1169" s="149">
        <v>793</v>
      </c>
      <c r="C1169" s="84" t="s">
        <v>19</v>
      </c>
      <c r="D1169" s="84" t="s">
        <v>173</v>
      </c>
      <c r="E1169" s="84" t="s">
        <v>375</v>
      </c>
      <c r="F1169" s="84" t="s">
        <v>39</v>
      </c>
      <c r="G1169" s="87">
        <f>132378.4-8090.77</f>
        <v>124287.62999999999</v>
      </c>
      <c r="H1169" s="87">
        <f>4171.86-37.43</f>
        <v>4134.4299999999994</v>
      </c>
      <c r="I1169" s="87">
        <f>3719.99-34.38</f>
        <v>3685.6099999999997</v>
      </c>
      <c r="J1169" s="177"/>
      <c r="K1169" s="222"/>
      <c r="L1169" s="222"/>
      <c r="M1169" s="222"/>
      <c r="N1169" s="222"/>
      <c r="O1169" s="222"/>
      <c r="P1169" s="222"/>
      <c r="Q1169" s="222"/>
      <c r="R1169" s="222"/>
    </row>
    <row r="1170" spans="1:18" s="46" customFormat="1" hidden="1">
      <c r="A1170" s="82" t="s">
        <v>812</v>
      </c>
      <c r="B1170" s="149">
        <v>793</v>
      </c>
      <c r="C1170" s="84" t="s">
        <v>19</v>
      </c>
      <c r="D1170" s="84" t="s">
        <v>26</v>
      </c>
      <c r="E1170" s="84"/>
      <c r="F1170" s="84"/>
      <c r="G1170" s="87">
        <f>G1171</f>
        <v>0</v>
      </c>
      <c r="H1170" s="87">
        <f t="shared" ref="H1170:I1170" si="290">H1171</f>
        <v>0</v>
      </c>
      <c r="I1170" s="87">
        <f t="shared" si="290"/>
        <v>0</v>
      </c>
      <c r="J1170" s="177"/>
      <c r="K1170" s="222"/>
      <c r="L1170" s="222"/>
      <c r="M1170" s="222"/>
      <c r="N1170" s="222"/>
      <c r="O1170" s="222"/>
      <c r="P1170" s="222"/>
      <c r="Q1170" s="222"/>
      <c r="R1170" s="222"/>
    </row>
    <row r="1171" spans="1:18" s="46" customFormat="1" hidden="1">
      <c r="A1171" s="82" t="s">
        <v>278</v>
      </c>
      <c r="B1171" s="149">
        <v>793</v>
      </c>
      <c r="C1171" s="84" t="s">
        <v>19</v>
      </c>
      <c r="D1171" s="84" t="s">
        <v>26</v>
      </c>
      <c r="E1171" s="84" t="s">
        <v>279</v>
      </c>
      <c r="F1171" s="84"/>
      <c r="G1171" s="87">
        <f t="shared" si="289"/>
        <v>0</v>
      </c>
      <c r="H1171" s="87">
        <f t="shared" si="289"/>
        <v>0</v>
      </c>
      <c r="I1171" s="87">
        <f t="shared" si="289"/>
        <v>0</v>
      </c>
      <c r="J1171" s="177"/>
      <c r="K1171" s="222"/>
      <c r="L1171" s="222"/>
      <c r="M1171" s="222"/>
      <c r="N1171" s="222"/>
      <c r="O1171" s="222"/>
      <c r="P1171" s="222"/>
      <c r="Q1171" s="222"/>
      <c r="R1171" s="222"/>
    </row>
    <row r="1172" spans="1:18" s="46" customFormat="1" ht="48" hidden="1" customHeight="1">
      <c r="A1172" s="82" t="s">
        <v>811</v>
      </c>
      <c r="B1172" s="149">
        <v>793</v>
      </c>
      <c r="C1172" s="84" t="s">
        <v>19</v>
      </c>
      <c r="D1172" s="84" t="s">
        <v>26</v>
      </c>
      <c r="E1172" s="84" t="s">
        <v>809</v>
      </c>
      <c r="F1172" s="84"/>
      <c r="G1172" s="87">
        <f t="shared" si="289"/>
        <v>0</v>
      </c>
      <c r="H1172" s="87">
        <f t="shared" si="289"/>
        <v>0</v>
      </c>
      <c r="I1172" s="87">
        <f t="shared" si="289"/>
        <v>0</v>
      </c>
      <c r="J1172" s="177"/>
      <c r="K1172" s="222"/>
      <c r="L1172" s="222"/>
      <c r="M1172" s="222"/>
      <c r="N1172" s="222"/>
      <c r="O1172" s="222"/>
      <c r="P1172" s="222"/>
      <c r="Q1172" s="222"/>
      <c r="R1172" s="222"/>
    </row>
    <row r="1173" spans="1:18" s="46" customFormat="1" ht="29.25" hidden="1" customHeight="1">
      <c r="A1173" s="82" t="s">
        <v>63</v>
      </c>
      <c r="B1173" s="149">
        <v>793</v>
      </c>
      <c r="C1173" s="84" t="s">
        <v>19</v>
      </c>
      <c r="D1173" s="84" t="s">
        <v>26</v>
      </c>
      <c r="E1173" s="84" t="s">
        <v>809</v>
      </c>
      <c r="F1173" s="84" t="s">
        <v>64</v>
      </c>
      <c r="G1173" s="87">
        <f t="shared" si="289"/>
        <v>0</v>
      </c>
      <c r="H1173" s="87">
        <f t="shared" si="289"/>
        <v>0</v>
      </c>
      <c r="I1173" s="87">
        <f t="shared" si="289"/>
        <v>0</v>
      </c>
      <c r="J1173" s="177"/>
      <c r="K1173" s="222"/>
      <c r="L1173" s="222"/>
      <c r="M1173" s="222"/>
      <c r="N1173" s="222"/>
      <c r="O1173" s="222"/>
      <c r="P1173" s="222"/>
      <c r="Q1173" s="222"/>
      <c r="R1173" s="222"/>
    </row>
    <row r="1174" spans="1:18" s="46" customFormat="1" hidden="1">
      <c r="A1174" s="82" t="s">
        <v>810</v>
      </c>
      <c r="B1174" s="149">
        <v>793</v>
      </c>
      <c r="C1174" s="84" t="s">
        <v>19</v>
      </c>
      <c r="D1174" s="84" t="s">
        <v>26</v>
      </c>
      <c r="E1174" s="84" t="s">
        <v>809</v>
      </c>
      <c r="F1174" s="84" t="s">
        <v>808</v>
      </c>
      <c r="G1174" s="87"/>
      <c r="H1174" s="87"/>
      <c r="I1174" s="87"/>
      <c r="J1174" s="177"/>
      <c r="K1174" s="222"/>
      <c r="L1174" s="222"/>
      <c r="M1174" s="222"/>
      <c r="N1174" s="222"/>
      <c r="O1174" s="222"/>
      <c r="P1174" s="222"/>
      <c r="Q1174" s="222"/>
      <c r="R1174" s="222"/>
    </row>
    <row r="1175" spans="1:18" s="18" customFormat="1">
      <c r="A1175" s="137" t="s">
        <v>332</v>
      </c>
      <c r="B1175" s="149">
        <v>793</v>
      </c>
      <c r="C1175" s="84" t="s">
        <v>19</v>
      </c>
      <c r="D1175" s="84" t="s">
        <v>72</v>
      </c>
      <c r="E1175" s="84"/>
      <c r="F1175" s="84"/>
      <c r="G1175" s="87">
        <f t="shared" ref="G1175:I1178" si="291">G1176</f>
        <v>241872.8</v>
      </c>
      <c r="H1175" s="87">
        <f t="shared" si="291"/>
        <v>1000000</v>
      </c>
      <c r="I1175" s="87">
        <f t="shared" si="291"/>
        <v>1000000</v>
      </c>
      <c r="J1175" s="177"/>
      <c r="K1175" s="200"/>
      <c r="L1175" s="200"/>
      <c r="M1175" s="200"/>
      <c r="N1175" s="200"/>
      <c r="O1175" s="200"/>
      <c r="P1175" s="200"/>
      <c r="Q1175" s="200"/>
      <c r="R1175" s="200"/>
    </row>
    <row r="1176" spans="1:18" s="28" customFormat="1" ht="24.75" customHeight="1">
      <c r="A1176" s="139" t="s">
        <v>169</v>
      </c>
      <c r="B1176" s="149">
        <v>793</v>
      </c>
      <c r="C1176" s="84" t="s">
        <v>19</v>
      </c>
      <c r="D1176" s="84" t="s">
        <v>72</v>
      </c>
      <c r="E1176" s="84" t="s">
        <v>234</v>
      </c>
      <c r="F1176" s="168"/>
      <c r="G1176" s="87">
        <f t="shared" si="291"/>
        <v>241872.8</v>
      </c>
      <c r="H1176" s="87">
        <f t="shared" si="291"/>
        <v>1000000</v>
      </c>
      <c r="I1176" s="87">
        <f t="shared" si="291"/>
        <v>1000000</v>
      </c>
      <c r="J1176" s="177"/>
      <c r="K1176" s="204"/>
      <c r="L1176" s="204"/>
      <c r="M1176" s="204"/>
      <c r="N1176" s="204"/>
      <c r="O1176" s="204"/>
      <c r="P1176" s="204"/>
      <c r="Q1176" s="204"/>
      <c r="R1176" s="204"/>
    </row>
    <row r="1177" spans="1:18" ht="25.5">
      <c r="A1177" s="139" t="s">
        <v>169</v>
      </c>
      <c r="B1177" s="149">
        <v>793</v>
      </c>
      <c r="C1177" s="84" t="s">
        <v>19</v>
      </c>
      <c r="D1177" s="84" t="s">
        <v>72</v>
      </c>
      <c r="E1177" s="84" t="s">
        <v>276</v>
      </c>
      <c r="F1177" s="149"/>
      <c r="G1177" s="87">
        <f t="shared" si="291"/>
        <v>241872.8</v>
      </c>
      <c r="H1177" s="87">
        <f t="shared" si="291"/>
        <v>1000000</v>
      </c>
      <c r="I1177" s="87">
        <f t="shared" si="291"/>
        <v>1000000</v>
      </c>
      <c r="J1177" s="177"/>
    </row>
    <row r="1178" spans="1:18">
      <c r="A1178" s="82" t="s">
        <v>63</v>
      </c>
      <c r="B1178" s="149">
        <v>793</v>
      </c>
      <c r="C1178" s="84" t="s">
        <v>19</v>
      </c>
      <c r="D1178" s="84" t="s">
        <v>72</v>
      </c>
      <c r="E1178" s="84" t="s">
        <v>276</v>
      </c>
      <c r="F1178" s="84" t="s">
        <v>64</v>
      </c>
      <c r="G1178" s="87">
        <f t="shared" si="291"/>
        <v>241872.8</v>
      </c>
      <c r="H1178" s="87">
        <f t="shared" si="291"/>
        <v>1000000</v>
      </c>
      <c r="I1178" s="87">
        <f t="shared" si="291"/>
        <v>1000000</v>
      </c>
      <c r="J1178" s="177"/>
    </row>
    <row r="1179" spans="1:18">
      <c r="A1179" s="82" t="s">
        <v>180</v>
      </c>
      <c r="B1179" s="149">
        <v>793</v>
      </c>
      <c r="C1179" s="84" t="s">
        <v>19</v>
      </c>
      <c r="D1179" s="84" t="s">
        <v>72</v>
      </c>
      <c r="E1179" s="84" t="s">
        <v>276</v>
      </c>
      <c r="F1179" s="84" t="s">
        <v>181</v>
      </c>
      <c r="G1179" s="87">
        <f>131872.8+110000</f>
        <v>241872.8</v>
      </c>
      <c r="H1179" s="87">
        <v>1000000</v>
      </c>
      <c r="I1179" s="87">
        <v>1000000</v>
      </c>
      <c r="J1179" s="177"/>
    </row>
    <row r="1180" spans="1:18">
      <c r="A1180" s="137" t="s">
        <v>22</v>
      </c>
      <c r="B1180" s="149">
        <v>793</v>
      </c>
      <c r="C1180" s="84" t="s">
        <v>19</v>
      </c>
      <c r="D1180" s="84" t="s">
        <v>23</v>
      </c>
      <c r="E1180" s="84"/>
      <c r="F1180" s="84"/>
      <c r="G1180" s="87">
        <f>G1181+G1228+G1243+G1212+G1205+G1259+G1239</f>
        <v>23351670.610000003</v>
      </c>
      <c r="H1180" s="87">
        <f>H1181+H1228+H1243+H1212+H1205</f>
        <v>19599179.489999998</v>
      </c>
      <c r="I1180" s="87">
        <f>I1181+I1228+I1243+I1212+I1205</f>
        <v>20697384.629999999</v>
      </c>
      <c r="J1180" s="177"/>
    </row>
    <row r="1181" spans="1:18" s="33" customFormat="1" ht="51">
      <c r="A1181" s="82" t="s">
        <v>473</v>
      </c>
      <c r="B1181" s="149">
        <v>793</v>
      </c>
      <c r="C1181" s="84" t="s">
        <v>19</v>
      </c>
      <c r="D1181" s="84" t="s">
        <v>23</v>
      </c>
      <c r="E1181" s="149" t="s">
        <v>248</v>
      </c>
      <c r="F1181" s="84"/>
      <c r="G1181" s="87">
        <f>G1182+G1185+G1195+G1202+G1190</f>
        <v>3135495.99</v>
      </c>
      <c r="H1181" s="87">
        <f t="shared" ref="H1181:I1181" si="292">H1182+H1185+H1195+H1202+H1190</f>
        <v>1262498.49</v>
      </c>
      <c r="I1181" s="87">
        <f t="shared" si="292"/>
        <v>2222880.63</v>
      </c>
      <c r="J1181" s="177"/>
      <c r="K1181" s="211"/>
      <c r="L1181" s="211"/>
      <c r="M1181" s="211"/>
      <c r="N1181" s="211"/>
      <c r="O1181" s="211"/>
      <c r="P1181" s="211"/>
      <c r="Q1181" s="211"/>
      <c r="R1181" s="211"/>
    </row>
    <row r="1182" spans="1:18" s="33" customFormat="1" ht="41.25" customHeight="1">
      <c r="A1182" s="82" t="s">
        <v>188</v>
      </c>
      <c r="B1182" s="149">
        <v>793</v>
      </c>
      <c r="C1182" s="84" t="s">
        <v>19</v>
      </c>
      <c r="D1182" s="84" t="s">
        <v>23</v>
      </c>
      <c r="E1182" s="84" t="s">
        <v>383</v>
      </c>
      <c r="F1182" s="84"/>
      <c r="G1182" s="87">
        <f t="shared" ref="G1182:I1183" si="293">G1183</f>
        <v>1048486</v>
      </c>
      <c r="H1182" s="87">
        <f>H1183</f>
        <v>500000</v>
      </c>
      <c r="I1182" s="87">
        <f t="shared" si="293"/>
        <v>500000</v>
      </c>
      <c r="J1182" s="177"/>
      <c r="K1182" s="211"/>
      <c r="L1182" s="211"/>
      <c r="M1182" s="211"/>
      <c r="N1182" s="211"/>
      <c r="O1182" s="211"/>
      <c r="P1182" s="211"/>
      <c r="Q1182" s="211"/>
      <c r="R1182" s="211"/>
    </row>
    <row r="1183" spans="1:18" s="33" customFormat="1" ht="28.5" customHeight="1">
      <c r="A1183" s="82" t="s">
        <v>30</v>
      </c>
      <c r="B1183" s="149">
        <v>793</v>
      </c>
      <c r="C1183" s="84" t="s">
        <v>19</v>
      </c>
      <c r="D1183" s="84" t="s">
        <v>23</v>
      </c>
      <c r="E1183" s="84" t="s">
        <v>383</v>
      </c>
      <c r="F1183" s="84" t="s">
        <v>31</v>
      </c>
      <c r="G1183" s="87">
        <f t="shared" si="293"/>
        <v>1048486</v>
      </c>
      <c r="H1183" s="87">
        <f t="shared" si="293"/>
        <v>500000</v>
      </c>
      <c r="I1183" s="87">
        <f t="shared" si="293"/>
        <v>500000</v>
      </c>
      <c r="J1183" s="177"/>
      <c r="K1183" s="211"/>
      <c r="L1183" s="211"/>
      <c r="M1183" s="211"/>
      <c r="N1183" s="211"/>
      <c r="O1183" s="211"/>
      <c r="P1183" s="211"/>
      <c r="Q1183" s="211"/>
      <c r="R1183" s="211"/>
    </row>
    <row r="1184" spans="1:18" s="33" customFormat="1" ht="45.75" customHeight="1">
      <c r="A1184" s="82" t="s">
        <v>9</v>
      </c>
      <c r="B1184" s="149">
        <v>793</v>
      </c>
      <c r="C1184" s="84" t="s">
        <v>19</v>
      </c>
      <c r="D1184" s="84" t="s">
        <v>23</v>
      </c>
      <c r="E1184" s="84" t="s">
        <v>383</v>
      </c>
      <c r="F1184" s="84" t="s">
        <v>8</v>
      </c>
      <c r="G1184" s="87">
        <f>500000+548486</f>
        <v>1048486</v>
      </c>
      <c r="H1184" s="87">
        <v>500000</v>
      </c>
      <c r="I1184" s="87">
        <v>500000</v>
      </c>
      <c r="J1184" s="177"/>
      <c r="K1184" s="211"/>
      <c r="L1184" s="211"/>
      <c r="M1184" s="211"/>
      <c r="N1184" s="211"/>
      <c r="O1184" s="211"/>
      <c r="P1184" s="211"/>
      <c r="Q1184" s="211"/>
      <c r="R1184" s="211"/>
    </row>
    <row r="1185" spans="1:10" ht="27.75" customHeight="1">
      <c r="A1185" s="289" t="s">
        <v>435</v>
      </c>
      <c r="B1185" s="149">
        <v>793</v>
      </c>
      <c r="C1185" s="84" t="s">
        <v>19</v>
      </c>
      <c r="D1185" s="84" t="s">
        <v>23</v>
      </c>
      <c r="E1185" s="84" t="s">
        <v>384</v>
      </c>
      <c r="F1185" s="84"/>
      <c r="G1185" s="87">
        <f>G1186+G1188</f>
        <v>1976013.29</v>
      </c>
      <c r="H1185" s="87">
        <f t="shared" ref="H1185:I1185" si="294">H1186+H1188</f>
        <v>507498.49</v>
      </c>
      <c r="I1185" s="87">
        <f t="shared" si="294"/>
        <v>1467880.63</v>
      </c>
      <c r="J1185" s="177"/>
    </row>
    <row r="1186" spans="1:10" ht="19.5" customHeight="1">
      <c r="A1186" s="82" t="s">
        <v>156</v>
      </c>
      <c r="B1186" s="149">
        <v>793</v>
      </c>
      <c r="C1186" s="84" t="s">
        <v>19</v>
      </c>
      <c r="D1186" s="84" t="s">
        <v>23</v>
      </c>
      <c r="E1186" s="84" t="s">
        <v>384</v>
      </c>
      <c r="F1186" s="84" t="s">
        <v>157</v>
      </c>
      <c r="G1186" s="87">
        <f>G1187</f>
        <v>1976013.29</v>
      </c>
      <c r="H1186" s="87">
        <f t="shared" ref="H1186:I1188" si="295">H1187</f>
        <v>0</v>
      </c>
      <c r="I1186" s="87">
        <f t="shared" si="295"/>
        <v>0</v>
      </c>
      <c r="J1186" s="177"/>
    </row>
    <row r="1187" spans="1:10" ht="12" customHeight="1">
      <c r="A1187" s="82" t="s">
        <v>178</v>
      </c>
      <c r="B1187" s="149">
        <v>793</v>
      </c>
      <c r="C1187" s="84" t="s">
        <v>19</v>
      </c>
      <c r="D1187" s="84" t="s">
        <v>23</v>
      </c>
      <c r="E1187" s="84" t="s">
        <v>384</v>
      </c>
      <c r="F1187" s="84" t="s">
        <v>179</v>
      </c>
      <c r="G1187" s="87">
        <v>1976013.29</v>
      </c>
      <c r="H1187" s="87"/>
      <c r="I1187" s="87"/>
      <c r="J1187" s="177"/>
    </row>
    <row r="1188" spans="1:10" ht="16.5" customHeight="1">
      <c r="A1188" s="82" t="s">
        <v>63</v>
      </c>
      <c r="B1188" s="149">
        <v>793</v>
      </c>
      <c r="C1188" s="84" t="s">
        <v>19</v>
      </c>
      <c r="D1188" s="84" t="s">
        <v>23</v>
      </c>
      <c r="E1188" s="84" t="s">
        <v>384</v>
      </c>
      <c r="F1188" s="84" t="s">
        <v>64</v>
      </c>
      <c r="G1188" s="87">
        <f>G1189</f>
        <v>-4.638422979041934E-11</v>
      </c>
      <c r="H1188" s="87">
        <f t="shared" si="295"/>
        <v>507498.49</v>
      </c>
      <c r="I1188" s="87">
        <f t="shared" si="295"/>
        <v>1467880.63</v>
      </c>
      <c r="J1188" s="177"/>
    </row>
    <row r="1189" spans="1:10" ht="17.25" customHeight="1">
      <c r="A1189" s="82" t="s">
        <v>180</v>
      </c>
      <c r="B1189" s="149">
        <v>793</v>
      </c>
      <c r="C1189" s="84" t="s">
        <v>19</v>
      </c>
      <c r="D1189" s="84" t="s">
        <v>23</v>
      </c>
      <c r="E1189" s="84" t="s">
        <v>384</v>
      </c>
      <c r="F1189" s="84" t="s">
        <v>181</v>
      </c>
      <c r="G1189" s="87">
        <f>1482009.99+500000-1976013.29-5996.7</f>
        <v>-4.638422979041934E-11</v>
      </c>
      <c r="H1189" s="87">
        <f>7498.49+500000</f>
        <v>507498.49</v>
      </c>
      <c r="I1189" s="87">
        <f>967880.63+500000</f>
        <v>1467880.63</v>
      </c>
      <c r="J1189" s="177"/>
    </row>
    <row r="1190" spans="1:10" ht="27.75" customHeight="1">
      <c r="A1190" s="289" t="s">
        <v>914</v>
      </c>
      <c r="B1190" s="149">
        <v>793</v>
      </c>
      <c r="C1190" s="84" t="s">
        <v>19</v>
      </c>
      <c r="D1190" s="84" t="s">
        <v>23</v>
      </c>
      <c r="E1190" s="84" t="s">
        <v>874</v>
      </c>
      <c r="F1190" s="84"/>
      <c r="G1190" s="87">
        <f>G1191+G1193</f>
        <v>0</v>
      </c>
      <c r="H1190" s="87">
        <f t="shared" ref="H1190:I1190" si="296">H1191+H1193</f>
        <v>100000</v>
      </c>
      <c r="I1190" s="87">
        <f t="shared" si="296"/>
        <v>100000</v>
      </c>
      <c r="J1190" s="177"/>
    </row>
    <row r="1191" spans="1:10" ht="19.5" hidden="1" customHeight="1">
      <c r="A1191" s="82" t="s">
        <v>156</v>
      </c>
      <c r="B1191" s="149">
        <v>793</v>
      </c>
      <c r="C1191" s="84" t="s">
        <v>19</v>
      </c>
      <c r="D1191" s="84" t="s">
        <v>23</v>
      </c>
      <c r="E1191" s="84" t="s">
        <v>384</v>
      </c>
      <c r="F1191" s="84" t="s">
        <v>157</v>
      </c>
      <c r="G1191" s="87">
        <f>G1192</f>
        <v>0</v>
      </c>
      <c r="H1191" s="87">
        <f t="shared" ref="H1191:I1193" si="297">H1192</f>
        <v>0</v>
      </c>
      <c r="I1191" s="87">
        <f t="shared" si="297"/>
        <v>0</v>
      </c>
      <c r="J1191" s="177"/>
    </row>
    <row r="1192" spans="1:10" ht="12" hidden="1" customHeight="1">
      <c r="A1192" s="82" t="s">
        <v>178</v>
      </c>
      <c r="B1192" s="149">
        <v>793</v>
      </c>
      <c r="C1192" s="84" t="s">
        <v>19</v>
      </c>
      <c r="D1192" s="84" t="s">
        <v>23</v>
      </c>
      <c r="E1192" s="84" t="s">
        <v>384</v>
      </c>
      <c r="F1192" s="84" t="s">
        <v>179</v>
      </c>
      <c r="G1192" s="87"/>
      <c r="H1192" s="87"/>
      <c r="I1192" s="87"/>
      <c r="J1192" s="177"/>
    </row>
    <row r="1193" spans="1:10" ht="16.5" customHeight="1">
      <c r="A1193" s="82" t="s">
        <v>63</v>
      </c>
      <c r="B1193" s="149">
        <v>793</v>
      </c>
      <c r="C1193" s="84" t="s">
        <v>19</v>
      </c>
      <c r="D1193" s="84" t="s">
        <v>23</v>
      </c>
      <c r="E1193" s="84" t="s">
        <v>874</v>
      </c>
      <c r="F1193" s="84" t="s">
        <v>64</v>
      </c>
      <c r="G1193" s="87">
        <f>G1194</f>
        <v>0</v>
      </c>
      <c r="H1193" s="87">
        <f t="shared" si="297"/>
        <v>100000</v>
      </c>
      <c r="I1193" s="87">
        <f t="shared" si="297"/>
        <v>100000</v>
      </c>
      <c r="J1193" s="177"/>
    </row>
    <row r="1194" spans="1:10" ht="17.25" customHeight="1">
      <c r="A1194" s="82" t="s">
        <v>180</v>
      </c>
      <c r="B1194" s="149">
        <v>793</v>
      </c>
      <c r="C1194" s="84" t="s">
        <v>19</v>
      </c>
      <c r="D1194" s="84" t="s">
        <v>23</v>
      </c>
      <c r="E1194" s="84" t="s">
        <v>874</v>
      </c>
      <c r="F1194" s="84" t="s">
        <v>181</v>
      </c>
      <c r="G1194" s="87">
        <f>100000-100000</f>
        <v>0</v>
      </c>
      <c r="H1194" s="87">
        <v>100000</v>
      </c>
      <c r="I1194" s="87">
        <v>100000</v>
      </c>
      <c r="J1194" s="177"/>
    </row>
    <row r="1195" spans="1:10" ht="25.5" customHeight="1">
      <c r="A1195" s="82" t="s">
        <v>120</v>
      </c>
      <c r="B1195" s="149">
        <v>793</v>
      </c>
      <c r="C1195" s="84" t="s">
        <v>19</v>
      </c>
      <c r="D1195" s="84" t="s">
        <v>23</v>
      </c>
      <c r="E1195" s="84" t="s">
        <v>249</v>
      </c>
      <c r="F1195" s="84"/>
      <c r="G1195" s="87">
        <f>G1196+G1200+G1198</f>
        <v>110996.7</v>
      </c>
      <c r="H1195" s="87">
        <f t="shared" ref="H1195:I1195" si="298">H1196+H1200+H1198</f>
        <v>105000</v>
      </c>
      <c r="I1195" s="87">
        <f t="shared" si="298"/>
        <v>105000</v>
      </c>
      <c r="J1195" s="177"/>
    </row>
    <row r="1196" spans="1:10" ht="21.75" customHeight="1">
      <c r="A1196" s="82" t="s">
        <v>324</v>
      </c>
      <c r="B1196" s="149">
        <v>793</v>
      </c>
      <c r="C1196" s="84" t="s">
        <v>19</v>
      </c>
      <c r="D1196" s="84" t="s">
        <v>23</v>
      </c>
      <c r="E1196" s="84" t="s">
        <v>249</v>
      </c>
      <c r="F1196" s="84" t="s">
        <v>37</v>
      </c>
      <c r="G1196" s="87">
        <f>G1197</f>
        <v>75996.7</v>
      </c>
      <c r="H1196" s="87">
        <f>H1197</f>
        <v>70000</v>
      </c>
      <c r="I1196" s="87">
        <f>I1197</f>
        <v>70000</v>
      </c>
      <c r="J1196" s="177"/>
    </row>
    <row r="1197" spans="1:10" ht="25.5" customHeight="1">
      <c r="A1197" s="82" t="s">
        <v>38</v>
      </c>
      <c r="B1197" s="149">
        <v>793</v>
      </c>
      <c r="C1197" s="84" t="s">
        <v>19</v>
      </c>
      <c r="D1197" s="84" t="s">
        <v>23</v>
      </c>
      <c r="E1197" s="84" t="s">
        <v>249</v>
      </c>
      <c r="F1197" s="84" t="s">
        <v>39</v>
      </c>
      <c r="G1197" s="87">
        <f>70000+5996.7</f>
        <v>75996.7</v>
      </c>
      <c r="H1197" s="87">
        <v>70000</v>
      </c>
      <c r="I1197" s="87">
        <v>70000</v>
      </c>
      <c r="J1197" s="177"/>
    </row>
    <row r="1198" spans="1:10" ht="25.5" hidden="1" customHeight="1">
      <c r="A1198" s="82" t="s">
        <v>30</v>
      </c>
      <c r="B1198" s="149">
        <v>793</v>
      </c>
      <c r="C1198" s="84" t="s">
        <v>19</v>
      </c>
      <c r="D1198" s="84" t="s">
        <v>23</v>
      </c>
      <c r="E1198" s="84" t="s">
        <v>249</v>
      </c>
      <c r="F1198" s="84" t="s">
        <v>31</v>
      </c>
      <c r="G1198" s="87">
        <f>G1199</f>
        <v>0</v>
      </c>
      <c r="H1198" s="87"/>
      <c r="I1198" s="87"/>
      <c r="J1198" s="177"/>
    </row>
    <row r="1199" spans="1:10" ht="25.5" hidden="1" customHeight="1">
      <c r="A1199" s="82" t="s">
        <v>9</v>
      </c>
      <c r="B1199" s="149">
        <v>793</v>
      </c>
      <c r="C1199" s="84" t="s">
        <v>19</v>
      </c>
      <c r="D1199" s="84" t="s">
        <v>23</v>
      </c>
      <c r="E1199" s="84" t="s">
        <v>249</v>
      </c>
      <c r="F1199" s="84" t="s">
        <v>8</v>
      </c>
      <c r="G1199" s="87"/>
      <c r="H1199" s="87"/>
      <c r="I1199" s="87"/>
      <c r="J1199" s="177"/>
    </row>
    <row r="1200" spans="1:10" ht="18.75" customHeight="1">
      <c r="A1200" s="82" t="s">
        <v>63</v>
      </c>
      <c r="B1200" s="149">
        <v>793</v>
      </c>
      <c r="C1200" s="84" t="s">
        <v>19</v>
      </c>
      <c r="D1200" s="84" t="s">
        <v>23</v>
      </c>
      <c r="E1200" s="84" t="s">
        <v>249</v>
      </c>
      <c r="F1200" s="84" t="s">
        <v>64</v>
      </c>
      <c r="G1200" s="87">
        <f>G1201</f>
        <v>35000</v>
      </c>
      <c r="H1200" s="87">
        <f t="shared" ref="H1200:I1200" si="299">H1201</f>
        <v>35000</v>
      </c>
      <c r="I1200" s="87">
        <f t="shared" si="299"/>
        <v>35000</v>
      </c>
      <c r="J1200" s="177"/>
    </row>
    <row r="1201" spans="1:17" ht="19.5" customHeight="1">
      <c r="A1201" s="82" t="s">
        <v>144</v>
      </c>
      <c r="B1201" s="149">
        <v>793</v>
      </c>
      <c r="C1201" s="84" t="s">
        <v>19</v>
      </c>
      <c r="D1201" s="84" t="s">
        <v>23</v>
      </c>
      <c r="E1201" s="84" t="s">
        <v>249</v>
      </c>
      <c r="F1201" s="84" t="s">
        <v>67</v>
      </c>
      <c r="G1201" s="87">
        <v>35000</v>
      </c>
      <c r="H1201" s="87">
        <v>35000</v>
      </c>
      <c r="I1201" s="87">
        <v>35000</v>
      </c>
      <c r="J1201" s="177"/>
    </row>
    <row r="1202" spans="1:17" ht="16.5" customHeight="1">
      <c r="A1202" s="82" t="s">
        <v>448</v>
      </c>
      <c r="B1202" s="149">
        <v>793</v>
      </c>
      <c r="C1202" s="84" t="s">
        <v>19</v>
      </c>
      <c r="D1202" s="84" t="s">
        <v>23</v>
      </c>
      <c r="E1202" s="84" t="s">
        <v>449</v>
      </c>
      <c r="F1202" s="84"/>
      <c r="G1202" s="87">
        <f>G1203</f>
        <v>0</v>
      </c>
      <c r="H1202" s="87">
        <f t="shared" ref="H1202:I1202" si="300">H1203</f>
        <v>50000</v>
      </c>
      <c r="I1202" s="87">
        <f t="shared" si="300"/>
        <v>50000</v>
      </c>
      <c r="J1202" s="177"/>
    </row>
    <row r="1203" spans="1:17" ht="25.5" customHeight="1">
      <c r="A1203" s="82" t="s">
        <v>324</v>
      </c>
      <c r="B1203" s="149">
        <v>793</v>
      </c>
      <c r="C1203" s="84" t="s">
        <v>19</v>
      </c>
      <c r="D1203" s="84" t="s">
        <v>23</v>
      </c>
      <c r="E1203" s="84" t="s">
        <v>449</v>
      </c>
      <c r="F1203" s="84" t="s">
        <v>37</v>
      </c>
      <c r="G1203" s="87">
        <f>G1204</f>
        <v>0</v>
      </c>
      <c r="H1203" s="87">
        <f>H1204</f>
        <v>50000</v>
      </c>
      <c r="I1203" s="87">
        <f>I1204</f>
        <v>50000</v>
      </c>
      <c r="J1203" s="177"/>
    </row>
    <row r="1204" spans="1:17" ht="25.5" customHeight="1">
      <c r="A1204" s="82" t="s">
        <v>38</v>
      </c>
      <c r="B1204" s="149">
        <v>793</v>
      </c>
      <c r="C1204" s="84" t="s">
        <v>19</v>
      </c>
      <c r="D1204" s="84" t="s">
        <v>23</v>
      </c>
      <c r="E1204" s="84" t="s">
        <v>449</v>
      </c>
      <c r="F1204" s="84" t="s">
        <v>39</v>
      </c>
      <c r="G1204" s="87">
        <v>0</v>
      </c>
      <c r="H1204" s="87">
        <v>50000</v>
      </c>
      <c r="I1204" s="87">
        <v>50000</v>
      </c>
      <c r="J1204" s="177"/>
    </row>
    <row r="1205" spans="1:17" ht="25.5" customHeight="1">
      <c r="A1205" s="82" t="s">
        <v>602</v>
      </c>
      <c r="B1205" s="149">
        <v>793</v>
      </c>
      <c r="C1205" s="84" t="s">
        <v>19</v>
      </c>
      <c r="D1205" s="84" t="s">
        <v>23</v>
      </c>
      <c r="E1205" s="84" t="s">
        <v>193</v>
      </c>
      <c r="F1205" s="84"/>
      <c r="G1205" s="87">
        <f>G1206+G1209</f>
        <v>42300</v>
      </c>
      <c r="H1205" s="87">
        <f t="shared" ref="H1205:I1205" si="301">H1206+H1209</f>
        <v>42300</v>
      </c>
      <c r="I1205" s="87">
        <f t="shared" si="301"/>
        <v>42300</v>
      </c>
      <c r="J1205" s="177"/>
    </row>
    <row r="1206" spans="1:17" ht="30.75" customHeight="1">
      <c r="A1206" s="82" t="s">
        <v>665</v>
      </c>
      <c r="B1206" s="149">
        <v>793</v>
      </c>
      <c r="C1206" s="84" t="s">
        <v>19</v>
      </c>
      <c r="D1206" s="84" t="s">
        <v>23</v>
      </c>
      <c r="E1206" s="84" t="s">
        <v>758</v>
      </c>
      <c r="F1206" s="84"/>
      <c r="G1206" s="87">
        <f>G1207</f>
        <v>42300</v>
      </c>
      <c r="H1206" s="87">
        <f t="shared" ref="H1206:I1206" si="302">H1207</f>
        <v>42300</v>
      </c>
      <c r="I1206" s="87">
        <f t="shared" si="302"/>
        <v>42300</v>
      </c>
      <c r="J1206" s="177"/>
    </row>
    <row r="1207" spans="1:17" ht="19.5" customHeight="1">
      <c r="A1207" s="82" t="s">
        <v>324</v>
      </c>
      <c r="B1207" s="149">
        <v>793</v>
      </c>
      <c r="C1207" s="84" t="s">
        <v>19</v>
      </c>
      <c r="D1207" s="84" t="s">
        <v>23</v>
      </c>
      <c r="E1207" s="84" t="s">
        <v>758</v>
      </c>
      <c r="F1207" s="84" t="s">
        <v>37</v>
      </c>
      <c r="G1207" s="87">
        <f>G1208</f>
        <v>42300</v>
      </c>
      <c r="H1207" s="87">
        <f t="shared" ref="H1207:I1207" si="303">H1208</f>
        <v>42300</v>
      </c>
      <c r="I1207" s="87">
        <f t="shared" si="303"/>
        <v>42300</v>
      </c>
      <c r="J1207" s="177"/>
    </row>
    <row r="1208" spans="1:17" ht="25.5" customHeight="1">
      <c r="A1208" s="82" t="s">
        <v>38</v>
      </c>
      <c r="B1208" s="149">
        <v>793</v>
      </c>
      <c r="C1208" s="84" t="s">
        <v>19</v>
      </c>
      <c r="D1208" s="84" t="s">
        <v>23</v>
      </c>
      <c r="E1208" s="84" t="s">
        <v>758</v>
      </c>
      <c r="F1208" s="84" t="s">
        <v>39</v>
      </c>
      <c r="G1208" s="87">
        <v>42300</v>
      </c>
      <c r="H1208" s="87">
        <v>42300</v>
      </c>
      <c r="I1208" s="87">
        <v>42300</v>
      </c>
      <c r="J1208" s="177"/>
      <c r="Q1208" s="209"/>
    </row>
    <row r="1209" spans="1:17" ht="18" hidden="1" customHeight="1">
      <c r="A1209" s="82" t="s">
        <v>663</v>
      </c>
      <c r="B1209" s="149">
        <v>793</v>
      </c>
      <c r="C1209" s="84" t="s">
        <v>19</v>
      </c>
      <c r="D1209" s="84" t="s">
        <v>23</v>
      </c>
      <c r="E1209" s="84" t="s">
        <v>662</v>
      </c>
      <c r="F1209" s="84"/>
      <c r="G1209" s="87">
        <f>G1210</f>
        <v>0</v>
      </c>
      <c r="H1209" s="87">
        <f t="shared" ref="H1209:I1210" si="304">H1210</f>
        <v>0</v>
      </c>
      <c r="I1209" s="87">
        <f t="shared" si="304"/>
        <v>0</v>
      </c>
      <c r="J1209" s="177"/>
    </row>
    <row r="1210" spans="1:17" ht="19.5" hidden="1" customHeight="1">
      <c r="A1210" s="82" t="s">
        <v>324</v>
      </c>
      <c r="B1210" s="149">
        <v>793</v>
      </c>
      <c r="C1210" s="84" t="s">
        <v>19</v>
      </c>
      <c r="D1210" s="84" t="s">
        <v>23</v>
      </c>
      <c r="E1210" s="84" t="s">
        <v>662</v>
      </c>
      <c r="F1210" s="84" t="s">
        <v>37</v>
      </c>
      <c r="G1210" s="87">
        <f>G1211</f>
        <v>0</v>
      </c>
      <c r="H1210" s="87">
        <f t="shared" si="304"/>
        <v>0</v>
      </c>
      <c r="I1210" s="87">
        <f t="shared" si="304"/>
        <v>0</v>
      </c>
      <c r="J1210" s="177"/>
    </row>
    <row r="1211" spans="1:17" ht="25.5" hidden="1" customHeight="1">
      <c r="A1211" s="82" t="s">
        <v>38</v>
      </c>
      <c r="B1211" s="149">
        <v>793</v>
      </c>
      <c r="C1211" s="84" t="s">
        <v>19</v>
      </c>
      <c r="D1211" s="84" t="s">
        <v>23</v>
      </c>
      <c r="E1211" s="84" t="s">
        <v>662</v>
      </c>
      <c r="F1211" s="84" t="s">
        <v>39</v>
      </c>
      <c r="G1211" s="87"/>
      <c r="H1211" s="87">
        <v>0</v>
      </c>
      <c r="I1211" s="87">
        <v>0</v>
      </c>
      <c r="J1211" s="177"/>
    </row>
    <row r="1212" spans="1:17" ht="38.25">
      <c r="A1212" s="82" t="s">
        <v>445</v>
      </c>
      <c r="B1212" s="149">
        <v>793</v>
      </c>
      <c r="C1212" s="84" t="s">
        <v>19</v>
      </c>
      <c r="D1212" s="84" t="s">
        <v>23</v>
      </c>
      <c r="E1212" s="84" t="s">
        <v>250</v>
      </c>
      <c r="F1212" s="84"/>
      <c r="G1212" s="87">
        <f>G1213+G1219+G1222+G1216+G1225</f>
        <v>3869251.62</v>
      </c>
      <c r="H1212" s="87">
        <f t="shared" ref="H1212:I1212" si="305">H1213+H1219+H1222+H1216</f>
        <v>2045000</v>
      </c>
      <c r="I1212" s="87">
        <f t="shared" si="305"/>
        <v>2045000</v>
      </c>
      <c r="J1212" s="177"/>
    </row>
    <row r="1213" spans="1:17" ht="23.25" customHeight="1">
      <c r="A1213" s="137" t="s">
        <v>971</v>
      </c>
      <c r="B1213" s="149">
        <v>793</v>
      </c>
      <c r="C1213" s="84" t="s">
        <v>19</v>
      </c>
      <c r="D1213" s="84" t="s">
        <v>23</v>
      </c>
      <c r="E1213" s="84" t="s">
        <v>401</v>
      </c>
      <c r="F1213" s="84"/>
      <c r="G1213" s="87">
        <f t="shared" ref="G1213:I1217" si="306">G1214</f>
        <v>1154235.52</v>
      </c>
      <c r="H1213" s="87">
        <f t="shared" si="306"/>
        <v>1500000</v>
      </c>
      <c r="I1213" s="87">
        <f t="shared" si="306"/>
        <v>1500000</v>
      </c>
      <c r="J1213" s="177"/>
    </row>
    <row r="1214" spans="1:17" ht="34.5" customHeight="1">
      <c r="A1214" s="82" t="s">
        <v>324</v>
      </c>
      <c r="B1214" s="149">
        <v>793</v>
      </c>
      <c r="C1214" s="84" t="s">
        <v>19</v>
      </c>
      <c r="D1214" s="84" t="s">
        <v>23</v>
      </c>
      <c r="E1214" s="84" t="s">
        <v>401</v>
      </c>
      <c r="F1214" s="84" t="s">
        <v>37</v>
      </c>
      <c r="G1214" s="87">
        <f t="shared" si="306"/>
        <v>1154235.52</v>
      </c>
      <c r="H1214" s="87">
        <f t="shared" si="306"/>
        <v>1500000</v>
      </c>
      <c r="I1214" s="87">
        <f t="shared" si="306"/>
        <v>1500000</v>
      </c>
      <c r="J1214" s="177"/>
    </row>
    <row r="1215" spans="1:17" ht="30.75" customHeight="1">
      <c r="A1215" s="82" t="s">
        <v>38</v>
      </c>
      <c r="B1215" s="149">
        <v>793</v>
      </c>
      <c r="C1215" s="84" t="s">
        <v>19</v>
      </c>
      <c r="D1215" s="84" t="s">
        <v>23</v>
      </c>
      <c r="E1215" s="84" t="s">
        <v>401</v>
      </c>
      <c r="F1215" s="84" t="s">
        <v>39</v>
      </c>
      <c r="G1215" s="87">
        <f>1500000-345764.48</f>
        <v>1154235.52</v>
      </c>
      <c r="H1215" s="87">
        <v>1500000</v>
      </c>
      <c r="I1215" s="87">
        <v>1500000</v>
      </c>
      <c r="J1215" s="177"/>
    </row>
    <row r="1216" spans="1:17">
      <c r="A1216" s="137" t="s">
        <v>963</v>
      </c>
      <c r="B1216" s="149">
        <v>793</v>
      </c>
      <c r="C1216" s="84" t="s">
        <v>19</v>
      </c>
      <c r="D1216" s="84" t="s">
        <v>23</v>
      </c>
      <c r="E1216" s="84" t="s">
        <v>962</v>
      </c>
      <c r="F1216" s="84"/>
      <c r="G1216" s="87">
        <f t="shared" si="306"/>
        <v>2345764.48</v>
      </c>
      <c r="H1216" s="87">
        <f t="shared" si="306"/>
        <v>500000</v>
      </c>
      <c r="I1216" s="87">
        <f t="shared" si="306"/>
        <v>500000</v>
      </c>
      <c r="J1216" s="177"/>
    </row>
    <row r="1217" spans="1:17" ht="34.5" customHeight="1">
      <c r="A1217" s="82" t="s">
        <v>324</v>
      </c>
      <c r="B1217" s="149">
        <v>793</v>
      </c>
      <c r="C1217" s="84" t="s">
        <v>19</v>
      </c>
      <c r="D1217" s="84" t="s">
        <v>23</v>
      </c>
      <c r="E1217" s="84" t="s">
        <v>962</v>
      </c>
      <c r="F1217" s="84" t="s">
        <v>37</v>
      </c>
      <c r="G1217" s="87">
        <f t="shared" si="306"/>
        <v>2345764.48</v>
      </c>
      <c r="H1217" s="87">
        <f t="shared" si="306"/>
        <v>500000</v>
      </c>
      <c r="I1217" s="87">
        <f t="shared" si="306"/>
        <v>500000</v>
      </c>
      <c r="J1217" s="177"/>
    </row>
    <row r="1218" spans="1:17" ht="30.75" customHeight="1">
      <c r="A1218" s="82" t="s">
        <v>38</v>
      </c>
      <c r="B1218" s="149">
        <v>793</v>
      </c>
      <c r="C1218" s="84" t="s">
        <v>19</v>
      </c>
      <c r="D1218" s="84" t="s">
        <v>23</v>
      </c>
      <c r="E1218" s="84" t="s">
        <v>962</v>
      </c>
      <c r="F1218" s="84" t="s">
        <v>39</v>
      </c>
      <c r="G1218" s="87">
        <f>2000000+345764.48</f>
        <v>2345764.48</v>
      </c>
      <c r="H1218" s="87">
        <v>500000</v>
      </c>
      <c r="I1218" s="87">
        <v>500000</v>
      </c>
      <c r="J1218" s="177"/>
    </row>
    <row r="1219" spans="1:17" ht="54.75" customHeight="1">
      <c r="A1219" s="137" t="s">
        <v>21</v>
      </c>
      <c r="B1219" s="149">
        <v>793</v>
      </c>
      <c r="C1219" s="84" t="s">
        <v>19</v>
      </c>
      <c r="D1219" s="84" t="s">
        <v>23</v>
      </c>
      <c r="E1219" s="84" t="s">
        <v>20</v>
      </c>
      <c r="F1219" s="84"/>
      <c r="G1219" s="87">
        <f t="shared" ref="G1219:I1220" si="307">G1220</f>
        <v>45000</v>
      </c>
      <c r="H1219" s="87">
        <f t="shared" si="307"/>
        <v>45000</v>
      </c>
      <c r="I1219" s="87">
        <f t="shared" si="307"/>
        <v>45000</v>
      </c>
      <c r="J1219" s="177"/>
    </row>
    <row r="1220" spans="1:17" ht="18" customHeight="1">
      <c r="A1220" s="82" t="s">
        <v>324</v>
      </c>
      <c r="B1220" s="149">
        <v>793</v>
      </c>
      <c r="C1220" s="84" t="s">
        <v>19</v>
      </c>
      <c r="D1220" s="84" t="s">
        <v>23</v>
      </c>
      <c r="E1220" s="84" t="s">
        <v>20</v>
      </c>
      <c r="F1220" s="84" t="s">
        <v>37</v>
      </c>
      <c r="G1220" s="87">
        <f t="shared" si="307"/>
        <v>45000</v>
      </c>
      <c r="H1220" s="87">
        <f t="shared" si="307"/>
        <v>45000</v>
      </c>
      <c r="I1220" s="87">
        <f t="shared" si="307"/>
        <v>45000</v>
      </c>
      <c r="J1220" s="177"/>
    </row>
    <row r="1221" spans="1:17" ht="30.75" customHeight="1">
      <c r="A1221" s="82" t="s">
        <v>38</v>
      </c>
      <c r="B1221" s="149">
        <v>793</v>
      </c>
      <c r="C1221" s="84" t="s">
        <v>19</v>
      </c>
      <c r="D1221" s="84" t="s">
        <v>23</v>
      </c>
      <c r="E1221" s="84" t="s">
        <v>20</v>
      </c>
      <c r="F1221" s="84" t="s">
        <v>39</v>
      </c>
      <c r="G1221" s="87">
        <v>45000</v>
      </c>
      <c r="H1221" s="87">
        <v>45000</v>
      </c>
      <c r="I1221" s="87">
        <v>45000</v>
      </c>
      <c r="J1221" s="177"/>
    </row>
    <row r="1222" spans="1:17" ht="25.5" hidden="1">
      <c r="A1222" s="137" t="s">
        <v>828</v>
      </c>
      <c r="B1222" s="149">
        <v>793</v>
      </c>
      <c r="C1222" s="84" t="s">
        <v>19</v>
      </c>
      <c r="D1222" s="84" t="s">
        <v>23</v>
      </c>
      <c r="E1222" s="84" t="s">
        <v>827</v>
      </c>
      <c r="F1222" s="84"/>
      <c r="G1222" s="87">
        <f t="shared" ref="G1222:I1223" si="308">G1223</f>
        <v>0</v>
      </c>
      <c r="H1222" s="87">
        <f t="shared" si="308"/>
        <v>0</v>
      </c>
      <c r="I1222" s="87">
        <f t="shared" si="308"/>
        <v>0</v>
      </c>
      <c r="J1222" s="177"/>
    </row>
    <row r="1223" spans="1:17" ht="28.5" hidden="1" customHeight="1">
      <c r="A1223" s="82" t="s">
        <v>324</v>
      </c>
      <c r="B1223" s="149">
        <v>793</v>
      </c>
      <c r="C1223" s="84" t="s">
        <v>19</v>
      </c>
      <c r="D1223" s="84" t="s">
        <v>23</v>
      </c>
      <c r="E1223" s="84" t="s">
        <v>827</v>
      </c>
      <c r="F1223" s="84" t="s">
        <v>37</v>
      </c>
      <c r="G1223" s="87">
        <f t="shared" si="308"/>
        <v>0</v>
      </c>
      <c r="H1223" s="87">
        <f t="shared" si="308"/>
        <v>0</v>
      </c>
      <c r="I1223" s="87">
        <f t="shared" si="308"/>
        <v>0</v>
      </c>
      <c r="J1223" s="177"/>
    </row>
    <row r="1224" spans="1:17" ht="30.75" hidden="1" customHeight="1">
      <c r="A1224" s="82" t="s">
        <v>38</v>
      </c>
      <c r="B1224" s="149">
        <v>793</v>
      </c>
      <c r="C1224" s="84" t="s">
        <v>19</v>
      </c>
      <c r="D1224" s="84" t="s">
        <v>23</v>
      </c>
      <c r="E1224" s="84" t="s">
        <v>827</v>
      </c>
      <c r="F1224" s="84" t="s">
        <v>39</v>
      </c>
      <c r="G1224" s="87"/>
      <c r="H1224" s="87"/>
      <c r="I1224" s="87"/>
      <c r="J1224" s="177"/>
    </row>
    <row r="1225" spans="1:17" ht="30.75" customHeight="1">
      <c r="A1225" s="137" t="s">
        <v>828</v>
      </c>
      <c r="B1225" s="149">
        <v>793</v>
      </c>
      <c r="C1225" s="84" t="s">
        <v>19</v>
      </c>
      <c r="D1225" s="84" t="s">
        <v>23</v>
      </c>
      <c r="E1225" s="84" t="s">
        <v>827</v>
      </c>
      <c r="F1225" s="84"/>
      <c r="G1225" s="87">
        <f>G1226</f>
        <v>324251.62</v>
      </c>
      <c r="H1225" s="87"/>
      <c r="I1225" s="87"/>
      <c r="J1225" s="177"/>
    </row>
    <row r="1226" spans="1:17" ht="30.75" customHeight="1">
      <c r="A1226" s="82" t="s">
        <v>324</v>
      </c>
      <c r="B1226" s="149">
        <v>793</v>
      </c>
      <c r="C1226" s="84" t="s">
        <v>19</v>
      </c>
      <c r="D1226" s="84" t="s">
        <v>23</v>
      </c>
      <c r="E1226" s="84" t="s">
        <v>827</v>
      </c>
      <c r="F1226" s="84" t="s">
        <v>37</v>
      </c>
      <c r="G1226" s="87">
        <f>G1227</f>
        <v>324251.62</v>
      </c>
      <c r="H1226" s="87"/>
      <c r="I1226" s="87"/>
      <c r="J1226" s="177"/>
    </row>
    <row r="1227" spans="1:17" ht="30.75" customHeight="1">
      <c r="A1227" s="82" t="s">
        <v>38</v>
      </c>
      <c r="B1227" s="149">
        <v>793</v>
      </c>
      <c r="C1227" s="84" t="s">
        <v>19</v>
      </c>
      <c r="D1227" s="84" t="s">
        <v>23</v>
      </c>
      <c r="E1227" s="84" t="s">
        <v>827</v>
      </c>
      <c r="F1227" s="84" t="s">
        <v>39</v>
      </c>
      <c r="G1227" s="87">
        <v>324251.62</v>
      </c>
      <c r="H1227" s="87"/>
      <c r="I1227" s="87"/>
      <c r="J1227" s="177"/>
    </row>
    <row r="1228" spans="1:17" ht="25.5" customHeight="1">
      <c r="A1228" s="82" t="s">
        <v>333</v>
      </c>
      <c r="B1228" s="149">
        <v>793</v>
      </c>
      <c r="C1228" s="84" t="s">
        <v>19</v>
      </c>
      <c r="D1228" s="84" t="s">
        <v>23</v>
      </c>
      <c r="E1228" s="84" t="s">
        <v>251</v>
      </c>
      <c r="F1228" s="84"/>
      <c r="G1228" s="87">
        <f>G1229</f>
        <v>16112923</v>
      </c>
      <c r="H1228" s="87">
        <f t="shared" ref="H1228:I1228" si="309">H1229</f>
        <v>16249381</v>
      </c>
      <c r="I1228" s="87">
        <f t="shared" si="309"/>
        <v>16387204</v>
      </c>
      <c r="J1228" s="177"/>
    </row>
    <row r="1229" spans="1:17" ht="25.5" customHeight="1">
      <c r="A1229" s="82" t="s">
        <v>50</v>
      </c>
      <c r="B1229" s="149">
        <v>793</v>
      </c>
      <c r="C1229" s="84" t="s">
        <v>19</v>
      </c>
      <c r="D1229" s="84" t="s">
        <v>23</v>
      </c>
      <c r="E1229" s="84" t="s">
        <v>293</v>
      </c>
      <c r="F1229" s="84"/>
      <c r="G1229" s="87">
        <f>G1230+G1232+G1236+G1234</f>
        <v>16112923</v>
      </c>
      <c r="H1229" s="87">
        <f>H1230+H1232+H1236+H1234</f>
        <v>16249381</v>
      </c>
      <c r="I1229" s="87">
        <f>I1230+I1232+I1236+I1234</f>
        <v>16387204</v>
      </c>
      <c r="J1229" s="177"/>
      <c r="P1229" s="219"/>
      <c r="Q1229" s="209"/>
    </row>
    <row r="1230" spans="1:17" ht="51">
      <c r="A1230" s="82" t="s">
        <v>320</v>
      </c>
      <c r="B1230" s="149">
        <v>793</v>
      </c>
      <c r="C1230" s="84" t="s">
        <v>19</v>
      </c>
      <c r="D1230" s="84" t="s">
        <v>23</v>
      </c>
      <c r="E1230" s="84" t="s">
        <v>293</v>
      </c>
      <c r="F1230" s="84" t="s">
        <v>58</v>
      </c>
      <c r="G1230" s="87">
        <f>G1231</f>
        <v>9335655</v>
      </c>
      <c r="H1230" s="87">
        <f t="shared" ref="H1230:I1230" si="310">H1231</f>
        <v>9427412</v>
      </c>
      <c r="I1230" s="87">
        <f t="shared" si="310"/>
        <v>9520086</v>
      </c>
      <c r="J1230" s="177"/>
    </row>
    <row r="1231" spans="1:17">
      <c r="A1231" s="82" t="s">
        <v>327</v>
      </c>
      <c r="B1231" s="149">
        <v>793</v>
      </c>
      <c r="C1231" s="84" t="s">
        <v>19</v>
      </c>
      <c r="D1231" s="84" t="s">
        <v>23</v>
      </c>
      <c r="E1231" s="84" t="s">
        <v>293</v>
      </c>
      <c r="F1231" s="84" t="s">
        <v>326</v>
      </c>
      <c r="G1231" s="87">
        <v>9335655</v>
      </c>
      <c r="H1231" s="87">
        <v>9427412</v>
      </c>
      <c r="I1231" s="87">
        <v>9520086</v>
      </c>
      <c r="J1231" s="177"/>
    </row>
    <row r="1232" spans="1:17" ht="17.25" customHeight="1">
      <c r="A1232" s="82" t="s">
        <v>324</v>
      </c>
      <c r="B1232" s="149">
        <v>793</v>
      </c>
      <c r="C1232" s="84" t="s">
        <v>19</v>
      </c>
      <c r="D1232" s="84" t="s">
        <v>23</v>
      </c>
      <c r="E1232" s="84" t="s">
        <v>293</v>
      </c>
      <c r="F1232" s="84" t="s">
        <v>37</v>
      </c>
      <c r="G1232" s="87">
        <f>G1233</f>
        <v>6721909</v>
      </c>
      <c r="H1232" s="87">
        <f>H1233</f>
        <v>6766610</v>
      </c>
      <c r="I1232" s="87">
        <f>I1233</f>
        <v>6811759</v>
      </c>
      <c r="J1232" s="177"/>
    </row>
    <row r="1233" spans="1:10" ht="24" customHeight="1">
      <c r="A1233" s="82" t="s">
        <v>38</v>
      </c>
      <c r="B1233" s="149">
        <v>793</v>
      </c>
      <c r="C1233" s="84" t="s">
        <v>19</v>
      </c>
      <c r="D1233" s="84" t="s">
        <v>23</v>
      </c>
      <c r="E1233" s="84" t="s">
        <v>293</v>
      </c>
      <c r="F1233" s="84" t="s">
        <v>39</v>
      </c>
      <c r="G1233" s="87">
        <v>6721909</v>
      </c>
      <c r="H1233" s="87">
        <v>6766610</v>
      </c>
      <c r="I1233" s="87">
        <v>6811759</v>
      </c>
      <c r="J1233" s="177"/>
    </row>
    <row r="1234" spans="1:10" ht="24" hidden="1" customHeight="1">
      <c r="A1234" s="82" t="s">
        <v>148</v>
      </c>
      <c r="B1234" s="149">
        <v>793</v>
      </c>
      <c r="C1234" s="84" t="s">
        <v>19</v>
      </c>
      <c r="D1234" s="84" t="s">
        <v>23</v>
      </c>
      <c r="E1234" s="84" t="s">
        <v>293</v>
      </c>
      <c r="F1234" s="84" t="s">
        <v>149</v>
      </c>
      <c r="G1234" s="87">
        <f>G1235</f>
        <v>0</v>
      </c>
      <c r="H1234" s="87">
        <f>H1235</f>
        <v>0</v>
      </c>
      <c r="I1234" s="87">
        <f>I1235</f>
        <v>0</v>
      </c>
      <c r="J1234" s="177"/>
    </row>
    <row r="1235" spans="1:10" ht="24" hidden="1" customHeight="1">
      <c r="A1235" s="82" t="s">
        <v>150</v>
      </c>
      <c r="B1235" s="149">
        <v>793</v>
      </c>
      <c r="C1235" s="84" t="s">
        <v>19</v>
      </c>
      <c r="D1235" s="84" t="s">
        <v>23</v>
      </c>
      <c r="E1235" s="84" t="s">
        <v>293</v>
      </c>
      <c r="F1235" s="84" t="s">
        <v>151</v>
      </c>
      <c r="G1235" s="87"/>
      <c r="H1235" s="87"/>
      <c r="I1235" s="87"/>
      <c r="J1235" s="177"/>
    </row>
    <row r="1236" spans="1:10" ht="18.75" customHeight="1">
      <c r="A1236" s="82" t="s">
        <v>63</v>
      </c>
      <c r="B1236" s="149">
        <v>793</v>
      </c>
      <c r="C1236" s="84" t="s">
        <v>19</v>
      </c>
      <c r="D1236" s="84" t="s">
        <v>23</v>
      </c>
      <c r="E1236" s="84" t="s">
        <v>293</v>
      </c>
      <c r="F1236" s="84" t="s">
        <v>64</v>
      </c>
      <c r="G1236" s="87">
        <f>G1238+G1237+G1237</f>
        <v>55359</v>
      </c>
      <c r="H1236" s="87">
        <f>H1238+H1237</f>
        <v>55359</v>
      </c>
      <c r="I1236" s="87">
        <f>I1238+I1237</f>
        <v>55359</v>
      </c>
      <c r="J1236" s="177"/>
    </row>
    <row r="1237" spans="1:10" ht="24" hidden="1" customHeight="1">
      <c r="A1237" s="82" t="s">
        <v>329</v>
      </c>
      <c r="B1237" s="149">
        <v>793</v>
      </c>
      <c r="C1237" s="84" t="s">
        <v>19</v>
      </c>
      <c r="D1237" s="84" t="s">
        <v>23</v>
      </c>
      <c r="E1237" s="84" t="s">
        <v>293</v>
      </c>
      <c r="F1237" s="84" t="s">
        <v>328</v>
      </c>
      <c r="G1237" s="87"/>
      <c r="H1237" s="87"/>
      <c r="I1237" s="87"/>
      <c r="J1237" s="177"/>
    </row>
    <row r="1238" spans="1:10" ht="17.25" customHeight="1">
      <c r="A1238" s="82" t="s">
        <v>144</v>
      </c>
      <c r="B1238" s="149">
        <v>793</v>
      </c>
      <c r="C1238" s="84" t="s">
        <v>19</v>
      </c>
      <c r="D1238" s="84" t="s">
        <v>23</v>
      </c>
      <c r="E1238" s="84" t="s">
        <v>293</v>
      </c>
      <c r="F1238" s="84" t="s">
        <v>67</v>
      </c>
      <c r="G1238" s="87">
        <v>55359</v>
      </c>
      <c r="H1238" s="87">
        <v>55359</v>
      </c>
      <c r="I1238" s="87">
        <v>55359</v>
      </c>
      <c r="J1238" s="177"/>
    </row>
    <row r="1239" spans="1:10" ht="17.25" customHeight="1">
      <c r="A1239" s="82" t="s">
        <v>169</v>
      </c>
      <c r="B1239" s="149">
        <v>793</v>
      </c>
      <c r="C1239" s="84" t="s">
        <v>19</v>
      </c>
      <c r="D1239" s="84" t="s">
        <v>23</v>
      </c>
      <c r="E1239" s="84" t="s">
        <v>234</v>
      </c>
      <c r="F1239" s="84"/>
      <c r="G1239" s="87">
        <f>G1240</f>
        <v>71700</v>
      </c>
      <c r="H1239" s="87"/>
      <c r="I1239" s="87"/>
      <c r="J1239" s="177"/>
    </row>
    <row r="1240" spans="1:10" ht="17.25" customHeight="1">
      <c r="A1240" s="82" t="s">
        <v>169</v>
      </c>
      <c r="B1240" s="149">
        <v>793</v>
      </c>
      <c r="C1240" s="84" t="s">
        <v>19</v>
      </c>
      <c r="D1240" s="84" t="s">
        <v>23</v>
      </c>
      <c r="E1240" s="84" t="s">
        <v>276</v>
      </c>
      <c r="F1240" s="84"/>
      <c r="G1240" s="87">
        <f>G1241</f>
        <v>71700</v>
      </c>
      <c r="H1240" s="87"/>
      <c r="I1240" s="87"/>
      <c r="J1240" s="177"/>
    </row>
    <row r="1241" spans="1:10" ht="19.899999999999999" customHeight="1">
      <c r="A1241" s="82" t="s">
        <v>324</v>
      </c>
      <c r="B1241" s="149">
        <v>793</v>
      </c>
      <c r="C1241" s="84" t="s">
        <v>19</v>
      </c>
      <c r="D1241" s="84" t="s">
        <v>23</v>
      </c>
      <c r="E1241" s="84" t="s">
        <v>276</v>
      </c>
      <c r="F1241" s="84" t="s">
        <v>37</v>
      </c>
      <c r="G1241" s="87">
        <f>G1242</f>
        <v>71700</v>
      </c>
      <c r="H1241" s="87"/>
      <c r="I1241" s="87"/>
      <c r="J1241" s="177"/>
    </row>
    <row r="1242" spans="1:10" ht="32.450000000000003" customHeight="1">
      <c r="A1242" s="82" t="s">
        <v>38</v>
      </c>
      <c r="B1242" s="149">
        <v>793</v>
      </c>
      <c r="C1242" s="84" t="s">
        <v>19</v>
      </c>
      <c r="D1242" s="84" t="s">
        <v>23</v>
      </c>
      <c r="E1242" s="84" t="s">
        <v>276</v>
      </c>
      <c r="F1242" s="84" t="s">
        <v>1037</v>
      </c>
      <c r="G1242" s="87">
        <v>71700</v>
      </c>
      <c r="H1242" s="87"/>
      <c r="I1242" s="87"/>
      <c r="J1242" s="177"/>
    </row>
    <row r="1243" spans="1:10" ht="25.5" customHeight="1">
      <c r="A1243" s="82" t="s">
        <v>164</v>
      </c>
      <c r="B1243" s="149">
        <v>793</v>
      </c>
      <c r="C1243" s="84" t="s">
        <v>19</v>
      </c>
      <c r="D1243" s="84" t="s">
        <v>23</v>
      </c>
      <c r="E1243" s="84" t="s">
        <v>210</v>
      </c>
      <c r="F1243" s="84"/>
      <c r="G1243" s="87">
        <f>G1244+G1253+G1256</f>
        <v>120000</v>
      </c>
      <c r="H1243" s="87">
        <f t="shared" ref="H1243:I1243" si="311">H1244+H1253+H1256</f>
        <v>0</v>
      </c>
      <c r="I1243" s="87">
        <f t="shared" si="311"/>
        <v>0</v>
      </c>
      <c r="J1243" s="177"/>
    </row>
    <row r="1244" spans="1:10" ht="30.75" hidden="1" customHeight="1">
      <c r="A1244" s="82" t="s">
        <v>699</v>
      </c>
      <c r="B1244" s="149">
        <v>793</v>
      </c>
      <c r="C1244" s="84" t="s">
        <v>19</v>
      </c>
      <c r="D1244" s="84" t="s">
        <v>23</v>
      </c>
      <c r="E1244" s="84" t="s">
        <v>698</v>
      </c>
      <c r="F1244" s="84"/>
      <c r="G1244" s="87">
        <f t="shared" ref="G1244:I1245" si="312">G1245</f>
        <v>0</v>
      </c>
      <c r="H1244" s="87">
        <f t="shared" si="312"/>
        <v>0</v>
      </c>
      <c r="I1244" s="87">
        <f t="shared" si="312"/>
        <v>0</v>
      </c>
      <c r="J1244" s="177"/>
    </row>
    <row r="1245" spans="1:10" ht="19.5" hidden="1" customHeight="1">
      <c r="A1245" s="82" t="s">
        <v>63</v>
      </c>
      <c r="B1245" s="149">
        <v>793</v>
      </c>
      <c r="C1245" s="84" t="s">
        <v>19</v>
      </c>
      <c r="D1245" s="84" t="s">
        <v>23</v>
      </c>
      <c r="E1245" s="84" t="s">
        <v>698</v>
      </c>
      <c r="F1245" s="84" t="s">
        <v>64</v>
      </c>
      <c r="G1245" s="87">
        <f>G1246</f>
        <v>0</v>
      </c>
      <c r="H1245" s="87">
        <f t="shared" si="312"/>
        <v>0</v>
      </c>
      <c r="I1245" s="87">
        <f t="shared" si="312"/>
        <v>0</v>
      </c>
      <c r="J1245" s="177"/>
    </row>
    <row r="1246" spans="1:10" ht="18.75" hidden="1" customHeight="1">
      <c r="A1246" s="82" t="s">
        <v>329</v>
      </c>
      <c r="B1246" s="149">
        <v>793</v>
      </c>
      <c r="C1246" s="84" t="s">
        <v>19</v>
      </c>
      <c r="D1246" s="84" t="s">
        <v>23</v>
      </c>
      <c r="E1246" s="84" t="s">
        <v>698</v>
      </c>
      <c r="F1246" s="84" t="s">
        <v>181</v>
      </c>
      <c r="G1246" s="87"/>
      <c r="H1246" s="87"/>
      <c r="I1246" s="87"/>
      <c r="J1246" s="177"/>
    </row>
    <row r="1247" spans="1:10" ht="30.75" hidden="1" customHeight="1">
      <c r="A1247" s="82" t="s">
        <v>406</v>
      </c>
      <c r="B1247" s="149">
        <v>793</v>
      </c>
      <c r="C1247" s="84" t="s">
        <v>19</v>
      </c>
      <c r="D1247" s="84" t="s">
        <v>23</v>
      </c>
      <c r="E1247" s="84" t="s">
        <v>405</v>
      </c>
      <c r="F1247" s="84"/>
      <c r="G1247" s="87">
        <f t="shared" ref="G1247:I1248" si="313">G1248</f>
        <v>0</v>
      </c>
      <c r="H1247" s="87">
        <f t="shared" si="313"/>
        <v>0</v>
      </c>
      <c r="I1247" s="87">
        <f t="shared" si="313"/>
        <v>0</v>
      </c>
      <c r="J1247" s="177"/>
    </row>
    <row r="1248" spans="1:10" ht="19.5" hidden="1" customHeight="1">
      <c r="A1248" s="82" t="s">
        <v>63</v>
      </c>
      <c r="B1248" s="149">
        <v>793</v>
      </c>
      <c r="C1248" s="84" t="s">
        <v>19</v>
      </c>
      <c r="D1248" s="84" t="s">
        <v>23</v>
      </c>
      <c r="E1248" s="84" t="s">
        <v>405</v>
      </c>
      <c r="F1248" s="84" t="s">
        <v>64</v>
      </c>
      <c r="G1248" s="87">
        <f>G1249</f>
        <v>0</v>
      </c>
      <c r="H1248" s="87">
        <f t="shared" si="313"/>
        <v>0</v>
      </c>
      <c r="I1248" s="87">
        <f t="shared" si="313"/>
        <v>0</v>
      </c>
      <c r="J1248" s="177"/>
    </row>
    <row r="1249" spans="1:18" ht="18.75" hidden="1" customHeight="1">
      <c r="A1249" s="82" t="s">
        <v>329</v>
      </c>
      <c r="B1249" s="149">
        <v>793</v>
      </c>
      <c r="C1249" s="84" t="s">
        <v>19</v>
      </c>
      <c r="D1249" s="84" t="s">
        <v>23</v>
      </c>
      <c r="E1249" s="84" t="s">
        <v>405</v>
      </c>
      <c r="F1249" s="84" t="s">
        <v>328</v>
      </c>
      <c r="G1249" s="87"/>
      <c r="H1249" s="87">
        <v>0</v>
      </c>
      <c r="I1249" s="87">
        <v>0</v>
      </c>
      <c r="J1249" s="177"/>
    </row>
    <row r="1250" spans="1:18" ht="54" hidden="1" customHeight="1">
      <c r="A1250" s="82" t="s">
        <v>641</v>
      </c>
      <c r="B1250" s="149">
        <v>793</v>
      </c>
      <c r="C1250" s="84" t="s">
        <v>19</v>
      </c>
      <c r="D1250" s="84" t="s">
        <v>23</v>
      </c>
      <c r="E1250" s="84" t="s">
        <v>642</v>
      </c>
      <c r="F1250" s="84"/>
      <c r="G1250" s="87">
        <f>G1251</f>
        <v>0</v>
      </c>
      <c r="H1250" s="87">
        <v>0</v>
      </c>
      <c r="I1250" s="87">
        <v>0</v>
      </c>
      <c r="J1250" s="177"/>
    </row>
    <row r="1251" spans="1:18" ht="18.75" hidden="1" customHeight="1">
      <c r="A1251" s="82" t="s">
        <v>324</v>
      </c>
      <c r="B1251" s="149">
        <v>793</v>
      </c>
      <c r="C1251" s="84" t="s">
        <v>19</v>
      </c>
      <c r="D1251" s="84" t="s">
        <v>23</v>
      </c>
      <c r="E1251" s="84" t="s">
        <v>642</v>
      </c>
      <c r="F1251" s="84" t="s">
        <v>37</v>
      </c>
      <c r="G1251" s="87">
        <f>G1252</f>
        <v>0</v>
      </c>
      <c r="H1251" s="87">
        <v>0</v>
      </c>
      <c r="I1251" s="87">
        <v>0</v>
      </c>
      <c r="J1251" s="177"/>
    </row>
    <row r="1252" spans="1:18" ht="35.25" hidden="1" customHeight="1">
      <c r="A1252" s="82" t="s">
        <v>38</v>
      </c>
      <c r="B1252" s="149">
        <v>793</v>
      </c>
      <c r="C1252" s="84" t="s">
        <v>19</v>
      </c>
      <c r="D1252" s="84" t="s">
        <v>23</v>
      </c>
      <c r="E1252" s="84" t="s">
        <v>642</v>
      </c>
      <c r="F1252" s="84" t="s">
        <v>39</v>
      </c>
      <c r="G1252" s="87"/>
      <c r="H1252" s="87">
        <v>0</v>
      </c>
      <c r="I1252" s="87">
        <v>0</v>
      </c>
      <c r="J1252" s="177"/>
    </row>
    <row r="1253" spans="1:18" ht="31.5" hidden="1" customHeight="1">
      <c r="A1253" s="82" t="s">
        <v>432</v>
      </c>
      <c r="B1253" s="149">
        <v>793</v>
      </c>
      <c r="C1253" s="84" t="s">
        <v>19</v>
      </c>
      <c r="D1253" s="84" t="s">
        <v>23</v>
      </c>
      <c r="E1253" s="84" t="s">
        <v>431</v>
      </c>
      <c r="F1253" s="84"/>
      <c r="G1253" s="87">
        <f>G1254</f>
        <v>0</v>
      </c>
      <c r="H1253" s="87">
        <f t="shared" ref="H1253:I1253" si="314">H1254</f>
        <v>0</v>
      </c>
      <c r="I1253" s="87">
        <f t="shared" si="314"/>
        <v>0</v>
      </c>
      <c r="J1253" s="177"/>
    </row>
    <row r="1254" spans="1:18" ht="18.75" hidden="1" customHeight="1">
      <c r="A1254" s="82" t="s">
        <v>63</v>
      </c>
      <c r="B1254" s="149">
        <v>793</v>
      </c>
      <c r="C1254" s="84" t="s">
        <v>19</v>
      </c>
      <c r="D1254" s="84" t="s">
        <v>23</v>
      </c>
      <c r="E1254" s="84" t="s">
        <v>431</v>
      </c>
      <c r="F1254" s="84" t="s">
        <v>64</v>
      </c>
      <c r="G1254" s="87">
        <f>G1255</f>
        <v>0</v>
      </c>
      <c r="H1254" s="87">
        <f>H1255</f>
        <v>0</v>
      </c>
      <c r="I1254" s="87">
        <f>I1255</f>
        <v>0</v>
      </c>
      <c r="J1254" s="177"/>
    </row>
    <row r="1255" spans="1:18" ht="18.75" hidden="1" customHeight="1">
      <c r="A1255" s="82" t="s">
        <v>144</v>
      </c>
      <c r="B1255" s="149">
        <v>793</v>
      </c>
      <c r="C1255" s="84" t="s">
        <v>19</v>
      </c>
      <c r="D1255" s="84" t="s">
        <v>23</v>
      </c>
      <c r="E1255" s="84" t="s">
        <v>431</v>
      </c>
      <c r="F1255" s="84" t="s">
        <v>67</v>
      </c>
      <c r="G1255" s="87"/>
      <c r="H1255" s="87"/>
      <c r="I1255" s="87"/>
      <c r="J1255" s="177"/>
    </row>
    <row r="1256" spans="1:18" ht="28.5" customHeight="1">
      <c r="A1256" s="82" t="s">
        <v>838</v>
      </c>
      <c r="B1256" s="149">
        <v>793</v>
      </c>
      <c r="C1256" s="84" t="s">
        <v>19</v>
      </c>
      <c r="D1256" s="84" t="s">
        <v>23</v>
      </c>
      <c r="E1256" s="84" t="s">
        <v>837</v>
      </c>
      <c r="F1256" s="84"/>
      <c r="G1256" s="87">
        <f>G1257</f>
        <v>120000</v>
      </c>
      <c r="H1256" s="87">
        <f t="shared" ref="H1256:I1256" si="315">H1257</f>
        <v>0</v>
      </c>
      <c r="I1256" s="87">
        <f t="shared" si="315"/>
        <v>0</v>
      </c>
      <c r="J1256" s="177"/>
    </row>
    <row r="1257" spans="1:18" ht="18.75" customHeight="1">
      <c r="A1257" s="82" t="s">
        <v>63</v>
      </c>
      <c r="B1257" s="149">
        <v>793</v>
      </c>
      <c r="C1257" s="84" t="s">
        <v>19</v>
      </c>
      <c r="D1257" s="84" t="s">
        <v>23</v>
      </c>
      <c r="E1257" s="84" t="s">
        <v>837</v>
      </c>
      <c r="F1257" s="84" t="s">
        <v>64</v>
      </c>
      <c r="G1257" s="87">
        <f>G1258</f>
        <v>120000</v>
      </c>
      <c r="H1257" s="87">
        <f>H1258</f>
        <v>0</v>
      </c>
      <c r="I1257" s="87">
        <f>I1258</f>
        <v>0</v>
      </c>
      <c r="J1257" s="177"/>
    </row>
    <row r="1258" spans="1:18" ht="18.75" customHeight="1">
      <c r="A1258" s="82" t="s">
        <v>144</v>
      </c>
      <c r="B1258" s="149">
        <v>793</v>
      </c>
      <c r="C1258" s="84" t="s">
        <v>19</v>
      </c>
      <c r="D1258" s="84" t="s">
        <v>23</v>
      </c>
      <c r="E1258" s="84" t="s">
        <v>837</v>
      </c>
      <c r="F1258" s="84" t="s">
        <v>67</v>
      </c>
      <c r="G1258" s="87">
        <f>30000+30000+60000</f>
        <v>120000</v>
      </c>
      <c r="H1258" s="87">
        <v>0</v>
      </c>
      <c r="I1258" s="87">
        <v>0</v>
      </c>
      <c r="J1258" s="177"/>
    </row>
    <row r="1259" spans="1:18" s="28" customFormat="1" ht="24.75" customHeight="1">
      <c r="A1259" s="139" t="s">
        <v>169</v>
      </c>
      <c r="B1259" s="149">
        <v>793</v>
      </c>
      <c r="C1259" s="84" t="s">
        <v>19</v>
      </c>
      <c r="D1259" s="84" t="s">
        <v>23</v>
      </c>
      <c r="E1259" s="84" t="s">
        <v>234</v>
      </c>
      <c r="F1259" s="168"/>
      <c r="G1259" s="87">
        <f t="shared" ref="G1259:I1261" si="316">G1260</f>
        <v>0</v>
      </c>
      <c r="H1259" s="87">
        <f t="shared" si="316"/>
        <v>0</v>
      </c>
      <c r="I1259" s="87">
        <f t="shared" si="316"/>
        <v>0</v>
      </c>
      <c r="J1259" s="177"/>
      <c r="K1259" s="204"/>
      <c r="L1259" s="204"/>
      <c r="M1259" s="204"/>
      <c r="N1259" s="204"/>
      <c r="O1259" s="204"/>
      <c r="P1259" s="204"/>
      <c r="Q1259" s="204"/>
      <c r="R1259" s="204"/>
    </row>
    <row r="1260" spans="1:18" ht="25.5">
      <c r="A1260" s="139" t="s">
        <v>169</v>
      </c>
      <c r="B1260" s="149">
        <v>793</v>
      </c>
      <c r="C1260" s="84" t="s">
        <v>19</v>
      </c>
      <c r="D1260" s="84" t="s">
        <v>23</v>
      </c>
      <c r="E1260" s="84" t="s">
        <v>276</v>
      </c>
      <c r="F1260" s="149"/>
      <c r="G1260" s="87">
        <f t="shared" si="316"/>
        <v>0</v>
      </c>
      <c r="H1260" s="87">
        <f t="shared" si="316"/>
        <v>0</v>
      </c>
      <c r="I1260" s="87">
        <f t="shared" si="316"/>
        <v>0</v>
      </c>
      <c r="J1260" s="177"/>
    </row>
    <row r="1261" spans="1:18">
      <c r="A1261" s="82" t="s">
        <v>156</v>
      </c>
      <c r="B1261" s="149">
        <v>793</v>
      </c>
      <c r="C1261" s="84" t="s">
        <v>19</v>
      </c>
      <c r="D1261" s="84" t="s">
        <v>23</v>
      </c>
      <c r="E1261" s="84" t="s">
        <v>276</v>
      </c>
      <c r="F1261" s="84" t="s">
        <v>157</v>
      </c>
      <c r="G1261" s="87">
        <f t="shared" si="316"/>
        <v>0</v>
      </c>
      <c r="H1261" s="87">
        <f t="shared" si="316"/>
        <v>0</v>
      </c>
      <c r="I1261" s="87">
        <f t="shared" si="316"/>
        <v>0</v>
      </c>
      <c r="J1261" s="177"/>
    </row>
    <row r="1262" spans="1:18">
      <c r="A1262" s="82" t="s">
        <v>178</v>
      </c>
      <c r="B1262" s="149">
        <v>793</v>
      </c>
      <c r="C1262" s="84" t="s">
        <v>19</v>
      </c>
      <c r="D1262" s="84" t="s">
        <v>23</v>
      </c>
      <c r="E1262" s="84" t="s">
        <v>276</v>
      </c>
      <c r="F1262" s="84" t="s">
        <v>179</v>
      </c>
      <c r="G1262" s="87">
        <v>0</v>
      </c>
      <c r="H1262" s="87">
        <v>0</v>
      </c>
      <c r="I1262" s="87">
        <v>0</v>
      </c>
      <c r="J1262" s="177"/>
    </row>
    <row r="1263" spans="1:18" ht="25.5">
      <c r="A1263" s="270" t="s">
        <v>168</v>
      </c>
      <c r="B1263" s="271">
        <v>793</v>
      </c>
      <c r="C1263" s="272" t="s">
        <v>70</v>
      </c>
      <c r="D1263" s="272"/>
      <c r="E1263" s="272"/>
      <c r="F1263" s="272"/>
      <c r="G1263" s="269">
        <f>G1264+G1329+G1296</f>
        <v>6105590.8799999999</v>
      </c>
      <c r="H1263" s="269">
        <f>H1264+H1329+H1296</f>
        <v>838000</v>
      </c>
      <c r="I1263" s="269">
        <f>I1264+I1329+I1296</f>
        <v>798000</v>
      </c>
      <c r="J1263" s="191"/>
      <c r="P1263" s="209"/>
      <c r="Q1263" s="209"/>
    </row>
    <row r="1264" spans="1:18" s="46" customFormat="1" ht="32.25" customHeight="1">
      <c r="A1264" s="137" t="s">
        <v>797</v>
      </c>
      <c r="B1264" s="149">
        <v>793</v>
      </c>
      <c r="C1264" s="84" t="s">
        <v>70</v>
      </c>
      <c r="D1264" s="84" t="s">
        <v>123</v>
      </c>
      <c r="E1264" s="84"/>
      <c r="F1264" s="84"/>
      <c r="G1264" s="87">
        <f>G1265+G1289+G1286</f>
        <v>67500</v>
      </c>
      <c r="H1264" s="87">
        <f t="shared" ref="H1264:I1264" si="317">H1265+H1289+H1286</f>
        <v>67500</v>
      </c>
      <c r="I1264" s="87">
        <f t="shared" si="317"/>
        <v>67500</v>
      </c>
      <c r="J1264" s="177"/>
      <c r="K1264" s="222"/>
      <c r="L1264" s="222"/>
      <c r="M1264" s="222"/>
      <c r="N1264" s="222"/>
      <c r="O1264" s="222"/>
      <c r="P1264" s="222"/>
      <c r="Q1264" s="222"/>
      <c r="R1264" s="222"/>
    </row>
    <row r="1265" spans="1:18" s="28" customFormat="1" ht="51">
      <c r="A1265" s="137" t="s">
        <v>486</v>
      </c>
      <c r="B1265" s="149">
        <v>793</v>
      </c>
      <c r="C1265" s="84" t="s">
        <v>70</v>
      </c>
      <c r="D1265" s="84" t="s">
        <v>123</v>
      </c>
      <c r="E1265" s="84" t="s">
        <v>252</v>
      </c>
      <c r="F1265" s="168"/>
      <c r="G1265" s="87">
        <f>G1269+G1274+G1280+G1283+G1268+G1277+G1293</f>
        <v>67500</v>
      </c>
      <c r="H1265" s="87">
        <f t="shared" ref="H1265:I1265" si="318">H1269+H1274+H1280+H1283+H1268</f>
        <v>67500</v>
      </c>
      <c r="I1265" s="87">
        <f t="shared" si="318"/>
        <v>67500</v>
      </c>
      <c r="J1265" s="177"/>
      <c r="K1265" s="177"/>
      <c r="L1265" s="177"/>
      <c r="M1265" s="177"/>
      <c r="N1265" s="177"/>
      <c r="O1265" s="177"/>
      <c r="P1265" s="204"/>
      <c r="Q1265" s="210"/>
      <c r="R1265" s="204"/>
    </row>
    <row r="1266" spans="1:18" s="28" customFormat="1" ht="67.5" hidden="1" customHeight="1">
      <c r="A1266" s="137" t="s">
        <v>335</v>
      </c>
      <c r="B1266" s="149">
        <v>793</v>
      </c>
      <c r="C1266" s="84" t="s">
        <v>70</v>
      </c>
      <c r="D1266" s="84" t="s">
        <v>123</v>
      </c>
      <c r="E1266" s="84" t="s">
        <v>138</v>
      </c>
      <c r="F1266" s="168"/>
      <c r="G1266" s="87">
        <f>G1267</f>
        <v>0</v>
      </c>
      <c r="H1266" s="87">
        <f t="shared" ref="H1266:I1266" si="319">H1267</f>
        <v>0</v>
      </c>
      <c r="I1266" s="87">
        <f t="shared" si="319"/>
        <v>0</v>
      </c>
      <c r="J1266" s="177"/>
      <c r="K1266" s="204"/>
      <c r="L1266" s="204"/>
      <c r="M1266" s="204"/>
      <c r="N1266" s="204"/>
      <c r="O1266" s="204"/>
      <c r="P1266" s="204"/>
      <c r="Q1266" s="204"/>
      <c r="R1266" s="204"/>
    </row>
    <row r="1267" spans="1:18" s="28" customFormat="1" ht="25.5" hidden="1">
      <c r="A1267" s="82" t="s">
        <v>324</v>
      </c>
      <c r="B1267" s="149">
        <v>793</v>
      </c>
      <c r="C1267" s="84" t="s">
        <v>70</v>
      </c>
      <c r="D1267" s="84" t="s">
        <v>123</v>
      </c>
      <c r="E1267" s="84" t="s">
        <v>138</v>
      </c>
      <c r="F1267" s="84" t="s">
        <v>37</v>
      </c>
      <c r="G1267" s="87">
        <f>G1268</f>
        <v>0</v>
      </c>
      <c r="H1267" s="87">
        <f t="shared" ref="H1267:I1267" si="320">H1268</f>
        <v>0</v>
      </c>
      <c r="I1267" s="87">
        <f t="shared" si="320"/>
        <v>0</v>
      </c>
      <c r="J1267" s="177"/>
      <c r="K1267" s="204"/>
      <c r="L1267" s="204"/>
      <c r="M1267" s="204"/>
      <c r="N1267" s="204"/>
      <c r="O1267" s="204"/>
      <c r="P1267" s="204"/>
      <c r="Q1267" s="204"/>
      <c r="R1267" s="204"/>
    </row>
    <row r="1268" spans="1:18" s="28" customFormat="1" ht="25.5" hidden="1">
      <c r="A1268" s="82" t="s">
        <v>38</v>
      </c>
      <c r="B1268" s="149">
        <v>793</v>
      </c>
      <c r="C1268" s="84" t="s">
        <v>70</v>
      </c>
      <c r="D1268" s="84" t="s">
        <v>123</v>
      </c>
      <c r="E1268" s="84" t="s">
        <v>138</v>
      </c>
      <c r="F1268" s="84" t="s">
        <v>39</v>
      </c>
      <c r="G1268" s="87">
        <v>0</v>
      </c>
      <c r="H1268" s="94"/>
      <c r="I1268" s="94"/>
      <c r="J1268" s="194"/>
      <c r="K1268" s="204"/>
      <c r="L1268" s="204"/>
      <c r="M1268" s="204"/>
      <c r="N1268" s="204"/>
      <c r="O1268" s="204"/>
      <c r="P1268" s="204"/>
      <c r="Q1268" s="204"/>
      <c r="R1268" s="204"/>
    </row>
    <row r="1269" spans="1:18" ht="53.25" hidden="1" customHeight="1">
      <c r="A1269" s="290" t="s">
        <v>789</v>
      </c>
      <c r="B1269" s="149">
        <v>793</v>
      </c>
      <c r="C1269" s="84" t="s">
        <v>70</v>
      </c>
      <c r="D1269" s="84" t="s">
        <v>123</v>
      </c>
      <c r="E1269" s="84" t="s">
        <v>253</v>
      </c>
      <c r="F1269" s="84"/>
      <c r="G1269" s="87">
        <f>G1270</f>
        <v>0</v>
      </c>
      <c r="H1269" s="87">
        <f>H1270+H1272</f>
        <v>0</v>
      </c>
      <c r="I1269" s="87">
        <f>I1270+I1272</f>
        <v>0</v>
      </c>
      <c r="J1269" s="177"/>
    </row>
    <row r="1270" spans="1:18" ht="25.5" hidden="1">
      <c r="A1270" s="82" t="s">
        <v>324</v>
      </c>
      <c r="B1270" s="149">
        <v>793</v>
      </c>
      <c r="C1270" s="84" t="s">
        <v>70</v>
      </c>
      <c r="D1270" s="84" t="s">
        <v>123</v>
      </c>
      <c r="E1270" s="84" t="s">
        <v>253</v>
      </c>
      <c r="F1270" s="84" t="s">
        <v>37</v>
      </c>
      <c r="G1270" s="87">
        <f>G1271</f>
        <v>0</v>
      </c>
      <c r="H1270" s="87">
        <f t="shared" ref="H1270:I1270" si="321">H1271</f>
        <v>0</v>
      </c>
      <c r="I1270" s="87">
        <f t="shared" si="321"/>
        <v>0</v>
      </c>
      <c r="J1270" s="177"/>
    </row>
    <row r="1271" spans="1:18" ht="25.5" hidden="1">
      <c r="A1271" s="82" t="s">
        <v>38</v>
      </c>
      <c r="B1271" s="149">
        <v>793</v>
      </c>
      <c r="C1271" s="84" t="s">
        <v>70</v>
      </c>
      <c r="D1271" s="84" t="s">
        <v>123</v>
      </c>
      <c r="E1271" s="84" t="s">
        <v>253</v>
      </c>
      <c r="F1271" s="84" t="s">
        <v>39</v>
      </c>
      <c r="G1271" s="87">
        <v>0</v>
      </c>
      <c r="H1271" s="87">
        <v>0</v>
      </c>
      <c r="I1271" s="87">
        <v>0</v>
      </c>
      <c r="J1271" s="177"/>
    </row>
    <row r="1272" spans="1:18" ht="17.25" hidden="1" customHeight="1">
      <c r="A1272" s="82" t="s">
        <v>63</v>
      </c>
      <c r="B1272" s="149">
        <v>793</v>
      </c>
      <c r="C1272" s="84" t="s">
        <v>70</v>
      </c>
      <c r="D1272" s="84" t="s">
        <v>123</v>
      </c>
      <c r="E1272" s="84" t="s">
        <v>254</v>
      </c>
      <c r="F1272" s="84" t="s">
        <v>64</v>
      </c>
      <c r="G1272" s="87">
        <f>G1273</f>
        <v>0</v>
      </c>
      <c r="H1272" s="87">
        <f t="shared" ref="H1272:I1272" si="322">H1273</f>
        <v>0</v>
      </c>
      <c r="I1272" s="87">
        <f t="shared" si="322"/>
        <v>0</v>
      </c>
      <c r="J1272" s="177"/>
    </row>
    <row r="1273" spans="1:18" ht="13.5" hidden="1" customHeight="1">
      <c r="A1273" s="82" t="s">
        <v>180</v>
      </c>
      <c r="B1273" s="149">
        <v>793</v>
      </c>
      <c r="C1273" s="84" t="s">
        <v>70</v>
      </c>
      <c r="D1273" s="84" t="s">
        <v>123</v>
      </c>
      <c r="E1273" s="84" t="s">
        <v>254</v>
      </c>
      <c r="F1273" s="84" t="s">
        <v>181</v>
      </c>
      <c r="G1273" s="87">
        <v>0</v>
      </c>
      <c r="H1273" s="87"/>
      <c r="I1273" s="87">
        <v>0</v>
      </c>
      <c r="J1273" s="177"/>
    </row>
    <row r="1274" spans="1:18" ht="38.25" customHeight="1">
      <c r="A1274" s="82" t="s">
        <v>450</v>
      </c>
      <c r="B1274" s="149">
        <v>793</v>
      </c>
      <c r="C1274" s="84" t="s">
        <v>70</v>
      </c>
      <c r="D1274" s="84" t="s">
        <v>123</v>
      </c>
      <c r="E1274" s="84" t="s">
        <v>451</v>
      </c>
      <c r="F1274" s="84"/>
      <c r="G1274" s="87">
        <f>G1275</f>
        <v>67500</v>
      </c>
      <c r="H1274" s="87">
        <f t="shared" ref="H1274:I1274" si="323">H1275</f>
        <v>67500</v>
      </c>
      <c r="I1274" s="87">
        <f t="shared" si="323"/>
        <v>67500</v>
      </c>
      <c r="J1274" s="177"/>
    </row>
    <row r="1275" spans="1:18" ht="28.5" customHeight="1">
      <c r="A1275" s="82" t="s">
        <v>38</v>
      </c>
      <c r="B1275" s="149">
        <v>793</v>
      </c>
      <c r="C1275" s="84" t="s">
        <v>70</v>
      </c>
      <c r="D1275" s="84" t="s">
        <v>123</v>
      </c>
      <c r="E1275" s="84" t="s">
        <v>451</v>
      </c>
      <c r="F1275" s="84" t="s">
        <v>37</v>
      </c>
      <c r="G1275" s="87">
        <f>G1276</f>
        <v>67500</v>
      </c>
      <c r="H1275" s="87">
        <f t="shared" ref="H1275:I1275" si="324">H1276</f>
        <v>67500</v>
      </c>
      <c r="I1275" s="87">
        <f t="shared" si="324"/>
        <v>67500</v>
      </c>
      <c r="J1275" s="177"/>
    </row>
    <row r="1276" spans="1:18" ht="25.5">
      <c r="A1276" s="82" t="s">
        <v>38</v>
      </c>
      <c r="B1276" s="149">
        <v>793</v>
      </c>
      <c r="C1276" s="84" t="s">
        <v>70</v>
      </c>
      <c r="D1276" s="84" t="s">
        <v>123</v>
      </c>
      <c r="E1276" s="84" t="s">
        <v>451</v>
      </c>
      <c r="F1276" s="84" t="s">
        <v>39</v>
      </c>
      <c r="G1276" s="87">
        <v>67500</v>
      </c>
      <c r="H1276" s="87">
        <v>67500</v>
      </c>
      <c r="I1276" s="87">
        <v>67500</v>
      </c>
      <c r="J1276" s="177"/>
    </row>
    <row r="1277" spans="1:18" ht="38.25" hidden="1" customHeight="1">
      <c r="A1277" s="82" t="s">
        <v>800</v>
      </c>
      <c r="B1277" s="149">
        <v>793</v>
      </c>
      <c r="C1277" s="84" t="s">
        <v>70</v>
      </c>
      <c r="D1277" s="84" t="s">
        <v>123</v>
      </c>
      <c r="E1277" s="84" t="s">
        <v>799</v>
      </c>
      <c r="F1277" s="84"/>
      <c r="G1277" s="87">
        <f>G1278</f>
        <v>0</v>
      </c>
      <c r="H1277" s="87">
        <f t="shared" ref="H1277:I1278" si="325">H1278</f>
        <v>0</v>
      </c>
      <c r="I1277" s="87">
        <f t="shared" si="325"/>
        <v>0</v>
      </c>
      <c r="J1277" s="177"/>
    </row>
    <row r="1278" spans="1:18" ht="28.5" hidden="1" customHeight="1">
      <c r="A1278" s="82" t="s">
        <v>38</v>
      </c>
      <c r="B1278" s="149">
        <v>793</v>
      </c>
      <c r="C1278" s="84" t="s">
        <v>70</v>
      </c>
      <c r="D1278" s="84" t="s">
        <v>123</v>
      </c>
      <c r="E1278" s="84" t="s">
        <v>799</v>
      </c>
      <c r="F1278" s="84" t="s">
        <v>37</v>
      </c>
      <c r="G1278" s="87">
        <f>G1279</f>
        <v>0</v>
      </c>
      <c r="H1278" s="87">
        <f t="shared" si="325"/>
        <v>0</v>
      </c>
      <c r="I1278" s="87">
        <f t="shared" si="325"/>
        <v>0</v>
      </c>
      <c r="J1278" s="177"/>
    </row>
    <row r="1279" spans="1:18" ht="25.5" hidden="1">
      <c r="A1279" s="82" t="s">
        <v>38</v>
      </c>
      <c r="B1279" s="149">
        <v>793</v>
      </c>
      <c r="C1279" s="84" t="s">
        <v>70</v>
      </c>
      <c r="D1279" s="84" t="s">
        <v>123</v>
      </c>
      <c r="E1279" s="84" t="s">
        <v>799</v>
      </c>
      <c r="F1279" s="84" t="s">
        <v>39</v>
      </c>
      <c r="G1279" s="87"/>
      <c r="H1279" s="87"/>
      <c r="I1279" s="87"/>
      <c r="J1279" s="177"/>
    </row>
    <row r="1280" spans="1:18" ht="46.5" hidden="1" customHeight="1">
      <c r="A1280" s="290" t="s">
        <v>498</v>
      </c>
      <c r="B1280" s="149">
        <v>793</v>
      </c>
      <c r="C1280" s="84" t="s">
        <v>70</v>
      </c>
      <c r="D1280" s="84" t="s">
        <v>123</v>
      </c>
      <c r="E1280" s="84" t="s">
        <v>497</v>
      </c>
      <c r="F1280" s="84"/>
      <c r="G1280" s="87">
        <f>G1281</f>
        <v>0</v>
      </c>
      <c r="H1280" s="87">
        <f t="shared" ref="H1280:I1280" si="326">H1281</f>
        <v>0</v>
      </c>
      <c r="I1280" s="87">
        <f t="shared" si="326"/>
        <v>0</v>
      </c>
      <c r="J1280" s="177"/>
    </row>
    <row r="1281" spans="1:18" ht="25.5" hidden="1" customHeight="1">
      <c r="A1281" s="82" t="s">
        <v>324</v>
      </c>
      <c r="B1281" s="149">
        <v>793</v>
      </c>
      <c r="C1281" s="84" t="s">
        <v>70</v>
      </c>
      <c r="D1281" s="84" t="s">
        <v>123</v>
      </c>
      <c r="E1281" s="84" t="s">
        <v>497</v>
      </c>
      <c r="F1281" s="84" t="s">
        <v>37</v>
      </c>
      <c r="G1281" s="87">
        <f>G1282</f>
        <v>0</v>
      </c>
      <c r="H1281" s="87">
        <f t="shared" ref="H1281:I1281" si="327">H1282</f>
        <v>0</v>
      </c>
      <c r="I1281" s="87">
        <f t="shared" si="327"/>
        <v>0</v>
      </c>
      <c r="J1281" s="177"/>
    </row>
    <row r="1282" spans="1:18" ht="25.5" hidden="1" customHeight="1">
      <c r="A1282" s="82" t="s">
        <v>38</v>
      </c>
      <c r="B1282" s="149">
        <v>793</v>
      </c>
      <c r="C1282" s="84" t="s">
        <v>70</v>
      </c>
      <c r="D1282" s="84" t="s">
        <v>123</v>
      </c>
      <c r="E1282" s="84" t="s">
        <v>497</v>
      </c>
      <c r="F1282" s="84" t="s">
        <v>39</v>
      </c>
      <c r="G1282" s="87">
        <v>0</v>
      </c>
      <c r="H1282" s="87"/>
      <c r="I1282" s="87">
        <v>0</v>
      </c>
      <c r="J1282" s="177"/>
    </row>
    <row r="1283" spans="1:18" ht="46.5" hidden="1" customHeight="1">
      <c r="A1283" s="290" t="s">
        <v>500</v>
      </c>
      <c r="B1283" s="149">
        <v>793</v>
      </c>
      <c r="C1283" s="84" t="s">
        <v>70</v>
      </c>
      <c r="D1283" s="84" t="s">
        <v>123</v>
      </c>
      <c r="E1283" s="84" t="s">
        <v>499</v>
      </c>
      <c r="F1283" s="84"/>
      <c r="G1283" s="87">
        <f>G1284</f>
        <v>0</v>
      </c>
      <c r="H1283" s="87">
        <f t="shared" ref="H1283:I1283" si="328">H1284</f>
        <v>0</v>
      </c>
      <c r="I1283" s="87">
        <f t="shared" si="328"/>
        <v>0</v>
      </c>
      <c r="J1283" s="177"/>
    </row>
    <row r="1284" spans="1:18" ht="25.5" hidden="1">
      <c r="A1284" s="82" t="s">
        <v>324</v>
      </c>
      <c r="B1284" s="149">
        <v>793</v>
      </c>
      <c r="C1284" s="84" t="s">
        <v>70</v>
      </c>
      <c r="D1284" s="84" t="s">
        <v>123</v>
      </c>
      <c r="E1284" s="84" t="s">
        <v>499</v>
      </c>
      <c r="F1284" s="84" t="s">
        <v>37</v>
      </c>
      <c r="G1284" s="87">
        <f>G1285</f>
        <v>0</v>
      </c>
      <c r="H1284" s="87">
        <f>H1285</f>
        <v>0</v>
      </c>
      <c r="I1284" s="87">
        <f>I1285</f>
        <v>0</v>
      </c>
      <c r="J1284" s="177"/>
    </row>
    <row r="1285" spans="1:18" ht="25.5" hidden="1">
      <c r="A1285" s="82" t="s">
        <v>38</v>
      </c>
      <c r="B1285" s="149">
        <v>793</v>
      </c>
      <c r="C1285" s="84" t="s">
        <v>70</v>
      </c>
      <c r="D1285" s="84" t="s">
        <v>123</v>
      </c>
      <c r="E1285" s="84" t="s">
        <v>499</v>
      </c>
      <c r="F1285" s="84" t="s">
        <v>39</v>
      </c>
      <c r="G1285" s="87">
        <f>60000-60000</f>
        <v>0</v>
      </c>
      <c r="H1285" s="87">
        <f>90000-90000</f>
        <v>0</v>
      </c>
      <c r="I1285" s="87">
        <v>0</v>
      </c>
      <c r="J1285" s="177"/>
    </row>
    <row r="1286" spans="1:18" ht="30.75" hidden="1" customHeight="1">
      <c r="A1286" s="82" t="s">
        <v>273</v>
      </c>
      <c r="B1286" s="149">
        <v>793</v>
      </c>
      <c r="C1286" s="84" t="s">
        <v>70</v>
      </c>
      <c r="D1286" s="84" t="s">
        <v>123</v>
      </c>
      <c r="E1286" s="84" t="s">
        <v>572</v>
      </c>
      <c r="F1286" s="84"/>
      <c r="G1286" s="87">
        <f>G1287</f>
        <v>0</v>
      </c>
      <c r="H1286" s="87">
        <v>0</v>
      </c>
      <c r="I1286" s="87">
        <v>0</v>
      </c>
      <c r="J1286" s="177"/>
    </row>
    <row r="1287" spans="1:18" ht="30.75" hidden="1" customHeight="1">
      <c r="A1287" s="82" t="s">
        <v>148</v>
      </c>
      <c r="B1287" s="149">
        <v>793</v>
      </c>
      <c r="C1287" s="84" t="s">
        <v>70</v>
      </c>
      <c r="D1287" s="84" t="s">
        <v>123</v>
      </c>
      <c r="E1287" s="84" t="s">
        <v>572</v>
      </c>
      <c r="F1287" s="84" t="s">
        <v>149</v>
      </c>
      <c r="G1287" s="87">
        <f>G1288</f>
        <v>0</v>
      </c>
      <c r="H1287" s="87">
        <v>0</v>
      </c>
      <c r="I1287" s="87">
        <v>0</v>
      </c>
      <c r="J1287" s="177"/>
    </row>
    <row r="1288" spans="1:18" ht="30.75" hidden="1" customHeight="1">
      <c r="A1288" s="82" t="s">
        <v>150</v>
      </c>
      <c r="B1288" s="149">
        <v>793</v>
      </c>
      <c r="C1288" s="84" t="s">
        <v>70</v>
      </c>
      <c r="D1288" s="84" t="s">
        <v>123</v>
      </c>
      <c r="E1288" s="84" t="s">
        <v>572</v>
      </c>
      <c r="F1288" s="84" t="s">
        <v>151</v>
      </c>
      <c r="G1288" s="87"/>
      <c r="H1288" s="87">
        <v>0</v>
      </c>
      <c r="I1288" s="87">
        <v>0</v>
      </c>
      <c r="J1288" s="177"/>
    </row>
    <row r="1289" spans="1:18" ht="25.5" hidden="1">
      <c r="A1289" s="82" t="s">
        <v>169</v>
      </c>
      <c r="B1289" s="149">
        <v>793</v>
      </c>
      <c r="C1289" s="84" t="s">
        <v>70</v>
      </c>
      <c r="D1289" s="84" t="s">
        <v>123</v>
      </c>
      <c r="E1289" s="84" t="s">
        <v>234</v>
      </c>
      <c r="F1289" s="84"/>
      <c r="G1289" s="87">
        <f>G1290</f>
        <v>0</v>
      </c>
      <c r="H1289" s="87"/>
      <c r="I1289" s="87"/>
      <c r="J1289" s="177"/>
    </row>
    <row r="1290" spans="1:18" ht="25.5" hidden="1">
      <c r="A1290" s="82" t="s">
        <v>169</v>
      </c>
      <c r="B1290" s="149">
        <v>793</v>
      </c>
      <c r="C1290" s="84" t="s">
        <v>70</v>
      </c>
      <c r="D1290" s="84" t="s">
        <v>123</v>
      </c>
      <c r="E1290" s="84" t="s">
        <v>276</v>
      </c>
      <c r="F1290" s="84"/>
      <c r="G1290" s="87">
        <f>G1291</f>
        <v>0</v>
      </c>
      <c r="H1290" s="87"/>
      <c r="I1290" s="87"/>
      <c r="J1290" s="177"/>
    </row>
    <row r="1291" spans="1:18" ht="25.5" hidden="1">
      <c r="A1291" s="82" t="s">
        <v>324</v>
      </c>
      <c r="B1291" s="149">
        <v>793</v>
      </c>
      <c r="C1291" s="84" t="s">
        <v>70</v>
      </c>
      <c r="D1291" s="84" t="s">
        <v>123</v>
      </c>
      <c r="E1291" s="84" t="s">
        <v>276</v>
      </c>
      <c r="F1291" s="84" t="s">
        <v>37</v>
      </c>
      <c r="G1291" s="87">
        <f>G1292</f>
        <v>0</v>
      </c>
      <c r="H1291" s="87"/>
      <c r="I1291" s="87"/>
      <c r="J1291" s="177"/>
    </row>
    <row r="1292" spans="1:18" ht="25.5" hidden="1">
      <c r="A1292" s="82" t="s">
        <v>38</v>
      </c>
      <c r="B1292" s="149">
        <v>793</v>
      </c>
      <c r="C1292" s="84" t="s">
        <v>70</v>
      </c>
      <c r="D1292" s="84" t="s">
        <v>123</v>
      </c>
      <c r="E1292" s="84" t="s">
        <v>276</v>
      </c>
      <c r="F1292" s="84" t="s">
        <v>39</v>
      </c>
      <c r="G1292" s="87"/>
      <c r="H1292" s="87">
        <v>0</v>
      </c>
      <c r="I1292" s="87">
        <v>0</v>
      </c>
      <c r="J1292" s="177"/>
    </row>
    <row r="1293" spans="1:18" ht="38.25" hidden="1" customHeight="1">
      <c r="A1293" s="82" t="s">
        <v>1078</v>
      </c>
      <c r="B1293" s="149">
        <v>793</v>
      </c>
      <c r="C1293" s="84" t="s">
        <v>70</v>
      </c>
      <c r="D1293" s="84" t="s">
        <v>123</v>
      </c>
      <c r="E1293" s="84" t="s">
        <v>1075</v>
      </c>
      <c r="F1293" s="84"/>
      <c r="G1293" s="87">
        <f>G1294</f>
        <v>0</v>
      </c>
      <c r="H1293" s="87">
        <f t="shared" ref="H1293:I1294" si="329">H1294</f>
        <v>0</v>
      </c>
      <c r="I1293" s="87">
        <f t="shared" si="329"/>
        <v>0</v>
      </c>
      <c r="J1293" s="177"/>
    </row>
    <row r="1294" spans="1:18" ht="28.5" hidden="1" customHeight="1">
      <c r="A1294" s="82" t="s">
        <v>38</v>
      </c>
      <c r="B1294" s="149">
        <v>793</v>
      </c>
      <c r="C1294" s="84" t="s">
        <v>70</v>
      </c>
      <c r="D1294" s="84" t="s">
        <v>123</v>
      </c>
      <c r="E1294" s="84" t="s">
        <v>1075</v>
      </c>
      <c r="F1294" s="84" t="s">
        <v>37</v>
      </c>
      <c r="G1294" s="87">
        <f>G1295</f>
        <v>0</v>
      </c>
      <c r="H1294" s="87">
        <f t="shared" si="329"/>
        <v>0</v>
      </c>
      <c r="I1294" s="87">
        <f t="shared" si="329"/>
        <v>0</v>
      </c>
      <c r="J1294" s="177"/>
    </row>
    <row r="1295" spans="1:18" ht="25.5" hidden="1">
      <c r="A1295" s="82" t="s">
        <v>38</v>
      </c>
      <c r="B1295" s="149">
        <v>793</v>
      </c>
      <c r="C1295" s="84" t="s">
        <v>70</v>
      </c>
      <c r="D1295" s="84" t="s">
        <v>123</v>
      </c>
      <c r="E1295" s="84" t="s">
        <v>1075</v>
      </c>
      <c r="F1295" s="84" t="s">
        <v>39</v>
      </c>
      <c r="G1295" s="87"/>
      <c r="H1295" s="87">
        <v>0</v>
      </c>
      <c r="I1295" s="87">
        <v>0</v>
      </c>
      <c r="J1295" s="177"/>
    </row>
    <row r="1296" spans="1:18" s="22" customFormat="1" ht="42" customHeight="1">
      <c r="A1296" s="154" t="s">
        <v>798</v>
      </c>
      <c r="B1296" s="155">
        <v>793</v>
      </c>
      <c r="C1296" s="156" t="s">
        <v>70</v>
      </c>
      <c r="D1296" s="156" t="s">
        <v>69</v>
      </c>
      <c r="E1296" s="156"/>
      <c r="F1296" s="156"/>
      <c r="G1296" s="157">
        <f>G1297+G1323</f>
        <v>5728490.8799999999</v>
      </c>
      <c r="H1296" s="157">
        <f t="shared" ref="H1296:I1296" si="330">H1297</f>
        <v>532500</v>
      </c>
      <c r="I1296" s="157">
        <f t="shared" si="330"/>
        <v>502500</v>
      </c>
      <c r="J1296" s="196"/>
      <c r="K1296" s="207"/>
      <c r="L1296" s="207"/>
      <c r="M1296" s="207"/>
      <c r="N1296" s="207"/>
      <c r="O1296" s="207"/>
      <c r="P1296" s="208"/>
      <c r="Q1296" s="208"/>
      <c r="R1296" s="207"/>
    </row>
    <row r="1297" spans="1:18" s="28" customFormat="1" ht="51">
      <c r="A1297" s="137" t="s">
        <v>486</v>
      </c>
      <c r="B1297" s="149">
        <v>793</v>
      </c>
      <c r="C1297" s="84" t="s">
        <v>70</v>
      </c>
      <c r="D1297" s="84" t="s">
        <v>69</v>
      </c>
      <c r="E1297" s="84" t="s">
        <v>252</v>
      </c>
      <c r="F1297" s="168"/>
      <c r="G1297" s="87">
        <f>G1303+G1298+G1308+G1313+G1319+G1320+G1314</f>
        <v>5630490.8799999999</v>
      </c>
      <c r="H1297" s="87">
        <f t="shared" ref="H1297:I1297" si="331">H1303+H1298+H1308+H1313+H1319</f>
        <v>532500</v>
      </c>
      <c r="I1297" s="87">
        <f t="shared" si="331"/>
        <v>502500</v>
      </c>
      <c r="J1297" s="177"/>
      <c r="K1297" s="204"/>
      <c r="L1297" s="204"/>
      <c r="M1297" s="204"/>
      <c r="N1297" s="204"/>
      <c r="O1297" s="204"/>
      <c r="P1297" s="204"/>
      <c r="Q1297" s="204"/>
      <c r="R1297" s="204"/>
    </row>
    <row r="1298" spans="1:18" s="28" customFormat="1" ht="25.5" hidden="1">
      <c r="A1298" s="137" t="s">
        <v>621</v>
      </c>
      <c r="B1298" s="149">
        <v>793</v>
      </c>
      <c r="C1298" s="84" t="s">
        <v>70</v>
      </c>
      <c r="D1298" s="84" t="s">
        <v>69</v>
      </c>
      <c r="E1298" s="84" t="s">
        <v>657</v>
      </c>
      <c r="F1298" s="168"/>
      <c r="G1298" s="87">
        <f>G1301+G1299</f>
        <v>0</v>
      </c>
      <c r="H1298" s="87"/>
      <c r="I1298" s="87"/>
      <c r="J1298" s="177"/>
      <c r="K1298" s="204"/>
      <c r="L1298" s="204"/>
      <c r="M1298" s="204"/>
      <c r="N1298" s="204"/>
      <c r="O1298" s="204"/>
      <c r="P1298" s="204"/>
      <c r="Q1298" s="204"/>
      <c r="R1298" s="204"/>
    </row>
    <row r="1299" spans="1:18" s="28" customFormat="1" hidden="1">
      <c r="A1299" s="82" t="s">
        <v>156</v>
      </c>
      <c r="B1299" s="149">
        <v>793</v>
      </c>
      <c r="C1299" s="84" t="s">
        <v>70</v>
      </c>
      <c r="D1299" s="84" t="s">
        <v>69</v>
      </c>
      <c r="E1299" s="84" t="s">
        <v>657</v>
      </c>
      <c r="F1299" s="84" t="s">
        <v>157</v>
      </c>
      <c r="G1299" s="87">
        <f>G1300</f>
        <v>0</v>
      </c>
      <c r="H1299" s="87"/>
      <c r="I1299" s="87"/>
      <c r="J1299" s="177"/>
      <c r="K1299" s="204"/>
      <c r="L1299" s="204"/>
      <c r="M1299" s="204"/>
      <c r="N1299" s="204"/>
      <c r="O1299" s="204"/>
      <c r="P1299" s="204"/>
      <c r="Q1299" s="204"/>
      <c r="R1299" s="204"/>
    </row>
    <row r="1300" spans="1:18" s="28" customFormat="1" hidden="1">
      <c r="A1300" s="82" t="s">
        <v>170</v>
      </c>
      <c r="B1300" s="149">
        <v>793</v>
      </c>
      <c r="C1300" s="84" t="s">
        <v>70</v>
      </c>
      <c r="D1300" s="84" t="s">
        <v>69</v>
      </c>
      <c r="E1300" s="84" t="s">
        <v>657</v>
      </c>
      <c r="F1300" s="84" t="s">
        <v>171</v>
      </c>
      <c r="G1300" s="87"/>
      <c r="H1300" s="87"/>
      <c r="I1300" s="87"/>
      <c r="J1300" s="177"/>
      <c r="K1300" s="204"/>
      <c r="L1300" s="204"/>
      <c r="M1300" s="204"/>
      <c r="N1300" s="204"/>
      <c r="O1300" s="204"/>
      <c r="P1300" s="204"/>
      <c r="Q1300" s="204"/>
      <c r="R1300" s="204"/>
    </row>
    <row r="1301" spans="1:18" ht="17.25" hidden="1" customHeight="1">
      <c r="A1301" s="82" t="s">
        <v>63</v>
      </c>
      <c r="B1301" s="149">
        <v>793</v>
      </c>
      <c r="C1301" s="84" t="s">
        <v>70</v>
      </c>
      <c r="D1301" s="84" t="s">
        <v>69</v>
      </c>
      <c r="E1301" s="84" t="s">
        <v>620</v>
      </c>
      <c r="F1301" s="84" t="s">
        <v>64</v>
      </c>
      <c r="G1301" s="87">
        <f>G1302</f>
        <v>0</v>
      </c>
      <c r="H1301" s="87">
        <f>H1302</f>
        <v>0</v>
      </c>
      <c r="I1301" s="87">
        <f>I1302</f>
        <v>0</v>
      </c>
      <c r="J1301" s="177"/>
    </row>
    <row r="1302" spans="1:18" ht="13.5" hidden="1" customHeight="1">
      <c r="A1302" s="82" t="s">
        <v>180</v>
      </c>
      <c r="B1302" s="149">
        <v>793</v>
      </c>
      <c r="C1302" s="84" t="s">
        <v>70</v>
      </c>
      <c r="D1302" s="84" t="s">
        <v>69</v>
      </c>
      <c r="E1302" s="84" t="s">
        <v>620</v>
      </c>
      <c r="F1302" s="84" t="s">
        <v>181</v>
      </c>
      <c r="G1302" s="87">
        <f>2715000-2715000</f>
        <v>0</v>
      </c>
      <c r="H1302" s="87"/>
      <c r="I1302" s="87"/>
      <c r="J1302" s="177"/>
    </row>
    <row r="1303" spans="1:18" ht="21" customHeight="1">
      <c r="A1303" s="82" t="s">
        <v>186</v>
      </c>
      <c r="B1303" s="149">
        <v>793</v>
      </c>
      <c r="C1303" s="84" t="s">
        <v>70</v>
      </c>
      <c r="D1303" s="84" t="s">
        <v>69</v>
      </c>
      <c r="E1303" s="84" t="s">
        <v>136</v>
      </c>
      <c r="F1303" s="84"/>
      <c r="G1303" s="87">
        <f t="shared" ref="G1303:I1304" si="332">G1304</f>
        <v>70000</v>
      </c>
      <c r="H1303" s="87">
        <f t="shared" si="332"/>
        <v>100000</v>
      </c>
      <c r="I1303" s="87">
        <f t="shared" si="332"/>
        <v>100000</v>
      </c>
      <c r="J1303" s="177"/>
    </row>
    <row r="1304" spans="1:18" ht="24.75" customHeight="1">
      <c r="A1304" s="82" t="s">
        <v>324</v>
      </c>
      <c r="B1304" s="149">
        <v>793</v>
      </c>
      <c r="C1304" s="84" t="s">
        <v>70</v>
      </c>
      <c r="D1304" s="84" t="s">
        <v>69</v>
      </c>
      <c r="E1304" s="84" t="s">
        <v>136</v>
      </c>
      <c r="F1304" s="84" t="s">
        <v>37</v>
      </c>
      <c r="G1304" s="87">
        <f t="shared" si="332"/>
        <v>70000</v>
      </c>
      <c r="H1304" s="87">
        <f t="shared" si="332"/>
        <v>100000</v>
      </c>
      <c r="I1304" s="87">
        <f t="shared" si="332"/>
        <v>100000</v>
      </c>
      <c r="J1304" s="177"/>
    </row>
    <row r="1305" spans="1:18" ht="25.5">
      <c r="A1305" s="82" t="s">
        <v>38</v>
      </c>
      <c r="B1305" s="149">
        <v>793</v>
      </c>
      <c r="C1305" s="84" t="s">
        <v>70</v>
      </c>
      <c r="D1305" s="84" t="s">
        <v>69</v>
      </c>
      <c r="E1305" s="84" t="s">
        <v>136</v>
      </c>
      <c r="F1305" s="84" t="s">
        <v>39</v>
      </c>
      <c r="G1305" s="87">
        <v>70000</v>
      </c>
      <c r="H1305" s="87">
        <f>70000+30000</f>
        <v>100000</v>
      </c>
      <c r="I1305" s="87">
        <f>70000+30000</f>
        <v>100000</v>
      </c>
      <c r="J1305" s="177"/>
    </row>
    <row r="1306" spans="1:18" s="28" customFormat="1" ht="67.5" customHeight="1">
      <c r="A1306" s="137" t="s">
        <v>335</v>
      </c>
      <c r="B1306" s="149">
        <v>793</v>
      </c>
      <c r="C1306" s="84" t="s">
        <v>70</v>
      </c>
      <c r="D1306" s="84" t="s">
        <v>69</v>
      </c>
      <c r="E1306" s="84" t="s">
        <v>138</v>
      </c>
      <c r="F1306" s="168"/>
      <c r="G1306" s="87">
        <f>G1307</f>
        <v>90489.88</v>
      </c>
      <c r="H1306" s="87">
        <f t="shared" ref="H1306:I1307" si="333">H1307</f>
        <v>30000</v>
      </c>
      <c r="I1306" s="87">
        <f t="shared" si="333"/>
        <v>0</v>
      </c>
      <c r="J1306" s="177"/>
      <c r="K1306" s="204"/>
      <c r="L1306" s="204"/>
      <c r="M1306" s="204"/>
      <c r="N1306" s="204"/>
      <c r="O1306" s="204"/>
      <c r="P1306" s="204"/>
      <c r="Q1306" s="204"/>
      <c r="R1306" s="204"/>
    </row>
    <row r="1307" spans="1:18" s="28" customFormat="1" ht="25.5">
      <c r="A1307" s="82" t="s">
        <v>324</v>
      </c>
      <c r="B1307" s="149">
        <v>793</v>
      </c>
      <c r="C1307" s="84" t="s">
        <v>70</v>
      </c>
      <c r="D1307" s="84" t="s">
        <v>69</v>
      </c>
      <c r="E1307" s="84" t="s">
        <v>138</v>
      </c>
      <c r="F1307" s="84" t="s">
        <v>37</v>
      </c>
      <c r="G1307" s="87">
        <f>G1308</f>
        <v>90489.88</v>
      </c>
      <c r="H1307" s="87">
        <f t="shared" si="333"/>
        <v>30000</v>
      </c>
      <c r="I1307" s="87">
        <f t="shared" si="333"/>
        <v>0</v>
      </c>
      <c r="J1307" s="177"/>
      <c r="K1307" s="204"/>
      <c r="L1307" s="204"/>
      <c r="M1307" s="204"/>
      <c r="N1307" s="204"/>
      <c r="O1307" s="204"/>
      <c r="P1307" s="204"/>
      <c r="Q1307" s="204"/>
      <c r="R1307" s="204"/>
    </row>
    <row r="1308" spans="1:18" s="28" customFormat="1" ht="25.5">
      <c r="A1308" s="82" t="s">
        <v>38</v>
      </c>
      <c r="B1308" s="149">
        <v>793</v>
      </c>
      <c r="C1308" s="84" t="s">
        <v>70</v>
      </c>
      <c r="D1308" s="84" t="s">
        <v>69</v>
      </c>
      <c r="E1308" s="84" t="s">
        <v>138</v>
      </c>
      <c r="F1308" s="84" t="s">
        <v>39</v>
      </c>
      <c r="G1308" s="87">
        <v>90489.88</v>
      </c>
      <c r="H1308" s="94">
        <v>30000</v>
      </c>
      <c r="I1308" s="94">
        <f>30000-30000</f>
        <v>0</v>
      </c>
      <c r="J1308" s="194"/>
      <c r="K1308" s="204"/>
      <c r="L1308" s="204"/>
      <c r="M1308" s="204"/>
      <c r="N1308" s="204"/>
      <c r="O1308" s="204"/>
      <c r="P1308" s="204"/>
      <c r="Q1308" s="204"/>
      <c r="R1308" s="204"/>
    </row>
    <row r="1309" spans="1:18" ht="53.25" customHeight="1">
      <c r="A1309" s="290" t="s">
        <v>498</v>
      </c>
      <c r="B1309" s="149">
        <v>793</v>
      </c>
      <c r="C1309" s="84" t="s">
        <v>70</v>
      </c>
      <c r="D1309" s="84" t="s">
        <v>69</v>
      </c>
      <c r="E1309" s="84" t="s">
        <v>253</v>
      </c>
      <c r="F1309" s="84"/>
      <c r="G1309" s="87">
        <f>G1312+G1310</f>
        <v>20000</v>
      </c>
      <c r="H1309" s="87">
        <f t="shared" ref="H1309:I1309" si="334">H1312+H1310</f>
        <v>250000</v>
      </c>
      <c r="I1309" s="87">
        <f t="shared" si="334"/>
        <v>250000</v>
      </c>
      <c r="J1309" s="177"/>
    </row>
    <row r="1310" spans="1:18" ht="25.5" hidden="1">
      <c r="A1310" s="82" t="s">
        <v>324</v>
      </c>
      <c r="B1310" s="149">
        <v>793</v>
      </c>
      <c r="C1310" s="84" t="s">
        <v>70</v>
      </c>
      <c r="D1310" s="84" t="s">
        <v>69</v>
      </c>
      <c r="E1310" s="84" t="s">
        <v>253</v>
      </c>
      <c r="F1310" s="84" t="s">
        <v>37</v>
      </c>
      <c r="G1310" s="87">
        <f>G1311</f>
        <v>0</v>
      </c>
      <c r="H1310" s="87">
        <f>H1311</f>
        <v>0</v>
      </c>
      <c r="I1310" s="87">
        <f>I1311</f>
        <v>0</v>
      </c>
      <c r="J1310" s="177"/>
    </row>
    <row r="1311" spans="1:18" ht="25.5" hidden="1">
      <c r="A1311" s="82" t="s">
        <v>38</v>
      </c>
      <c r="B1311" s="149">
        <v>793</v>
      </c>
      <c r="C1311" s="84" t="s">
        <v>70</v>
      </c>
      <c r="D1311" s="84" t="s">
        <v>69</v>
      </c>
      <c r="E1311" s="84" t="s">
        <v>253</v>
      </c>
      <c r="F1311" s="84" t="s">
        <v>39</v>
      </c>
      <c r="G1311" s="87">
        <f>30000-30000</f>
        <v>0</v>
      </c>
      <c r="H1311" s="87"/>
      <c r="I1311" s="87"/>
      <c r="J1311" s="177"/>
    </row>
    <row r="1312" spans="1:18" ht="17.25" customHeight="1">
      <c r="A1312" s="82" t="s">
        <v>63</v>
      </c>
      <c r="B1312" s="149">
        <v>793</v>
      </c>
      <c r="C1312" s="84" t="s">
        <v>70</v>
      </c>
      <c r="D1312" s="84" t="s">
        <v>69</v>
      </c>
      <c r="E1312" s="84" t="s">
        <v>254</v>
      </c>
      <c r="F1312" s="84" t="s">
        <v>64</v>
      </c>
      <c r="G1312" s="87">
        <f>G1313</f>
        <v>20000</v>
      </c>
      <c r="H1312" s="87">
        <f>H1313</f>
        <v>250000</v>
      </c>
      <c r="I1312" s="87">
        <f>I1313</f>
        <v>250000</v>
      </c>
      <c r="J1312" s="177"/>
    </row>
    <row r="1313" spans="1:18" ht="13.5" customHeight="1">
      <c r="A1313" s="82" t="s">
        <v>180</v>
      </c>
      <c r="B1313" s="149">
        <v>793</v>
      </c>
      <c r="C1313" s="84" t="s">
        <v>70</v>
      </c>
      <c r="D1313" s="84" t="s">
        <v>69</v>
      </c>
      <c r="E1313" s="84" t="s">
        <v>254</v>
      </c>
      <c r="F1313" s="84" t="s">
        <v>181</v>
      </c>
      <c r="G1313" s="87">
        <f>250000-230000</f>
        <v>20000</v>
      </c>
      <c r="H1313" s="87">
        <v>250000</v>
      </c>
      <c r="I1313" s="87">
        <v>250000</v>
      </c>
      <c r="J1313" s="177"/>
    </row>
    <row r="1314" spans="1:18" ht="38.25" hidden="1" customHeight="1">
      <c r="A1314" s="82" t="s">
        <v>1078</v>
      </c>
      <c r="B1314" s="149">
        <v>793</v>
      </c>
      <c r="C1314" s="84" t="s">
        <v>70</v>
      </c>
      <c r="D1314" s="84" t="s">
        <v>123</v>
      </c>
      <c r="E1314" s="84" t="s">
        <v>1075</v>
      </c>
      <c r="F1314" s="84"/>
      <c r="G1314" s="87">
        <f>G1315</f>
        <v>0</v>
      </c>
      <c r="H1314" s="87">
        <f t="shared" ref="H1314:I1315" si="335">H1315</f>
        <v>0</v>
      </c>
      <c r="I1314" s="87">
        <f t="shared" si="335"/>
        <v>0</v>
      </c>
      <c r="J1314" s="177"/>
    </row>
    <row r="1315" spans="1:18" ht="28.5" hidden="1" customHeight="1">
      <c r="A1315" s="82" t="s">
        <v>38</v>
      </c>
      <c r="B1315" s="149">
        <v>793</v>
      </c>
      <c r="C1315" s="84" t="s">
        <v>70</v>
      </c>
      <c r="D1315" s="84" t="s">
        <v>123</v>
      </c>
      <c r="E1315" s="84" t="s">
        <v>1075</v>
      </c>
      <c r="F1315" s="84" t="s">
        <v>37</v>
      </c>
      <c r="G1315" s="87">
        <f>G1316</f>
        <v>0</v>
      </c>
      <c r="H1315" s="87">
        <f t="shared" si="335"/>
        <v>0</v>
      </c>
      <c r="I1315" s="87">
        <f t="shared" si="335"/>
        <v>0</v>
      </c>
      <c r="J1315" s="177"/>
    </row>
    <row r="1316" spans="1:18" ht="25.5" hidden="1">
      <c r="A1316" s="82" t="s">
        <v>38</v>
      </c>
      <c r="B1316" s="149">
        <v>793</v>
      </c>
      <c r="C1316" s="84" t="s">
        <v>70</v>
      </c>
      <c r="D1316" s="84" t="s">
        <v>123</v>
      </c>
      <c r="E1316" s="84" t="s">
        <v>1075</v>
      </c>
      <c r="F1316" s="84" t="s">
        <v>39</v>
      </c>
      <c r="G1316" s="87"/>
      <c r="H1316" s="87">
        <v>0</v>
      </c>
      <c r="I1316" s="87">
        <v>0</v>
      </c>
      <c r="J1316" s="177"/>
    </row>
    <row r="1317" spans="1:18" ht="46.5" customHeight="1">
      <c r="A1317" s="290" t="s">
        <v>789</v>
      </c>
      <c r="B1317" s="149">
        <v>793</v>
      </c>
      <c r="C1317" s="84" t="s">
        <v>70</v>
      </c>
      <c r="D1317" s="84" t="s">
        <v>69</v>
      </c>
      <c r="E1317" s="84" t="s">
        <v>497</v>
      </c>
      <c r="F1317" s="84"/>
      <c r="G1317" s="87">
        <f>G1318</f>
        <v>2950001</v>
      </c>
      <c r="H1317" s="87">
        <f t="shared" ref="H1317:I1317" si="336">H1318</f>
        <v>152500</v>
      </c>
      <c r="I1317" s="87">
        <f t="shared" si="336"/>
        <v>152500</v>
      </c>
      <c r="J1317" s="177"/>
      <c r="K1317" s="177"/>
      <c r="L1317" s="177"/>
      <c r="M1317" s="177"/>
      <c r="N1317" s="177"/>
      <c r="O1317" s="177"/>
    </row>
    <row r="1318" spans="1:18" ht="25.5">
      <c r="A1318" s="82" t="s">
        <v>324</v>
      </c>
      <c r="B1318" s="149">
        <v>793</v>
      </c>
      <c r="C1318" s="84" t="s">
        <v>70</v>
      </c>
      <c r="D1318" s="84" t="s">
        <v>69</v>
      </c>
      <c r="E1318" s="84" t="s">
        <v>497</v>
      </c>
      <c r="F1318" s="84" t="s">
        <v>37</v>
      </c>
      <c r="G1318" s="87">
        <f>G1319</f>
        <v>2950001</v>
      </c>
      <c r="H1318" s="87">
        <f>H1319</f>
        <v>152500</v>
      </c>
      <c r="I1318" s="87">
        <f>I1319</f>
        <v>152500</v>
      </c>
      <c r="J1318" s="177"/>
    </row>
    <row r="1319" spans="1:18" ht="25.5">
      <c r="A1319" s="82" t="s">
        <v>38</v>
      </c>
      <c r="B1319" s="149">
        <v>793</v>
      </c>
      <c r="C1319" s="84" t="s">
        <v>70</v>
      </c>
      <c r="D1319" s="84" t="s">
        <v>69</v>
      </c>
      <c r="E1319" s="84" t="s">
        <v>497</v>
      </c>
      <c r="F1319" s="84" t="s">
        <v>39</v>
      </c>
      <c r="G1319" s="87">
        <f>152500+230000+300000+2267501</f>
        <v>2950001</v>
      </c>
      <c r="H1319" s="87">
        <v>152500</v>
      </c>
      <c r="I1319" s="87">
        <v>152500</v>
      </c>
      <c r="J1319" s="177"/>
    </row>
    <row r="1320" spans="1:18" ht="79.5" customHeight="1">
      <c r="A1320" s="290" t="s">
        <v>1019</v>
      </c>
      <c r="B1320" s="149">
        <v>793</v>
      </c>
      <c r="C1320" s="84" t="s">
        <v>70</v>
      </c>
      <c r="D1320" s="84" t="s">
        <v>69</v>
      </c>
      <c r="E1320" s="84" t="s">
        <v>499</v>
      </c>
      <c r="F1320" s="84"/>
      <c r="G1320" s="87">
        <f>G1321</f>
        <v>2500000</v>
      </c>
      <c r="H1320" s="87">
        <f t="shared" ref="H1320:I1320" si="337">H1321</f>
        <v>0</v>
      </c>
      <c r="I1320" s="87">
        <f t="shared" si="337"/>
        <v>0</v>
      </c>
      <c r="J1320" s="177"/>
      <c r="K1320" s="177"/>
      <c r="L1320" s="177"/>
      <c r="M1320" s="177"/>
      <c r="N1320" s="177"/>
      <c r="O1320" s="177"/>
    </row>
    <row r="1321" spans="1:18" ht="25.5">
      <c r="A1321" s="82" t="s">
        <v>324</v>
      </c>
      <c r="B1321" s="149">
        <v>793</v>
      </c>
      <c r="C1321" s="84" t="s">
        <v>70</v>
      </c>
      <c r="D1321" s="84" t="s">
        <v>69</v>
      </c>
      <c r="E1321" s="84" t="s">
        <v>499</v>
      </c>
      <c r="F1321" s="84" t="s">
        <v>157</v>
      </c>
      <c r="G1321" s="87">
        <f>G1322</f>
        <v>2500000</v>
      </c>
      <c r="H1321" s="87">
        <f>H1322</f>
        <v>0</v>
      </c>
      <c r="I1321" s="87">
        <f>I1322</f>
        <v>0</v>
      </c>
      <c r="J1321" s="177"/>
    </row>
    <row r="1322" spans="1:18" ht="25.5">
      <c r="A1322" s="82" t="s">
        <v>38</v>
      </c>
      <c r="B1322" s="149">
        <v>793</v>
      </c>
      <c r="C1322" s="84" t="s">
        <v>70</v>
      </c>
      <c r="D1322" s="84" t="s">
        <v>69</v>
      </c>
      <c r="E1322" s="84" t="s">
        <v>499</v>
      </c>
      <c r="F1322" s="84" t="s">
        <v>179</v>
      </c>
      <c r="G1322" s="87">
        <v>2500000</v>
      </c>
      <c r="H1322" s="87">
        <v>0</v>
      </c>
      <c r="I1322" s="87">
        <v>0</v>
      </c>
      <c r="J1322" s="177"/>
    </row>
    <row r="1323" spans="1:18" s="28" customFormat="1" ht="24.75" customHeight="1">
      <c r="A1323" s="139" t="s">
        <v>169</v>
      </c>
      <c r="B1323" s="149">
        <v>793</v>
      </c>
      <c r="C1323" s="84" t="s">
        <v>70</v>
      </c>
      <c r="D1323" s="84" t="s">
        <v>69</v>
      </c>
      <c r="E1323" s="84" t="s">
        <v>234</v>
      </c>
      <c r="F1323" s="168"/>
      <c r="G1323" s="87">
        <f t="shared" ref="G1323:I1327" si="338">G1324</f>
        <v>98000</v>
      </c>
      <c r="H1323" s="87">
        <f t="shared" si="338"/>
        <v>0</v>
      </c>
      <c r="I1323" s="87">
        <f t="shared" si="338"/>
        <v>0</v>
      </c>
      <c r="J1323" s="177"/>
      <c r="K1323" s="204"/>
      <c r="L1323" s="204"/>
      <c r="M1323" s="204"/>
      <c r="N1323" s="204"/>
      <c r="O1323" s="204"/>
      <c r="P1323" s="204"/>
      <c r="Q1323" s="204"/>
      <c r="R1323" s="204"/>
    </row>
    <row r="1324" spans="1:18" ht="25.5">
      <c r="A1324" s="139" t="s">
        <v>169</v>
      </c>
      <c r="B1324" s="149">
        <v>793</v>
      </c>
      <c r="C1324" s="84" t="s">
        <v>70</v>
      </c>
      <c r="D1324" s="84" t="s">
        <v>69</v>
      </c>
      <c r="E1324" s="84" t="s">
        <v>276</v>
      </c>
      <c r="F1324" s="149"/>
      <c r="G1324" s="87">
        <f>G1327+G1325</f>
        <v>98000</v>
      </c>
      <c r="H1324" s="87">
        <f>H1327</f>
        <v>0</v>
      </c>
      <c r="I1324" s="87">
        <f>I1327</f>
        <v>0</v>
      </c>
      <c r="J1324" s="177"/>
    </row>
    <row r="1325" spans="1:18" ht="25.5">
      <c r="A1325" s="82" t="s">
        <v>324</v>
      </c>
      <c r="B1325" s="149">
        <v>793</v>
      </c>
      <c r="C1325" s="84" t="s">
        <v>70</v>
      </c>
      <c r="D1325" s="84" t="s">
        <v>69</v>
      </c>
      <c r="E1325" s="84" t="s">
        <v>276</v>
      </c>
      <c r="F1325" s="84" t="s">
        <v>37</v>
      </c>
      <c r="G1325" s="87">
        <f>G1326</f>
        <v>28000</v>
      </c>
      <c r="H1325" s="87"/>
      <c r="I1325" s="87"/>
      <c r="J1325" s="177"/>
    </row>
    <row r="1326" spans="1:18" ht="25.5">
      <c r="A1326" s="82" t="s">
        <v>38</v>
      </c>
      <c r="B1326" s="149">
        <v>793</v>
      </c>
      <c r="C1326" s="84" t="s">
        <v>70</v>
      </c>
      <c r="D1326" s="84" t="s">
        <v>69</v>
      </c>
      <c r="E1326" s="84" t="s">
        <v>276</v>
      </c>
      <c r="F1326" s="84" t="s">
        <v>39</v>
      </c>
      <c r="G1326" s="87">
        <v>28000</v>
      </c>
      <c r="H1326" s="87"/>
      <c r="I1326" s="87"/>
      <c r="J1326" s="177"/>
    </row>
    <row r="1327" spans="1:18">
      <c r="A1327" s="82" t="s">
        <v>156</v>
      </c>
      <c r="B1327" s="149">
        <v>793</v>
      </c>
      <c r="C1327" s="84" t="s">
        <v>70</v>
      </c>
      <c r="D1327" s="84" t="s">
        <v>69</v>
      </c>
      <c r="E1327" s="84" t="s">
        <v>276</v>
      </c>
      <c r="F1327" s="84" t="s">
        <v>157</v>
      </c>
      <c r="G1327" s="87">
        <f t="shared" si="338"/>
        <v>70000</v>
      </c>
      <c r="H1327" s="87">
        <f t="shared" si="338"/>
        <v>0</v>
      </c>
      <c r="I1327" s="87">
        <f t="shared" si="338"/>
        <v>0</v>
      </c>
      <c r="J1327" s="177"/>
    </row>
    <row r="1328" spans="1:18">
      <c r="A1328" s="82" t="s">
        <v>178</v>
      </c>
      <c r="B1328" s="149">
        <v>793</v>
      </c>
      <c r="C1328" s="84" t="s">
        <v>70</v>
      </c>
      <c r="D1328" s="84" t="s">
        <v>69</v>
      </c>
      <c r="E1328" s="84" t="s">
        <v>276</v>
      </c>
      <c r="F1328" s="84" t="s">
        <v>179</v>
      </c>
      <c r="G1328" s="87">
        <v>70000</v>
      </c>
      <c r="H1328" s="87"/>
      <c r="I1328" s="87"/>
      <c r="J1328" s="177"/>
    </row>
    <row r="1329" spans="1:18" s="22" customFormat="1" ht="25.5">
      <c r="A1329" s="154" t="s">
        <v>336</v>
      </c>
      <c r="B1329" s="155">
        <v>793</v>
      </c>
      <c r="C1329" s="156" t="s">
        <v>70</v>
      </c>
      <c r="D1329" s="156" t="s">
        <v>310</v>
      </c>
      <c r="E1329" s="156"/>
      <c r="F1329" s="156"/>
      <c r="G1329" s="157">
        <f>G1330+G1340</f>
        <v>309600</v>
      </c>
      <c r="H1329" s="157">
        <f t="shared" ref="H1329:I1329" si="339">H1330+H1340</f>
        <v>238000</v>
      </c>
      <c r="I1329" s="157">
        <f t="shared" si="339"/>
        <v>228000</v>
      </c>
      <c r="J1329" s="196"/>
      <c r="K1329" s="207"/>
      <c r="L1329" s="207"/>
      <c r="M1329" s="207"/>
      <c r="N1329" s="207"/>
      <c r="O1329" s="207"/>
      <c r="P1329" s="207"/>
      <c r="Q1329" s="207"/>
      <c r="R1329" s="207"/>
    </row>
    <row r="1330" spans="1:18" ht="51">
      <c r="A1330" s="82" t="s">
        <v>472</v>
      </c>
      <c r="B1330" s="149">
        <v>793</v>
      </c>
      <c r="C1330" s="84" t="s">
        <v>70</v>
      </c>
      <c r="D1330" s="84" t="s">
        <v>310</v>
      </c>
      <c r="E1330" s="84" t="s">
        <v>255</v>
      </c>
      <c r="F1330" s="84"/>
      <c r="G1330" s="87">
        <f>G1331+G1334+G1337</f>
        <v>186600</v>
      </c>
      <c r="H1330" s="87">
        <f t="shared" ref="H1330:I1330" si="340">H1331+H1334+H1337</f>
        <v>110000</v>
      </c>
      <c r="I1330" s="87">
        <f t="shared" si="340"/>
        <v>105000</v>
      </c>
      <c r="J1330" s="177"/>
    </row>
    <row r="1331" spans="1:18" ht="63.75" customHeight="1">
      <c r="A1331" s="82" t="s">
        <v>520</v>
      </c>
      <c r="B1331" s="149">
        <v>793</v>
      </c>
      <c r="C1331" s="84" t="s">
        <v>70</v>
      </c>
      <c r="D1331" s="84" t="s">
        <v>310</v>
      </c>
      <c r="E1331" s="84" t="s">
        <v>256</v>
      </c>
      <c r="F1331" s="84"/>
      <c r="G1331" s="87">
        <f t="shared" ref="G1331:I1332" si="341">G1332</f>
        <v>166600</v>
      </c>
      <c r="H1331" s="87">
        <f t="shared" si="341"/>
        <v>105000</v>
      </c>
      <c r="I1331" s="87">
        <f t="shared" si="341"/>
        <v>105000</v>
      </c>
      <c r="J1331" s="177"/>
    </row>
    <row r="1332" spans="1:18" ht="25.5">
      <c r="A1332" s="82" t="s">
        <v>457</v>
      </c>
      <c r="B1332" s="149">
        <v>793</v>
      </c>
      <c r="C1332" s="84" t="s">
        <v>70</v>
      </c>
      <c r="D1332" s="84" t="s">
        <v>310</v>
      </c>
      <c r="E1332" s="84" t="s">
        <v>256</v>
      </c>
      <c r="F1332" s="84" t="s">
        <v>37</v>
      </c>
      <c r="G1332" s="87">
        <f t="shared" si="341"/>
        <v>166600</v>
      </c>
      <c r="H1332" s="87">
        <f t="shared" si="341"/>
        <v>105000</v>
      </c>
      <c r="I1332" s="87">
        <f t="shared" si="341"/>
        <v>105000</v>
      </c>
      <c r="J1332" s="177"/>
    </row>
    <row r="1333" spans="1:18" ht="30.75" customHeight="1">
      <c r="A1333" s="82" t="s">
        <v>38</v>
      </c>
      <c r="B1333" s="149">
        <v>793</v>
      </c>
      <c r="C1333" s="84" t="s">
        <v>70</v>
      </c>
      <c r="D1333" s="84" t="s">
        <v>310</v>
      </c>
      <c r="E1333" s="84" t="s">
        <v>256</v>
      </c>
      <c r="F1333" s="84" t="s">
        <v>39</v>
      </c>
      <c r="G1333" s="87">
        <f>100000+66600</f>
        <v>166600</v>
      </c>
      <c r="H1333" s="87">
        <f>100000+5000</f>
        <v>105000</v>
      </c>
      <c r="I1333" s="87">
        <f>100000+5000</f>
        <v>105000</v>
      </c>
      <c r="J1333" s="177"/>
    </row>
    <row r="1334" spans="1:18" ht="51">
      <c r="A1334" s="82" t="s">
        <v>417</v>
      </c>
      <c r="B1334" s="149">
        <v>793</v>
      </c>
      <c r="C1334" s="84" t="s">
        <v>70</v>
      </c>
      <c r="D1334" s="84" t="s">
        <v>310</v>
      </c>
      <c r="E1334" s="84" t="s">
        <v>416</v>
      </c>
      <c r="F1334" s="84"/>
      <c r="G1334" s="87">
        <f>G1335</f>
        <v>20000</v>
      </c>
      <c r="H1334" s="87">
        <f t="shared" ref="H1334:I1334" si="342">H1335</f>
        <v>5000</v>
      </c>
      <c r="I1334" s="87">
        <f t="shared" si="342"/>
        <v>0</v>
      </c>
      <c r="J1334" s="177"/>
    </row>
    <row r="1335" spans="1:18" ht="25.5">
      <c r="A1335" s="82" t="s">
        <v>38</v>
      </c>
      <c r="B1335" s="149">
        <v>793</v>
      </c>
      <c r="C1335" s="84" t="s">
        <v>70</v>
      </c>
      <c r="D1335" s="84" t="s">
        <v>310</v>
      </c>
      <c r="E1335" s="84" t="s">
        <v>416</v>
      </c>
      <c r="F1335" s="84" t="s">
        <v>37</v>
      </c>
      <c r="G1335" s="87">
        <f>G1336</f>
        <v>20000</v>
      </c>
      <c r="H1335" s="87">
        <f t="shared" ref="H1335:I1335" si="343">H1336</f>
        <v>5000</v>
      </c>
      <c r="I1335" s="87">
        <f t="shared" si="343"/>
        <v>0</v>
      </c>
      <c r="J1335" s="177"/>
    </row>
    <row r="1336" spans="1:18" ht="25.5">
      <c r="A1336" s="82" t="s">
        <v>38</v>
      </c>
      <c r="B1336" s="149">
        <v>793</v>
      </c>
      <c r="C1336" s="84" t="s">
        <v>70</v>
      </c>
      <c r="D1336" s="84" t="s">
        <v>310</v>
      </c>
      <c r="E1336" s="84" t="s">
        <v>416</v>
      </c>
      <c r="F1336" s="84" t="s">
        <v>39</v>
      </c>
      <c r="G1336" s="87">
        <v>20000</v>
      </c>
      <c r="H1336" s="85">
        <v>5000</v>
      </c>
      <c r="I1336" s="85">
        <f>5000-5000</f>
        <v>0</v>
      </c>
      <c r="J1336" s="178"/>
    </row>
    <row r="1337" spans="1:18" ht="46.5" hidden="1" customHeight="1">
      <c r="A1337" s="290" t="s">
        <v>500</v>
      </c>
      <c r="B1337" s="149">
        <v>793</v>
      </c>
      <c r="C1337" s="84" t="s">
        <v>70</v>
      </c>
      <c r="D1337" s="84" t="s">
        <v>310</v>
      </c>
      <c r="E1337" s="84" t="s">
        <v>785</v>
      </c>
      <c r="F1337" s="84"/>
      <c r="G1337" s="87">
        <f>G1338</f>
        <v>0</v>
      </c>
      <c r="H1337" s="87">
        <f t="shared" ref="H1337:I1337" si="344">H1338</f>
        <v>0</v>
      </c>
      <c r="I1337" s="87">
        <f t="shared" si="344"/>
        <v>0</v>
      </c>
      <c r="J1337" s="177"/>
    </row>
    <row r="1338" spans="1:18" ht="25.5" hidden="1">
      <c r="A1338" s="82" t="s">
        <v>324</v>
      </c>
      <c r="B1338" s="149">
        <v>793</v>
      </c>
      <c r="C1338" s="84" t="s">
        <v>70</v>
      </c>
      <c r="D1338" s="84" t="s">
        <v>310</v>
      </c>
      <c r="E1338" s="84" t="s">
        <v>785</v>
      </c>
      <c r="F1338" s="84" t="s">
        <v>37</v>
      </c>
      <c r="G1338" s="87">
        <f>G1339</f>
        <v>0</v>
      </c>
      <c r="H1338" s="87">
        <f>H1339</f>
        <v>0</v>
      </c>
      <c r="I1338" s="87">
        <f>I1339</f>
        <v>0</v>
      </c>
      <c r="J1338" s="177"/>
    </row>
    <row r="1339" spans="1:18" ht="25.5" hidden="1">
      <c r="A1339" s="82" t="s">
        <v>38</v>
      </c>
      <c r="B1339" s="149">
        <v>793</v>
      </c>
      <c r="C1339" s="84" t="s">
        <v>70</v>
      </c>
      <c r="D1339" s="84" t="s">
        <v>310</v>
      </c>
      <c r="E1339" s="84" t="s">
        <v>785</v>
      </c>
      <c r="F1339" s="84" t="s">
        <v>39</v>
      </c>
      <c r="G1339" s="87"/>
      <c r="H1339" s="87"/>
      <c r="I1339" s="87"/>
      <c r="J1339" s="177"/>
    </row>
    <row r="1340" spans="1:18" ht="38.25">
      <c r="A1340" s="82" t="s">
        <v>484</v>
      </c>
      <c r="B1340" s="149">
        <v>793</v>
      </c>
      <c r="C1340" s="84" t="s">
        <v>70</v>
      </c>
      <c r="D1340" s="84" t="s">
        <v>310</v>
      </c>
      <c r="E1340" s="84" t="s">
        <v>257</v>
      </c>
      <c r="F1340" s="84"/>
      <c r="G1340" s="87">
        <f t="shared" ref="G1340:I1342" si="345">G1341</f>
        <v>123000</v>
      </c>
      <c r="H1340" s="87">
        <f t="shared" si="345"/>
        <v>128000</v>
      </c>
      <c r="I1340" s="87">
        <f t="shared" si="345"/>
        <v>123000</v>
      </c>
      <c r="J1340" s="177"/>
    </row>
    <row r="1341" spans="1:18" ht="38.25">
      <c r="A1341" s="82" t="s">
        <v>337</v>
      </c>
      <c r="B1341" s="149">
        <v>793</v>
      </c>
      <c r="C1341" s="84" t="s">
        <v>70</v>
      </c>
      <c r="D1341" s="84" t="s">
        <v>310</v>
      </c>
      <c r="E1341" s="84" t="s">
        <v>258</v>
      </c>
      <c r="F1341" s="84"/>
      <c r="G1341" s="87">
        <f t="shared" si="345"/>
        <v>123000</v>
      </c>
      <c r="H1341" s="87">
        <f t="shared" si="345"/>
        <v>128000</v>
      </c>
      <c r="I1341" s="87">
        <f t="shared" si="345"/>
        <v>123000</v>
      </c>
      <c r="J1341" s="177"/>
    </row>
    <row r="1342" spans="1:18" ht="25.5">
      <c r="A1342" s="82" t="s">
        <v>457</v>
      </c>
      <c r="B1342" s="149">
        <v>793</v>
      </c>
      <c r="C1342" s="84" t="s">
        <v>70</v>
      </c>
      <c r="D1342" s="84" t="s">
        <v>310</v>
      </c>
      <c r="E1342" s="84" t="s">
        <v>258</v>
      </c>
      <c r="F1342" s="84" t="s">
        <v>37</v>
      </c>
      <c r="G1342" s="87">
        <f t="shared" si="345"/>
        <v>123000</v>
      </c>
      <c r="H1342" s="87">
        <f t="shared" si="345"/>
        <v>128000</v>
      </c>
      <c r="I1342" s="87">
        <f t="shared" si="345"/>
        <v>123000</v>
      </c>
      <c r="J1342" s="177"/>
    </row>
    <row r="1343" spans="1:18" ht="31.5" customHeight="1">
      <c r="A1343" s="82" t="s">
        <v>38</v>
      </c>
      <c r="B1343" s="149">
        <v>793</v>
      </c>
      <c r="C1343" s="84" t="s">
        <v>70</v>
      </c>
      <c r="D1343" s="84" t="s">
        <v>310</v>
      </c>
      <c r="E1343" s="84" t="s">
        <v>258</v>
      </c>
      <c r="F1343" s="84" t="s">
        <v>39</v>
      </c>
      <c r="G1343" s="87">
        <v>123000</v>
      </c>
      <c r="H1343" s="87">
        <v>128000</v>
      </c>
      <c r="I1343" s="87">
        <v>123000</v>
      </c>
      <c r="J1343" s="177"/>
    </row>
    <row r="1344" spans="1:18">
      <c r="A1344" s="270" t="s">
        <v>86</v>
      </c>
      <c r="B1344" s="271">
        <v>793</v>
      </c>
      <c r="C1344" s="272" t="s">
        <v>54</v>
      </c>
      <c r="D1344" s="272"/>
      <c r="E1344" s="272"/>
      <c r="F1344" s="272"/>
      <c r="G1344" s="269">
        <f>G1350+G1410+G1365+G1345</f>
        <v>51260228.289999999</v>
      </c>
      <c r="H1344" s="269">
        <f>H1350+H1410+H1365+H1345</f>
        <v>37763908</v>
      </c>
      <c r="I1344" s="269">
        <f>I1350+I1410+I1365+I1345</f>
        <v>39178801</v>
      </c>
      <c r="J1344" s="191"/>
      <c r="K1344" s="191"/>
      <c r="L1344" s="191"/>
      <c r="M1344" s="191"/>
      <c r="N1344" s="191"/>
      <c r="O1344" s="191"/>
      <c r="P1344" s="209"/>
      <c r="Q1344" s="209"/>
    </row>
    <row r="1345" spans="1:18" hidden="1">
      <c r="A1345" s="283" t="s">
        <v>791</v>
      </c>
      <c r="B1345" s="83">
        <v>793</v>
      </c>
      <c r="C1345" s="147" t="s">
        <v>54</v>
      </c>
      <c r="D1345" s="147" t="s">
        <v>173</v>
      </c>
      <c r="E1345" s="272"/>
      <c r="F1345" s="272"/>
      <c r="G1345" s="93">
        <f>G1347</f>
        <v>0</v>
      </c>
      <c r="H1345" s="93">
        <f t="shared" ref="H1345:I1345" si="346">H1347</f>
        <v>0</v>
      </c>
      <c r="I1345" s="93">
        <f t="shared" si="346"/>
        <v>0</v>
      </c>
      <c r="J1345" s="195"/>
    </row>
    <row r="1346" spans="1:18" ht="30" hidden="1" customHeight="1">
      <c r="A1346" s="139" t="s">
        <v>715</v>
      </c>
      <c r="B1346" s="149">
        <v>793</v>
      </c>
      <c r="C1346" s="84" t="s">
        <v>54</v>
      </c>
      <c r="D1346" s="84" t="s">
        <v>88</v>
      </c>
      <c r="E1346" s="149" t="s">
        <v>243</v>
      </c>
      <c r="F1346" s="149"/>
      <c r="G1346" s="87">
        <f>G1347</f>
        <v>0</v>
      </c>
      <c r="H1346" s="87">
        <f t="shared" ref="H1346:I1346" si="347">H1347</f>
        <v>0</v>
      </c>
      <c r="I1346" s="87">
        <f t="shared" si="347"/>
        <v>0</v>
      </c>
      <c r="J1346" s="177"/>
    </row>
    <row r="1347" spans="1:18" ht="40.5" hidden="1" customHeight="1">
      <c r="A1347" s="82" t="s">
        <v>790</v>
      </c>
      <c r="B1347" s="149">
        <v>793</v>
      </c>
      <c r="C1347" s="84" t="s">
        <v>54</v>
      </c>
      <c r="D1347" s="84" t="s">
        <v>173</v>
      </c>
      <c r="E1347" s="149" t="s">
        <v>643</v>
      </c>
      <c r="F1347" s="149"/>
      <c r="G1347" s="87">
        <f>G1348</f>
        <v>0</v>
      </c>
      <c r="H1347" s="87">
        <f>H1349</f>
        <v>0</v>
      </c>
      <c r="I1347" s="87">
        <f>I1349</f>
        <v>0</v>
      </c>
      <c r="J1347" s="177"/>
    </row>
    <row r="1348" spans="1:18" hidden="1">
      <c r="A1348" s="82" t="s">
        <v>63</v>
      </c>
      <c r="B1348" s="149">
        <v>793</v>
      </c>
      <c r="C1348" s="84" t="s">
        <v>54</v>
      </c>
      <c r="D1348" s="84" t="s">
        <v>173</v>
      </c>
      <c r="E1348" s="149" t="s">
        <v>643</v>
      </c>
      <c r="F1348" s="149">
        <v>800</v>
      </c>
      <c r="G1348" s="87">
        <f t="shared" ref="G1348:I1348" si="348">G1349</f>
        <v>0</v>
      </c>
      <c r="H1348" s="87">
        <f t="shared" si="348"/>
        <v>0</v>
      </c>
      <c r="I1348" s="87">
        <f t="shared" si="348"/>
        <v>0</v>
      </c>
      <c r="J1348" s="177"/>
    </row>
    <row r="1349" spans="1:18" ht="48" hidden="1" customHeight="1">
      <c r="A1349" s="82" t="s">
        <v>433</v>
      </c>
      <c r="B1349" s="149">
        <v>793</v>
      </c>
      <c r="C1349" s="84" t="s">
        <v>54</v>
      </c>
      <c r="D1349" s="84" t="s">
        <v>173</v>
      </c>
      <c r="E1349" s="149" t="s">
        <v>643</v>
      </c>
      <c r="F1349" s="149">
        <v>810</v>
      </c>
      <c r="G1349" s="87"/>
      <c r="H1349" s="85">
        <v>0</v>
      </c>
      <c r="I1349" s="85">
        <v>0</v>
      </c>
      <c r="J1349" s="178"/>
    </row>
    <row r="1350" spans="1:18" s="46" customFormat="1" ht="16.5" customHeight="1">
      <c r="A1350" s="82" t="s">
        <v>343</v>
      </c>
      <c r="B1350" s="149">
        <v>793</v>
      </c>
      <c r="C1350" s="84" t="s">
        <v>54</v>
      </c>
      <c r="D1350" s="84" t="s">
        <v>44</v>
      </c>
      <c r="E1350" s="84"/>
      <c r="F1350" s="84"/>
      <c r="G1350" s="87">
        <f>G1352</f>
        <v>7056128.1399999997</v>
      </c>
      <c r="H1350" s="87">
        <f>H1352</f>
        <v>1929435</v>
      </c>
      <c r="I1350" s="87">
        <f>I1352</f>
        <v>1929435</v>
      </c>
      <c r="J1350" s="177"/>
      <c r="K1350" s="222"/>
      <c r="L1350" s="222"/>
      <c r="M1350" s="222"/>
      <c r="N1350" s="222"/>
      <c r="O1350" s="222"/>
      <c r="P1350" s="222"/>
      <c r="Q1350" s="222"/>
      <c r="R1350" s="222"/>
    </row>
    <row r="1351" spans="1:18" s="18" customFormat="1" ht="27" customHeight="1">
      <c r="A1351" s="82" t="s">
        <v>490</v>
      </c>
      <c r="B1351" s="149">
        <v>793</v>
      </c>
      <c r="C1351" s="84" t="s">
        <v>54</v>
      </c>
      <c r="D1351" s="84" t="s">
        <v>44</v>
      </c>
      <c r="E1351" s="84" t="s">
        <v>235</v>
      </c>
      <c r="F1351" s="84"/>
      <c r="G1351" s="87">
        <f>G1352</f>
        <v>7056128.1399999997</v>
      </c>
      <c r="H1351" s="87">
        <f t="shared" ref="H1351:I1351" si="349">H1352</f>
        <v>1929435</v>
      </c>
      <c r="I1351" s="87">
        <f t="shared" si="349"/>
        <v>1929435</v>
      </c>
      <c r="J1351" s="177"/>
      <c r="K1351" s="200"/>
      <c r="L1351" s="200"/>
      <c r="M1351" s="200"/>
      <c r="N1351" s="200"/>
      <c r="O1351" s="200"/>
      <c r="P1351" s="200"/>
      <c r="Q1351" s="200"/>
      <c r="R1351" s="200"/>
    </row>
    <row r="1352" spans="1:18" s="46" customFormat="1" ht="18" customHeight="1">
      <c r="A1352" s="82" t="s">
        <v>344</v>
      </c>
      <c r="B1352" s="149">
        <v>793</v>
      </c>
      <c r="C1352" s="84" t="s">
        <v>54</v>
      </c>
      <c r="D1352" s="84" t="s">
        <v>44</v>
      </c>
      <c r="E1352" s="84" t="s">
        <v>97</v>
      </c>
      <c r="F1352" s="84"/>
      <c r="G1352" s="87">
        <f>G1353+G1356+G1359+G1362</f>
        <v>7056128.1399999997</v>
      </c>
      <c r="H1352" s="87">
        <f t="shared" ref="H1352:I1352" si="350">H1353</f>
        <v>1929435</v>
      </c>
      <c r="I1352" s="87">
        <f t="shared" si="350"/>
        <v>1929435</v>
      </c>
      <c r="J1352" s="177"/>
      <c r="K1352" s="222"/>
      <c r="L1352" s="222"/>
      <c r="M1352" s="222"/>
      <c r="N1352" s="222"/>
      <c r="O1352" s="222"/>
      <c r="P1352" s="222"/>
      <c r="Q1352" s="222"/>
      <c r="R1352" s="222"/>
    </row>
    <row r="1353" spans="1:18" s="46" customFormat="1" ht="26.25" customHeight="1">
      <c r="A1353" s="82" t="s">
        <v>339</v>
      </c>
      <c r="B1353" s="149">
        <v>793</v>
      </c>
      <c r="C1353" s="84" t="s">
        <v>54</v>
      </c>
      <c r="D1353" s="84" t="s">
        <v>44</v>
      </c>
      <c r="E1353" s="84" t="s">
        <v>338</v>
      </c>
      <c r="F1353" s="84"/>
      <c r="G1353" s="87">
        <f t="shared" ref="G1353:I1360" si="351">G1354</f>
        <v>1719320.76</v>
      </c>
      <c r="H1353" s="87">
        <f t="shared" si="351"/>
        <v>1929435</v>
      </c>
      <c r="I1353" s="87">
        <f t="shared" si="351"/>
        <v>1929435</v>
      </c>
      <c r="J1353" s="177"/>
      <c r="K1353" s="222"/>
      <c r="L1353" s="222"/>
      <c r="M1353" s="222"/>
      <c r="N1353" s="222"/>
      <c r="O1353" s="222"/>
      <c r="P1353" s="222"/>
      <c r="Q1353" s="222"/>
      <c r="R1353" s="222"/>
    </row>
    <row r="1354" spans="1:18" s="46" customFormat="1" ht="27.75" customHeight="1">
      <c r="A1354" s="82" t="s">
        <v>457</v>
      </c>
      <c r="B1354" s="149">
        <v>793</v>
      </c>
      <c r="C1354" s="84" t="s">
        <v>54</v>
      </c>
      <c r="D1354" s="84" t="s">
        <v>44</v>
      </c>
      <c r="E1354" s="84" t="s">
        <v>338</v>
      </c>
      <c r="F1354" s="84" t="s">
        <v>37</v>
      </c>
      <c r="G1354" s="87">
        <f t="shared" si="351"/>
        <v>1719320.76</v>
      </c>
      <c r="H1354" s="87">
        <f t="shared" si="351"/>
        <v>1929435</v>
      </c>
      <c r="I1354" s="87">
        <f t="shared" si="351"/>
        <v>1929435</v>
      </c>
      <c r="J1354" s="177"/>
      <c r="K1354" s="222"/>
      <c r="L1354" s="222"/>
      <c r="M1354" s="222"/>
      <c r="N1354" s="222"/>
      <c r="O1354" s="222"/>
      <c r="P1354" s="222"/>
      <c r="Q1354" s="222"/>
      <c r="R1354" s="222"/>
    </row>
    <row r="1355" spans="1:18" s="46" customFormat="1" ht="31.5" customHeight="1">
      <c r="A1355" s="82" t="s">
        <v>38</v>
      </c>
      <c r="B1355" s="149">
        <v>793</v>
      </c>
      <c r="C1355" s="84" t="s">
        <v>54</v>
      </c>
      <c r="D1355" s="84" t="s">
        <v>44</v>
      </c>
      <c r="E1355" s="84" t="s">
        <v>338</v>
      </c>
      <c r="F1355" s="84" t="s">
        <v>39</v>
      </c>
      <c r="G1355" s="87">
        <f>1929435-1067361.47+857247.23</f>
        <v>1719320.76</v>
      </c>
      <c r="H1355" s="87">
        <v>1929435</v>
      </c>
      <c r="I1355" s="87">
        <v>1929435</v>
      </c>
      <c r="J1355" s="177"/>
      <c r="K1355" s="222"/>
      <c r="L1355" s="222"/>
      <c r="M1355" s="222"/>
      <c r="N1355" s="222"/>
      <c r="O1355" s="222"/>
      <c r="P1355" s="222"/>
      <c r="Q1355" s="222"/>
      <c r="R1355" s="222"/>
    </row>
    <row r="1356" spans="1:18" s="46" customFormat="1" ht="75" hidden="1" customHeight="1">
      <c r="A1356" s="82" t="s">
        <v>709</v>
      </c>
      <c r="B1356" s="149">
        <v>793</v>
      </c>
      <c r="C1356" s="84" t="s">
        <v>54</v>
      </c>
      <c r="D1356" s="84" t="s">
        <v>44</v>
      </c>
      <c r="E1356" s="84" t="s">
        <v>708</v>
      </c>
      <c r="F1356" s="84"/>
      <c r="G1356" s="87">
        <f t="shared" si="351"/>
        <v>0</v>
      </c>
      <c r="H1356" s="87">
        <f t="shared" si="351"/>
        <v>0</v>
      </c>
      <c r="I1356" s="87">
        <f t="shared" si="351"/>
        <v>0</v>
      </c>
      <c r="J1356" s="177"/>
      <c r="K1356" s="222"/>
      <c r="L1356" s="222"/>
      <c r="M1356" s="222"/>
      <c r="N1356" s="222"/>
      <c r="O1356" s="222"/>
      <c r="P1356" s="222"/>
      <c r="Q1356" s="222"/>
      <c r="R1356" s="222"/>
    </row>
    <row r="1357" spans="1:18" s="46" customFormat="1" ht="27.75" hidden="1" customHeight="1">
      <c r="A1357" s="82" t="s">
        <v>457</v>
      </c>
      <c r="B1357" s="149">
        <v>793</v>
      </c>
      <c r="C1357" s="84" t="s">
        <v>54</v>
      </c>
      <c r="D1357" s="84" t="s">
        <v>44</v>
      </c>
      <c r="E1357" s="84" t="s">
        <v>708</v>
      </c>
      <c r="F1357" s="84" t="s">
        <v>64</v>
      </c>
      <c r="G1357" s="87">
        <f t="shared" si="351"/>
        <v>0</v>
      </c>
      <c r="H1357" s="87">
        <f t="shared" si="351"/>
        <v>0</v>
      </c>
      <c r="I1357" s="87">
        <f t="shared" si="351"/>
        <v>0</v>
      </c>
      <c r="J1357" s="177"/>
      <c r="K1357" s="222"/>
      <c r="L1357" s="222"/>
      <c r="M1357" s="222"/>
      <c r="N1357" s="222"/>
      <c r="O1357" s="222"/>
      <c r="P1357" s="222"/>
      <c r="Q1357" s="222"/>
      <c r="R1357" s="222"/>
    </row>
    <row r="1358" spans="1:18" s="46" customFormat="1" ht="31.5" hidden="1" customHeight="1">
      <c r="A1358" s="82" t="s">
        <v>38</v>
      </c>
      <c r="B1358" s="149">
        <v>793</v>
      </c>
      <c r="C1358" s="84" t="s">
        <v>54</v>
      </c>
      <c r="D1358" s="84" t="s">
        <v>44</v>
      </c>
      <c r="E1358" s="84" t="s">
        <v>708</v>
      </c>
      <c r="F1358" s="84" t="s">
        <v>342</v>
      </c>
      <c r="G1358" s="87"/>
      <c r="H1358" s="87"/>
      <c r="I1358" s="87"/>
      <c r="J1358" s="177"/>
      <c r="K1358" s="222"/>
      <c r="L1358" s="222"/>
      <c r="M1358" s="222"/>
      <c r="N1358" s="222"/>
      <c r="O1358" s="222"/>
      <c r="P1358" s="222"/>
      <c r="Q1358" s="222"/>
      <c r="R1358" s="222"/>
    </row>
    <row r="1359" spans="1:18" s="46" customFormat="1" ht="75" hidden="1" customHeight="1">
      <c r="A1359" s="82" t="s">
        <v>784</v>
      </c>
      <c r="B1359" s="149">
        <v>793</v>
      </c>
      <c r="C1359" s="84" t="s">
        <v>54</v>
      </c>
      <c r="D1359" s="84" t="s">
        <v>44</v>
      </c>
      <c r="E1359" s="84" t="s">
        <v>783</v>
      </c>
      <c r="F1359" s="84"/>
      <c r="G1359" s="87">
        <f t="shared" si="351"/>
        <v>0</v>
      </c>
      <c r="H1359" s="87">
        <f t="shared" si="351"/>
        <v>0</v>
      </c>
      <c r="I1359" s="87">
        <f t="shared" si="351"/>
        <v>0</v>
      </c>
      <c r="J1359" s="177"/>
      <c r="K1359" s="222"/>
      <c r="L1359" s="222"/>
      <c r="M1359" s="222"/>
      <c r="N1359" s="222"/>
      <c r="O1359" s="222"/>
      <c r="P1359" s="222"/>
      <c r="Q1359" s="222"/>
      <c r="R1359" s="222"/>
    </row>
    <row r="1360" spans="1:18" s="46" customFormat="1" ht="27.75" hidden="1" customHeight="1">
      <c r="A1360" s="82" t="s">
        <v>457</v>
      </c>
      <c r="B1360" s="149">
        <v>793</v>
      </c>
      <c r="C1360" s="84" t="s">
        <v>54</v>
      </c>
      <c r="D1360" s="84" t="s">
        <v>44</v>
      </c>
      <c r="E1360" s="84" t="s">
        <v>783</v>
      </c>
      <c r="F1360" s="84" t="s">
        <v>37</v>
      </c>
      <c r="G1360" s="87">
        <f t="shared" si="351"/>
        <v>0</v>
      </c>
      <c r="H1360" s="87">
        <f t="shared" si="351"/>
        <v>0</v>
      </c>
      <c r="I1360" s="87">
        <f t="shared" si="351"/>
        <v>0</v>
      </c>
      <c r="J1360" s="177"/>
      <c r="K1360" s="222"/>
      <c r="L1360" s="222"/>
      <c r="M1360" s="222"/>
      <c r="N1360" s="222"/>
      <c r="O1360" s="222"/>
      <c r="P1360" s="222"/>
      <c r="Q1360" s="222"/>
      <c r="R1360" s="222"/>
    </row>
    <row r="1361" spans="1:18" s="46" customFormat="1" ht="31.5" hidden="1" customHeight="1">
      <c r="A1361" s="82" t="s">
        <v>38</v>
      </c>
      <c r="B1361" s="149">
        <v>793</v>
      </c>
      <c r="C1361" s="84" t="s">
        <v>54</v>
      </c>
      <c r="D1361" s="84" t="s">
        <v>44</v>
      </c>
      <c r="E1361" s="84" t="s">
        <v>783</v>
      </c>
      <c r="F1361" s="84" t="s">
        <v>39</v>
      </c>
      <c r="G1361" s="87"/>
      <c r="H1361" s="87"/>
      <c r="I1361" s="87"/>
      <c r="J1361" s="177"/>
      <c r="K1361" s="222"/>
      <c r="L1361" s="222"/>
      <c r="M1361" s="222"/>
      <c r="N1361" s="222"/>
      <c r="O1361" s="222"/>
      <c r="P1361" s="222"/>
      <c r="Q1361" s="222"/>
      <c r="R1361" s="222"/>
    </row>
    <row r="1362" spans="1:18" s="46" customFormat="1" ht="42" customHeight="1">
      <c r="A1362" s="82" t="s">
        <v>1066</v>
      </c>
      <c r="B1362" s="149">
        <v>793</v>
      </c>
      <c r="C1362" s="84" t="s">
        <v>54</v>
      </c>
      <c r="D1362" s="84" t="s">
        <v>44</v>
      </c>
      <c r="E1362" s="84" t="s">
        <v>1067</v>
      </c>
      <c r="F1362" s="84"/>
      <c r="G1362" s="87">
        <f>G1363</f>
        <v>5336807.38</v>
      </c>
      <c r="H1362" s="87"/>
      <c r="I1362" s="87"/>
      <c r="J1362" s="177"/>
      <c r="K1362" s="222"/>
      <c r="L1362" s="222"/>
      <c r="M1362" s="222"/>
      <c r="N1362" s="222"/>
      <c r="O1362" s="222"/>
      <c r="P1362" s="222"/>
      <c r="Q1362" s="222"/>
      <c r="R1362" s="222"/>
    </row>
    <row r="1363" spans="1:18" s="46" customFormat="1" ht="31.5" customHeight="1">
      <c r="A1363" s="82" t="s">
        <v>457</v>
      </c>
      <c r="B1363" s="149">
        <v>793</v>
      </c>
      <c r="C1363" s="84" t="s">
        <v>54</v>
      </c>
      <c r="D1363" s="84" t="s">
        <v>44</v>
      </c>
      <c r="E1363" s="84" t="s">
        <v>1067</v>
      </c>
      <c r="F1363" s="84" t="s">
        <v>37</v>
      </c>
      <c r="G1363" s="87">
        <f>G1364</f>
        <v>5336807.38</v>
      </c>
      <c r="H1363" s="87"/>
      <c r="I1363" s="87"/>
      <c r="J1363" s="177"/>
      <c r="K1363" s="222"/>
      <c r="L1363" s="222"/>
      <c r="M1363" s="222"/>
      <c r="N1363" s="222"/>
      <c r="O1363" s="222"/>
      <c r="P1363" s="222"/>
      <c r="Q1363" s="222"/>
      <c r="R1363" s="222"/>
    </row>
    <row r="1364" spans="1:18" s="46" customFormat="1" ht="31.5" customHeight="1">
      <c r="A1364" s="82" t="s">
        <v>38</v>
      </c>
      <c r="B1364" s="149">
        <v>793</v>
      </c>
      <c r="C1364" s="84" t="s">
        <v>54</v>
      </c>
      <c r="D1364" s="84" t="s">
        <v>44</v>
      </c>
      <c r="E1364" s="84" t="s">
        <v>1067</v>
      </c>
      <c r="F1364" s="84" t="s">
        <v>39</v>
      </c>
      <c r="G1364" s="87">
        <v>5336807.38</v>
      </c>
      <c r="H1364" s="87"/>
      <c r="I1364" s="87"/>
      <c r="J1364" s="177"/>
      <c r="K1364" s="222"/>
      <c r="L1364" s="222"/>
      <c r="M1364" s="222"/>
      <c r="N1364" s="222"/>
      <c r="O1364" s="222"/>
      <c r="P1364" s="222"/>
      <c r="Q1364" s="222"/>
      <c r="R1364" s="222"/>
    </row>
    <row r="1365" spans="1:18" ht="19.5" customHeight="1">
      <c r="A1365" s="82" t="s">
        <v>172</v>
      </c>
      <c r="B1365" s="149">
        <v>793</v>
      </c>
      <c r="C1365" s="84" t="s">
        <v>54</v>
      </c>
      <c r="D1365" s="84" t="s">
        <v>123</v>
      </c>
      <c r="E1365" s="84"/>
      <c r="F1365" s="84"/>
      <c r="G1365" s="70">
        <f>G1398+G1366+G1402</f>
        <v>42596617.710000001</v>
      </c>
      <c r="H1365" s="87">
        <f>H1398+H1366+H1402</f>
        <v>34849551</v>
      </c>
      <c r="I1365" s="87">
        <f>I1398+I1366+I1402</f>
        <v>36266998</v>
      </c>
      <c r="J1365" s="177"/>
    </row>
    <row r="1366" spans="1:18" s="18" customFormat="1" ht="27" customHeight="1">
      <c r="A1366" s="82" t="s">
        <v>490</v>
      </c>
      <c r="B1366" s="149">
        <v>793</v>
      </c>
      <c r="C1366" s="84" t="s">
        <v>54</v>
      </c>
      <c r="D1366" s="84" t="s">
        <v>123</v>
      </c>
      <c r="E1366" s="84" t="s">
        <v>235</v>
      </c>
      <c r="F1366" s="84"/>
      <c r="G1366" s="87">
        <f>G1367+G1384+G1380+G1394+G1390</f>
        <v>41824617.710000001</v>
      </c>
      <c r="H1366" s="87">
        <f>H1367+H1384</f>
        <v>34786551</v>
      </c>
      <c r="I1366" s="87">
        <f>I1367+I1384</f>
        <v>36203998</v>
      </c>
      <c r="J1366" s="177"/>
      <c r="K1366" s="177"/>
      <c r="L1366" s="177"/>
      <c r="M1366" s="177"/>
      <c r="N1366" s="177"/>
      <c r="O1366" s="177"/>
      <c r="P1366" s="200"/>
      <c r="Q1366" s="215"/>
      <c r="R1366" s="200"/>
    </row>
    <row r="1367" spans="1:18" s="18" customFormat="1" ht="86.25" customHeight="1">
      <c r="A1367" s="82" t="s">
        <v>905</v>
      </c>
      <c r="B1367" s="149">
        <v>793</v>
      </c>
      <c r="C1367" s="84" t="s">
        <v>54</v>
      </c>
      <c r="D1367" s="84" t="s">
        <v>123</v>
      </c>
      <c r="E1367" s="84" t="s">
        <v>101</v>
      </c>
      <c r="F1367" s="84"/>
      <c r="G1367" s="87">
        <f>G1368+G1376+G1371+G1377</f>
        <v>28031443.710000001</v>
      </c>
      <c r="H1367" s="87">
        <f t="shared" ref="H1367:I1367" si="352">H1368</f>
        <v>28468393</v>
      </c>
      <c r="I1367" s="87">
        <f t="shared" si="352"/>
        <v>29744261</v>
      </c>
      <c r="J1367" s="177"/>
      <c r="K1367" s="200"/>
      <c r="L1367" s="200"/>
      <c r="M1367" s="200"/>
      <c r="N1367" s="200"/>
      <c r="O1367" s="200"/>
      <c r="P1367" s="200"/>
      <c r="Q1367" s="200"/>
      <c r="R1367" s="200"/>
    </row>
    <row r="1368" spans="1:18" s="18" customFormat="1" ht="76.5" customHeight="1">
      <c r="A1368" s="133" t="s">
        <v>1035</v>
      </c>
      <c r="B1368" s="149">
        <v>793</v>
      </c>
      <c r="C1368" s="84" t="s">
        <v>54</v>
      </c>
      <c r="D1368" s="84" t="s">
        <v>123</v>
      </c>
      <c r="E1368" s="84" t="s">
        <v>909</v>
      </c>
      <c r="F1368" s="84"/>
      <c r="G1368" s="87">
        <f t="shared" ref="G1368:I1375" si="353">G1369</f>
        <v>25482443.710000001</v>
      </c>
      <c r="H1368" s="87">
        <f t="shared" si="353"/>
        <v>28468393</v>
      </c>
      <c r="I1368" s="87">
        <f t="shared" si="353"/>
        <v>29744261</v>
      </c>
      <c r="J1368" s="177"/>
      <c r="K1368" s="200"/>
      <c r="L1368" s="200"/>
      <c r="M1368" s="200"/>
      <c r="N1368" s="200"/>
      <c r="O1368" s="200"/>
      <c r="P1368" s="200"/>
      <c r="Q1368" s="200"/>
      <c r="R1368" s="200"/>
    </row>
    <row r="1369" spans="1:18" s="18" customFormat="1" ht="15" customHeight="1">
      <c r="A1369" s="82" t="s">
        <v>324</v>
      </c>
      <c r="B1369" s="149">
        <v>793</v>
      </c>
      <c r="C1369" s="84" t="s">
        <v>54</v>
      </c>
      <c r="D1369" s="84" t="s">
        <v>123</v>
      </c>
      <c r="E1369" s="84" t="s">
        <v>909</v>
      </c>
      <c r="F1369" s="84" t="s">
        <v>37</v>
      </c>
      <c r="G1369" s="87">
        <f t="shared" si="353"/>
        <v>25482443.710000001</v>
      </c>
      <c r="H1369" s="87">
        <f t="shared" si="353"/>
        <v>28468393</v>
      </c>
      <c r="I1369" s="87">
        <f t="shared" si="353"/>
        <v>29744261</v>
      </c>
      <c r="J1369" s="177"/>
      <c r="K1369" s="200"/>
      <c r="L1369" s="200"/>
      <c r="M1369" s="200"/>
      <c r="N1369" s="200"/>
      <c r="O1369" s="200"/>
      <c r="P1369" s="200"/>
      <c r="Q1369" s="200"/>
      <c r="R1369" s="200"/>
    </row>
    <row r="1370" spans="1:18" s="18" customFormat="1" ht="32.25" customHeight="1">
      <c r="A1370" s="82" t="s">
        <v>38</v>
      </c>
      <c r="B1370" s="149">
        <v>793</v>
      </c>
      <c r="C1370" s="84" t="s">
        <v>54</v>
      </c>
      <c r="D1370" s="84" t="s">
        <v>123</v>
      </c>
      <c r="E1370" s="84" t="s">
        <v>909</v>
      </c>
      <c r="F1370" s="84" t="s">
        <v>39</v>
      </c>
      <c r="G1370" s="87">
        <f>25132443.71+350000</f>
        <v>25482443.710000001</v>
      </c>
      <c r="H1370" s="87">
        <f>28784301-315908</f>
        <v>28468393</v>
      </c>
      <c r="I1370" s="87">
        <f>30067248-322987</f>
        <v>29744261</v>
      </c>
      <c r="J1370" s="177"/>
      <c r="K1370" s="200"/>
      <c r="L1370" s="200"/>
      <c r="M1370" s="200"/>
      <c r="N1370" s="200"/>
      <c r="O1370" s="200"/>
      <c r="P1370" s="200"/>
      <c r="Q1370" s="200"/>
      <c r="R1370" s="200"/>
    </row>
    <row r="1371" spans="1:18" s="18" customFormat="1" ht="42.6" customHeight="1">
      <c r="A1371" s="133" t="s">
        <v>1038</v>
      </c>
      <c r="B1371" s="149">
        <v>793</v>
      </c>
      <c r="C1371" s="84" t="s">
        <v>54</v>
      </c>
      <c r="D1371" s="84" t="s">
        <v>123</v>
      </c>
      <c r="E1371" s="84" t="s">
        <v>1036</v>
      </c>
      <c r="F1371" s="84"/>
      <c r="G1371" s="87">
        <f>G1372</f>
        <v>49000</v>
      </c>
      <c r="H1371" s="87"/>
      <c r="I1371" s="87"/>
      <c r="J1371" s="177"/>
      <c r="K1371" s="200"/>
      <c r="L1371" s="200"/>
      <c r="M1371" s="200"/>
      <c r="N1371" s="200"/>
      <c r="O1371" s="200"/>
      <c r="P1371" s="200"/>
      <c r="Q1371" s="200"/>
      <c r="R1371" s="200"/>
    </row>
    <row r="1372" spans="1:18" s="18" customFormat="1" ht="40.5" customHeight="1">
      <c r="A1372" s="82" t="s">
        <v>38</v>
      </c>
      <c r="B1372" s="149">
        <v>793</v>
      </c>
      <c r="C1372" s="84" t="s">
        <v>54</v>
      </c>
      <c r="D1372" s="84" t="s">
        <v>123</v>
      </c>
      <c r="E1372" s="84" t="s">
        <v>1036</v>
      </c>
      <c r="F1372" s="84" t="s">
        <v>39</v>
      </c>
      <c r="G1372" s="87">
        <v>49000</v>
      </c>
      <c r="H1372" s="87"/>
      <c r="I1372" s="87"/>
      <c r="J1372" s="177"/>
      <c r="K1372" s="200"/>
      <c r="L1372" s="200"/>
      <c r="M1372" s="200"/>
      <c r="N1372" s="200"/>
      <c r="O1372" s="200"/>
      <c r="P1372" s="200"/>
      <c r="Q1372" s="200"/>
      <c r="R1372" s="200"/>
    </row>
    <row r="1373" spans="1:18" s="18" customFormat="1" ht="38.450000000000003" hidden="1" customHeight="1">
      <c r="A1373" s="82"/>
      <c r="B1373" s="149"/>
      <c r="C1373" s="84"/>
      <c r="D1373" s="84"/>
      <c r="E1373" s="84"/>
      <c r="F1373" s="84"/>
      <c r="G1373" s="87"/>
      <c r="H1373" s="87"/>
      <c r="I1373" s="87"/>
      <c r="J1373" s="177"/>
      <c r="K1373" s="200"/>
      <c r="L1373" s="200"/>
      <c r="M1373" s="200"/>
      <c r="N1373" s="200"/>
      <c r="O1373" s="200"/>
      <c r="P1373" s="200"/>
      <c r="Q1373" s="200"/>
      <c r="R1373" s="200"/>
    </row>
    <row r="1374" spans="1:18" s="18" customFormat="1" ht="76.5" hidden="1" customHeight="1">
      <c r="A1374" s="133" t="s">
        <v>1034</v>
      </c>
      <c r="B1374" s="149">
        <v>793</v>
      </c>
      <c r="C1374" s="84" t="s">
        <v>54</v>
      </c>
      <c r="D1374" s="84" t="s">
        <v>123</v>
      </c>
      <c r="E1374" s="84" t="s">
        <v>1016</v>
      </c>
      <c r="F1374" s="84"/>
      <c r="G1374" s="87">
        <f t="shared" si="353"/>
        <v>0</v>
      </c>
      <c r="H1374" s="87">
        <f t="shared" si="353"/>
        <v>0</v>
      </c>
      <c r="I1374" s="87">
        <f t="shared" si="353"/>
        <v>0</v>
      </c>
      <c r="J1374" s="177"/>
      <c r="K1374" s="200"/>
      <c r="L1374" s="200"/>
      <c r="M1374" s="200"/>
      <c r="N1374" s="200"/>
      <c r="O1374" s="200"/>
      <c r="P1374" s="200"/>
      <c r="Q1374" s="200"/>
      <c r="R1374" s="200"/>
    </row>
    <row r="1375" spans="1:18" s="18" customFormat="1" ht="15" hidden="1" customHeight="1">
      <c r="A1375" s="82" t="s">
        <v>324</v>
      </c>
      <c r="B1375" s="149">
        <v>793</v>
      </c>
      <c r="C1375" s="84" t="s">
        <v>54</v>
      </c>
      <c r="D1375" s="84" t="s">
        <v>123</v>
      </c>
      <c r="E1375" s="84" t="s">
        <v>1016</v>
      </c>
      <c r="F1375" s="84" t="s">
        <v>37</v>
      </c>
      <c r="G1375" s="87">
        <f t="shared" si="353"/>
        <v>0</v>
      </c>
      <c r="H1375" s="87">
        <f t="shared" si="353"/>
        <v>0</v>
      </c>
      <c r="I1375" s="87">
        <f t="shared" si="353"/>
        <v>0</v>
      </c>
      <c r="J1375" s="177"/>
      <c r="K1375" s="200"/>
      <c r="L1375" s="200"/>
      <c r="M1375" s="200"/>
      <c r="N1375" s="200"/>
      <c r="O1375" s="200"/>
      <c r="P1375" s="200"/>
      <c r="Q1375" s="200"/>
      <c r="R1375" s="200"/>
    </row>
    <row r="1376" spans="1:18" s="18" customFormat="1" ht="32.25" hidden="1" customHeight="1">
      <c r="A1376" s="82" t="s">
        <v>38</v>
      </c>
      <c r="B1376" s="149">
        <v>793</v>
      </c>
      <c r="C1376" s="84" t="s">
        <v>54</v>
      </c>
      <c r="D1376" s="84" t="s">
        <v>123</v>
      </c>
      <c r="E1376" s="84" t="s">
        <v>1016</v>
      </c>
      <c r="F1376" s="84" t="s">
        <v>39</v>
      </c>
      <c r="G1376" s="87"/>
      <c r="H1376" s="87"/>
      <c r="I1376" s="87"/>
      <c r="J1376" s="177"/>
      <c r="K1376" s="200"/>
      <c r="L1376" s="200"/>
      <c r="M1376" s="200"/>
      <c r="N1376" s="200"/>
      <c r="O1376" s="200"/>
      <c r="P1376" s="200"/>
      <c r="Q1376" s="200"/>
      <c r="R1376" s="200"/>
    </row>
    <row r="1377" spans="1:18" s="318" customFormat="1" ht="46.5" customHeight="1">
      <c r="A1377" s="82" t="s">
        <v>1110</v>
      </c>
      <c r="B1377" s="149">
        <v>793</v>
      </c>
      <c r="C1377" s="84" t="s">
        <v>54</v>
      </c>
      <c r="D1377" s="84" t="s">
        <v>123</v>
      </c>
      <c r="E1377" s="84" t="s">
        <v>1112</v>
      </c>
      <c r="F1377" s="84"/>
      <c r="G1377" s="87">
        <f>G1378</f>
        <v>2500000</v>
      </c>
      <c r="H1377" s="87"/>
      <c r="I1377" s="87"/>
      <c r="J1377" s="177"/>
      <c r="K1377" s="200"/>
      <c r="L1377" s="200"/>
      <c r="M1377" s="200"/>
      <c r="N1377" s="200"/>
      <c r="O1377" s="200"/>
      <c r="P1377" s="200"/>
      <c r="Q1377" s="200"/>
      <c r="R1377" s="200"/>
    </row>
    <row r="1378" spans="1:18" s="318" customFormat="1" ht="27.75" customHeight="1">
      <c r="A1378" s="82" t="s">
        <v>324</v>
      </c>
      <c r="B1378" s="149">
        <v>793</v>
      </c>
      <c r="C1378" s="84" t="s">
        <v>54</v>
      </c>
      <c r="D1378" s="84" t="s">
        <v>123</v>
      </c>
      <c r="E1378" s="84" t="s">
        <v>1112</v>
      </c>
      <c r="F1378" s="84" t="s">
        <v>37</v>
      </c>
      <c r="G1378" s="87">
        <f>G1379</f>
        <v>2500000</v>
      </c>
      <c r="H1378" s="87">
        <f>H1379</f>
        <v>0</v>
      </c>
      <c r="I1378" s="87">
        <f>I1379</f>
        <v>0</v>
      </c>
      <c r="J1378" s="177"/>
      <c r="K1378" s="200"/>
      <c r="L1378" s="200"/>
      <c r="M1378" s="200"/>
      <c r="N1378" s="200"/>
      <c r="O1378" s="200"/>
      <c r="P1378" s="200"/>
      <c r="Q1378" s="200"/>
      <c r="R1378" s="200"/>
    </row>
    <row r="1379" spans="1:18" s="318" customFormat="1" ht="31.5" customHeight="1">
      <c r="A1379" s="82" t="s">
        <v>38</v>
      </c>
      <c r="B1379" s="149">
        <v>793</v>
      </c>
      <c r="C1379" s="84" t="s">
        <v>54</v>
      </c>
      <c r="D1379" s="84" t="s">
        <v>123</v>
      </c>
      <c r="E1379" s="84" t="s">
        <v>1112</v>
      </c>
      <c r="F1379" s="84" t="s">
        <v>39</v>
      </c>
      <c r="G1379" s="87">
        <v>2500000</v>
      </c>
      <c r="H1379" s="87">
        <v>0</v>
      </c>
      <c r="I1379" s="87">
        <v>0</v>
      </c>
      <c r="J1379" s="177"/>
      <c r="K1379" s="200"/>
      <c r="L1379" s="200"/>
      <c r="M1379" s="200"/>
      <c r="N1379" s="200"/>
      <c r="O1379" s="200"/>
      <c r="P1379" s="200"/>
      <c r="Q1379" s="200"/>
      <c r="R1379" s="200"/>
    </row>
    <row r="1380" spans="1:18" s="18" customFormat="1" ht="95.25" customHeight="1">
      <c r="A1380" s="82" t="s">
        <v>995</v>
      </c>
      <c r="B1380" s="149">
        <v>793</v>
      </c>
      <c r="C1380" s="84" t="s">
        <v>54</v>
      </c>
      <c r="D1380" s="84" t="s">
        <v>123</v>
      </c>
      <c r="E1380" s="84" t="s">
        <v>996</v>
      </c>
      <c r="F1380" s="84"/>
      <c r="G1380" s="87">
        <f>G1381</f>
        <v>1713626</v>
      </c>
      <c r="H1380" s="87">
        <f t="shared" ref="G1380:I1381" si="354">H1381</f>
        <v>0</v>
      </c>
      <c r="I1380" s="87">
        <f t="shared" si="354"/>
        <v>0</v>
      </c>
      <c r="J1380" s="177"/>
      <c r="K1380" s="200"/>
      <c r="L1380" s="200"/>
      <c r="M1380" s="200"/>
      <c r="N1380" s="200"/>
      <c r="O1380" s="200"/>
      <c r="P1380" s="200"/>
      <c r="Q1380" s="200"/>
      <c r="R1380" s="200"/>
    </row>
    <row r="1381" spans="1:18" s="18" customFormat="1" ht="95.25" customHeight="1">
      <c r="A1381" s="82" t="s">
        <v>968</v>
      </c>
      <c r="B1381" s="149">
        <v>793</v>
      </c>
      <c r="C1381" s="84" t="s">
        <v>54</v>
      </c>
      <c r="D1381" s="84" t="s">
        <v>123</v>
      </c>
      <c r="E1381" s="84" t="s">
        <v>994</v>
      </c>
      <c r="F1381" s="84"/>
      <c r="G1381" s="87">
        <f t="shared" si="354"/>
        <v>1713626</v>
      </c>
      <c r="H1381" s="87">
        <f t="shared" si="354"/>
        <v>0</v>
      </c>
      <c r="I1381" s="87">
        <f t="shared" si="354"/>
        <v>0</v>
      </c>
      <c r="J1381" s="177"/>
      <c r="K1381" s="200"/>
      <c r="L1381" s="200"/>
      <c r="M1381" s="200"/>
      <c r="N1381" s="200"/>
      <c r="O1381" s="200"/>
      <c r="P1381" s="200"/>
      <c r="Q1381" s="200"/>
      <c r="R1381" s="200"/>
    </row>
    <row r="1382" spans="1:18" s="18" customFormat="1" ht="27.75" customHeight="1">
      <c r="A1382" s="82" t="s">
        <v>96</v>
      </c>
      <c r="B1382" s="149">
        <v>793</v>
      </c>
      <c r="C1382" s="84" t="s">
        <v>54</v>
      </c>
      <c r="D1382" s="84" t="s">
        <v>123</v>
      </c>
      <c r="E1382" s="84" t="s">
        <v>994</v>
      </c>
      <c r="F1382" s="84" t="s">
        <v>349</v>
      </c>
      <c r="G1382" s="87">
        <f>G1383</f>
        <v>1713626</v>
      </c>
      <c r="H1382" s="87">
        <f t="shared" ref="H1382:I1382" si="355">H1383</f>
        <v>0</v>
      </c>
      <c r="I1382" s="87">
        <f t="shared" si="355"/>
        <v>0</v>
      </c>
      <c r="J1382" s="177"/>
      <c r="K1382" s="200"/>
      <c r="L1382" s="200"/>
      <c r="M1382" s="200"/>
      <c r="N1382" s="200"/>
      <c r="O1382" s="200"/>
      <c r="P1382" s="200"/>
      <c r="Q1382" s="200"/>
      <c r="R1382" s="200"/>
    </row>
    <row r="1383" spans="1:18" s="18" customFormat="1" ht="15" customHeight="1">
      <c r="A1383" s="82" t="s">
        <v>350</v>
      </c>
      <c r="B1383" s="149">
        <v>793</v>
      </c>
      <c r="C1383" s="84" t="s">
        <v>54</v>
      </c>
      <c r="D1383" s="84" t="s">
        <v>123</v>
      </c>
      <c r="E1383" s="84" t="s">
        <v>994</v>
      </c>
      <c r="F1383" s="84" t="s">
        <v>351</v>
      </c>
      <c r="G1383" s="87">
        <f>4563626-350000-2500000</f>
        <v>1713626</v>
      </c>
      <c r="H1383" s="87">
        <v>0</v>
      </c>
      <c r="I1383" s="87">
        <v>0</v>
      </c>
      <c r="J1383" s="177"/>
      <c r="K1383" s="200"/>
      <c r="L1383" s="200"/>
      <c r="M1383" s="200"/>
      <c r="N1383" s="200"/>
      <c r="O1383" s="200"/>
      <c r="P1383" s="200"/>
      <c r="Q1383" s="200"/>
      <c r="R1383" s="200"/>
    </row>
    <row r="1384" spans="1:18" s="18" customFormat="1" ht="70.5" customHeight="1">
      <c r="A1384" s="82" t="s">
        <v>908</v>
      </c>
      <c r="B1384" s="149">
        <v>793</v>
      </c>
      <c r="C1384" s="84" t="s">
        <v>54</v>
      </c>
      <c r="D1384" s="84" t="s">
        <v>123</v>
      </c>
      <c r="E1384" s="84" t="s">
        <v>105</v>
      </c>
      <c r="F1384" s="84"/>
      <c r="G1384" s="87">
        <f>G1385</f>
        <v>6178948</v>
      </c>
      <c r="H1384" s="87">
        <f t="shared" ref="H1384:I1384" si="356">H1385</f>
        <v>6318158</v>
      </c>
      <c r="I1384" s="87">
        <f t="shared" si="356"/>
        <v>6459737</v>
      </c>
      <c r="J1384" s="177"/>
      <c r="K1384" s="200"/>
      <c r="L1384" s="200"/>
      <c r="M1384" s="200"/>
      <c r="N1384" s="200"/>
      <c r="O1384" s="200"/>
      <c r="P1384" s="200"/>
      <c r="Q1384" s="200"/>
      <c r="R1384" s="200"/>
    </row>
    <row r="1385" spans="1:18" s="18" customFormat="1" ht="104.25" customHeight="1">
      <c r="A1385" s="142" t="s">
        <v>906</v>
      </c>
      <c r="B1385" s="149">
        <v>793</v>
      </c>
      <c r="C1385" s="84" t="s">
        <v>54</v>
      </c>
      <c r="D1385" s="84" t="s">
        <v>123</v>
      </c>
      <c r="E1385" s="84" t="s">
        <v>907</v>
      </c>
      <c r="F1385" s="84"/>
      <c r="G1385" s="87">
        <f>G1386+G1388</f>
        <v>6178948</v>
      </c>
      <c r="H1385" s="87">
        <f t="shared" ref="H1385:I1385" si="357">H1386+H1388</f>
        <v>6318158</v>
      </c>
      <c r="I1385" s="87">
        <f t="shared" si="357"/>
        <v>6459737</v>
      </c>
      <c r="J1385" s="177"/>
      <c r="K1385" s="200"/>
      <c r="L1385" s="200"/>
      <c r="M1385" s="200"/>
      <c r="N1385" s="200"/>
      <c r="O1385" s="200"/>
      <c r="P1385" s="200"/>
      <c r="Q1385" s="200"/>
      <c r="R1385" s="200"/>
    </row>
    <row r="1386" spans="1:18" s="18" customFormat="1" ht="24.75" customHeight="1">
      <c r="A1386" s="82" t="s">
        <v>324</v>
      </c>
      <c r="B1386" s="149">
        <v>793</v>
      </c>
      <c r="C1386" s="84" t="s">
        <v>54</v>
      </c>
      <c r="D1386" s="84" t="s">
        <v>123</v>
      </c>
      <c r="E1386" s="84" t="s">
        <v>907</v>
      </c>
      <c r="F1386" s="84" t="s">
        <v>37</v>
      </c>
      <c r="G1386" s="87">
        <f t="shared" ref="G1386:I1386" si="358">G1387</f>
        <v>6178948</v>
      </c>
      <c r="H1386" s="87">
        <f t="shared" si="358"/>
        <v>6318158</v>
      </c>
      <c r="I1386" s="87">
        <f t="shared" si="358"/>
        <v>6459737</v>
      </c>
      <c r="J1386" s="177"/>
      <c r="K1386" s="200"/>
      <c r="L1386" s="200"/>
      <c r="M1386" s="200"/>
      <c r="N1386" s="200"/>
      <c r="O1386" s="200"/>
      <c r="P1386" s="200"/>
      <c r="Q1386" s="200"/>
      <c r="R1386" s="200"/>
    </row>
    <row r="1387" spans="1:18" s="18" customFormat="1" ht="30.75" customHeight="1">
      <c r="A1387" s="82" t="s">
        <v>38</v>
      </c>
      <c r="B1387" s="149">
        <v>793</v>
      </c>
      <c r="C1387" s="84" t="s">
        <v>54</v>
      </c>
      <c r="D1387" s="84" t="s">
        <v>123</v>
      </c>
      <c r="E1387" s="84" t="s">
        <v>907</v>
      </c>
      <c r="F1387" s="84" t="s">
        <v>39</v>
      </c>
      <c r="G1387" s="87">
        <f>5870000+308948</f>
        <v>6178948</v>
      </c>
      <c r="H1387" s="87">
        <f>6002250+315908</f>
        <v>6318158</v>
      </c>
      <c r="I1387" s="87">
        <f>6136750+322987</f>
        <v>6459737</v>
      </c>
      <c r="J1387" s="177"/>
      <c r="K1387" s="200"/>
      <c r="L1387" s="200"/>
      <c r="M1387" s="200"/>
      <c r="N1387" s="200"/>
      <c r="O1387" s="200"/>
      <c r="P1387" s="200"/>
      <c r="Q1387" s="200"/>
      <c r="R1387" s="200"/>
    </row>
    <row r="1388" spans="1:18" s="90" customFormat="1" ht="22.5" hidden="1" customHeight="1">
      <c r="A1388" s="82" t="s">
        <v>156</v>
      </c>
      <c r="B1388" s="149">
        <v>793</v>
      </c>
      <c r="C1388" s="84" t="s">
        <v>54</v>
      </c>
      <c r="D1388" s="84" t="s">
        <v>123</v>
      </c>
      <c r="E1388" s="84" t="s">
        <v>624</v>
      </c>
      <c r="F1388" s="84" t="s">
        <v>157</v>
      </c>
      <c r="G1388" s="87">
        <f>G1389</f>
        <v>0</v>
      </c>
      <c r="H1388" s="87">
        <f t="shared" ref="H1388:I1388" si="359">H1389</f>
        <v>0</v>
      </c>
      <c r="I1388" s="87">
        <f t="shared" si="359"/>
        <v>0</v>
      </c>
      <c r="J1388" s="177"/>
      <c r="K1388" s="186"/>
      <c r="L1388" s="186"/>
      <c r="M1388" s="186"/>
      <c r="N1388" s="186"/>
      <c r="O1388" s="186"/>
      <c r="P1388" s="186"/>
      <c r="Q1388" s="186"/>
      <c r="R1388" s="186"/>
    </row>
    <row r="1389" spans="1:18" s="90" customFormat="1" ht="16.5" hidden="1" customHeight="1">
      <c r="A1389" s="82" t="s">
        <v>178</v>
      </c>
      <c r="B1389" s="149">
        <v>793</v>
      </c>
      <c r="C1389" s="84" t="s">
        <v>54</v>
      </c>
      <c r="D1389" s="84" t="s">
        <v>123</v>
      </c>
      <c r="E1389" s="84" t="s">
        <v>624</v>
      </c>
      <c r="F1389" s="84" t="s">
        <v>179</v>
      </c>
      <c r="G1389" s="87"/>
      <c r="H1389" s="127"/>
      <c r="I1389" s="127"/>
      <c r="J1389" s="198"/>
      <c r="K1389" s="186"/>
      <c r="L1389" s="186"/>
      <c r="M1389" s="186"/>
      <c r="N1389" s="186"/>
      <c r="O1389" s="186"/>
      <c r="P1389" s="186"/>
      <c r="Q1389" s="186"/>
      <c r="R1389" s="186"/>
    </row>
    <row r="1390" spans="1:18" s="90" customFormat="1" ht="64.900000000000006" customHeight="1">
      <c r="A1390" s="82" t="s">
        <v>1027</v>
      </c>
      <c r="B1390" s="149">
        <v>793</v>
      </c>
      <c r="C1390" s="84" t="s">
        <v>54</v>
      </c>
      <c r="D1390" s="84" t="s">
        <v>123</v>
      </c>
      <c r="E1390" s="84" t="s">
        <v>1023</v>
      </c>
      <c r="F1390" s="84"/>
      <c r="G1390" s="87">
        <f>G1391</f>
        <v>4200600</v>
      </c>
      <c r="H1390" s="127"/>
      <c r="I1390" s="127"/>
      <c r="J1390" s="198"/>
      <c r="K1390" s="186"/>
      <c r="L1390" s="186"/>
      <c r="M1390" s="186"/>
      <c r="N1390" s="186"/>
      <c r="O1390" s="186"/>
      <c r="P1390" s="186"/>
      <c r="Q1390" s="186"/>
      <c r="R1390" s="186"/>
    </row>
    <row r="1391" spans="1:18" s="90" customFormat="1" ht="31.5" customHeight="1">
      <c r="A1391" s="82" t="s">
        <v>1028</v>
      </c>
      <c r="B1391" s="149">
        <v>793</v>
      </c>
      <c r="C1391" s="84" t="s">
        <v>54</v>
      </c>
      <c r="D1391" s="84" t="s">
        <v>123</v>
      </c>
      <c r="E1391" s="84" t="s">
        <v>1029</v>
      </c>
      <c r="F1391" s="84"/>
      <c r="G1391" s="87">
        <f>G1392</f>
        <v>4200600</v>
      </c>
      <c r="H1391" s="127"/>
      <c r="I1391" s="127"/>
      <c r="J1391" s="198"/>
      <c r="K1391" s="186"/>
      <c r="L1391" s="186"/>
      <c r="M1391" s="186"/>
      <c r="N1391" s="186"/>
      <c r="O1391" s="186"/>
      <c r="P1391" s="186"/>
      <c r="Q1391" s="186"/>
      <c r="R1391" s="186"/>
    </row>
    <row r="1392" spans="1:18" s="90" customFormat="1" ht="25.5" customHeight="1">
      <c r="A1392" s="82" t="s">
        <v>324</v>
      </c>
      <c r="B1392" s="149">
        <v>793</v>
      </c>
      <c r="C1392" s="84" t="s">
        <v>54</v>
      </c>
      <c r="D1392" s="84" t="s">
        <v>123</v>
      </c>
      <c r="E1392" s="84" t="s">
        <v>1029</v>
      </c>
      <c r="F1392" s="84" t="s">
        <v>37</v>
      </c>
      <c r="G1392" s="87">
        <f>G1393</f>
        <v>4200600</v>
      </c>
      <c r="H1392" s="127"/>
      <c r="I1392" s="127"/>
      <c r="J1392" s="198"/>
      <c r="K1392" s="186"/>
      <c r="L1392" s="186"/>
      <c r="M1392" s="186"/>
      <c r="N1392" s="186"/>
      <c r="O1392" s="186"/>
      <c r="P1392" s="186"/>
      <c r="Q1392" s="186"/>
      <c r="R1392" s="186"/>
    </row>
    <row r="1393" spans="1:18" s="90" customFormat="1" ht="33.75" customHeight="1">
      <c r="A1393" s="82" t="s">
        <v>38</v>
      </c>
      <c r="B1393" s="149">
        <v>793</v>
      </c>
      <c r="C1393" s="84" t="s">
        <v>54</v>
      </c>
      <c r="D1393" s="84" t="s">
        <v>123</v>
      </c>
      <c r="E1393" s="84" t="s">
        <v>1029</v>
      </c>
      <c r="F1393" s="84" t="s">
        <v>39</v>
      </c>
      <c r="G1393" s="87">
        <v>4200600</v>
      </c>
      <c r="H1393" s="127"/>
      <c r="I1393" s="127"/>
      <c r="J1393" s="198"/>
      <c r="K1393" s="186"/>
      <c r="L1393" s="186"/>
      <c r="M1393" s="186"/>
      <c r="N1393" s="186"/>
      <c r="O1393" s="186"/>
      <c r="P1393" s="186"/>
      <c r="Q1393" s="186"/>
      <c r="R1393" s="186"/>
    </row>
    <row r="1394" spans="1:18" s="90" customFormat="1" ht="31.9" customHeight="1">
      <c r="A1394" s="82" t="s">
        <v>1039</v>
      </c>
      <c r="B1394" s="149">
        <v>793</v>
      </c>
      <c r="C1394" s="84" t="s">
        <v>54</v>
      </c>
      <c r="D1394" s="84" t="s">
        <v>123</v>
      </c>
      <c r="E1394" s="84" t="s">
        <v>1025</v>
      </c>
      <c r="F1394" s="84"/>
      <c r="G1394" s="87">
        <f>G1395</f>
        <v>1700000</v>
      </c>
      <c r="H1394" s="127"/>
      <c r="I1394" s="127"/>
      <c r="J1394" s="198"/>
      <c r="K1394" s="186"/>
      <c r="L1394" s="186"/>
      <c r="M1394" s="186"/>
      <c r="N1394" s="186"/>
      <c r="O1394" s="186"/>
      <c r="P1394" s="186"/>
      <c r="Q1394" s="186"/>
      <c r="R1394" s="186"/>
    </row>
    <row r="1395" spans="1:18" s="90" customFormat="1" ht="32.450000000000003" customHeight="1">
      <c r="A1395" s="82" t="s">
        <v>1024</v>
      </c>
      <c r="B1395" s="149">
        <v>793</v>
      </c>
      <c r="C1395" s="84" t="s">
        <v>54</v>
      </c>
      <c r="D1395" s="84" t="s">
        <v>123</v>
      </c>
      <c r="E1395" s="84" t="s">
        <v>1026</v>
      </c>
      <c r="F1395" s="84"/>
      <c r="G1395" s="87">
        <f>G1396</f>
        <v>1700000</v>
      </c>
      <c r="H1395" s="127"/>
      <c r="I1395" s="127"/>
      <c r="J1395" s="198"/>
      <c r="K1395" s="186"/>
      <c r="L1395" s="186"/>
      <c r="M1395" s="186"/>
      <c r="N1395" s="186"/>
      <c r="O1395" s="186"/>
      <c r="P1395" s="186"/>
      <c r="Q1395" s="186"/>
      <c r="R1395" s="186"/>
    </row>
    <row r="1396" spans="1:18" s="90" customFormat="1" ht="32.450000000000003" customHeight="1">
      <c r="A1396" s="82" t="s">
        <v>324</v>
      </c>
      <c r="B1396" s="149">
        <v>793</v>
      </c>
      <c r="C1396" s="84" t="s">
        <v>54</v>
      </c>
      <c r="D1396" s="84" t="s">
        <v>123</v>
      </c>
      <c r="E1396" s="84" t="s">
        <v>1026</v>
      </c>
      <c r="F1396" s="84" t="s">
        <v>37</v>
      </c>
      <c r="G1396" s="87">
        <f>G1397</f>
        <v>1700000</v>
      </c>
      <c r="H1396" s="127"/>
      <c r="I1396" s="127"/>
      <c r="J1396" s="198"/>
      <c r="K1396" s="186"/>
      <c r="L1396" s="186"/>
      <c r="M1396" s="186"/>
      <c r="N1396" s="186"/>
      <c r="O1396" s="186"/>
      <c r="P1396" s="186"/>
      <c r="Q1396" s="186"/>
      <c r="R1396" s="186"/>
    </row>
    <row r="1397" spans="1:18" s="90" customFormat="1" ht="26.45" customHeight="1">
      <c r="A1397" s="82" t="s">
        <v>38</v>
      </c>
      <c r="B1397" s="149">
        <v>793</v>
      </c>
      <c r="C1397" s="84" t="s">
        <v>54</v>
      </c>
      <c r="D1397" s="84" t="s">
        <v>123</v>
      </c>
      <c r="E1397" s="84" t="s">
        <v>1026</v>
      </c>
      <c r="F1397" s="84" t="s">
        <v>39</v>
      </c>
      <c r="G1397" s="87">
        <v>1700000</v>
      </c>
      <c r="H1397" s="127"/>
      <c r="I1397" s="127"/>
      <c r="J1397" s="198"/>
      <c r="K1397" s="186"/>
      <c r="L1397" s="186"/>
      <c r="M1397" s="186"/>
      <c r="N1397" s="186"/>
      <c r="O1397" s="186"/>
      <c r="P1397" s="186"/>
      <c r="Q1397" s="186"/>
      <c r="R1397" s="186"/>
    </row>
    <row r="1398" spans="1:18" ht="47.25" customHeight="1">
      <c r="A1398" s="82" t="s">
        <v>460</v>
      </c>
      <c r="B1398" s="149">
        <v>793</v>
      </c>
      <c r="C1398" s="84" t="s">
        <v>54</v>
      </c>
      <c r="D1398" s="84" t="s">
        <v>123</v>
      </c>
      <c r="E1398" s="84" t="s">
        <v>459</v>
      </c>
      <c r="F1398" s="84"/>
      <c r="G1398" s="87">
        <f>G1399</f>
        <v>22000</v>
      </c>
      <c r="H1398" s="87">
        <f t="shared" ref="H1398:I1398" si="360">H1399</f>
        <v>63000</v>
      </c>
      <c r="I1398" s="87">
        <f t="shared" si="360"/>
        <v>63000</v>
      </c>
      <c r="J1398" s="177"/>
    </row>
    <row r="1399" spans="1:18" ht="33.75" customHeight="1">
      <c r="A1399" s="82" t="s">
        <v>458</v>
      </c>
      <c r="B1399" s="149">
        <v>793</v>
      </c>
      <c r="C1399" s="84" t="s">
        <v>54</v>
      </c>
      <c r="D1399" s="84" t="s">
        <v>123</v>
      </c>
      <c r="E1399" s="84" t="s">
        <v>456</v>
      </c>
      <c r="F1399" s="84"/>
      <c r="G1399" s="87">
        <f>G1400</f>
        <v>22000</v>
      </c>
      <c r="H1399" s="87">
        <f t="shared" ref="H1399:I1399" si="361">H1400</f>
        <v>63000</v>
      </c>
      <c r="I1399" s="87">
        <f t="shared" si="361"/>
        <v>63000</v>
      </c>
      <c r="J1399" s="177"/>
    </row>
    <row r="1400" spans="1:18" ht="30.75" customHeight="1">
      <c r="A1400" s="82" t="s">
        <v>457</v>
      </c>
      <c r="B1400" s="149">
        <v>793</v>
      </c>
      <c r="C1400" s="84" t="s">
        <v>54</v>
      </c>
      <c r="D1400" s="84" t="s">
        <v>123</v>
      </c>
      <c r="E1400" s="84" t="s">
        <v>456</v>
      </c>
      <c r="F1400" s="84" t="s">
        <v>37</v>
      </c>
      <c r="G1400" s="87">
        <f>G1401</f>
        <v>22000</v>
      </c>
      <c r="H1400" s="87">
        <f t="shared" ref="H1400:I1400" si="362">H1401</f>
        <v>63000</v>
      </c>
      <c r="I1400" s="87">
        <f t="shared" si="362"/>
        <v>63000</v>
      </c>
      <c r="J1400" s="177"/>
    </row>
    <row r="1401" spans="1:18" ht="33" customHeight="1">
      <c r="A1401" s="82" t="s">
        <v>38</v>
      </c>
      <c r="B1401" s="149">
        <v>793</v>
      </c>
      <c r="C1401" s="84" t="s">
        <v>54</v>
      </c>
      <c r="D1401" s="84" t="s">
        <v>123</v>
      </c>
      <c r="E1401" s="84" t="s">
        <v>456</v>
      </c>
      <c r="F1401" s="84" t="s">
        <v>39</v>
      </c>
      <c r="G1401" s="87">
        <f>63000-41000</f>
        <v>22000</v>
      </c>
      <c r="H1401" s="87">
        <v>63000</v>
      </c>
      <c r="I1401" s="87">
        <v>63000</v>
      </c>
      <c r="J1401" s="177"/>
    </row>
    <row r="1402" spans="1:18" s="18" customFormat="1" ht="32.25" customHeight="1">
      <c r="A1402" s="82" t="s">
        <v>519</v>
      </c>
      <c r="B1402" s="149">
        <v>793</v>
      </c>
      <c r="C1402" s="84" t="s">
        <v>54</v>
      </c>
      <c r="D1402" s="84" t="s">
        <v>123</v>
      </c>
      <c r="E1402" s="84" t="s">
        <v>202</v>
      </c>
      <c r="F1402" s="84"/>
      <c r="G1402" s="87">
        <f>G1406+G1403</f>
        <v>750000</v>
      </c>
      <c r="H1402" s="87">
        <f t="shared" ref="H1402:I1402" si="363">H1407</f>
        <v>0</v>
      </c>
      <c r="I1402" s="87">
        <f t="shared" si="363"/>
        <v>0</v>
      </c>
      <c r="J1402" s="177"/>
      <c r="K1402" s="200"/>
      <c r="L1402" s="200"/>
      <c r="M1402" s="200"/>
      <c r="N1402" s="200"/>
      <c r="O1402" s="200"/>
      <c r="P1402" s="200"/>
      <c r="Q1402" s="200"/>
      <c r="R1402" s="200"/>
    </row>
    <row r="1403" spans="1:18" s="18" customFormat="1" ht="70.5" customHeight="1">
      <c r="A1403" s="82" t="s">
        <v>794</v>
      </c>
      <c r="B1403" s="149">
        <v>793</v>
      </c>
      <c r="C1403" s="84" t="s">
        <v>54</v>
      </c>
      <c r="D1403" s="84" t="s">
        <v>123</v>
      </c>
      <c r="E1403" s="84" t="s">
        <v>419</v>
      </c>
      <c r="F1403" s="84"/>
      <c r="G1403" s="87">
        <f t="shared" ref="G1403:I1404" si="364">G1404</f>
        <v>750000</v>
      </c>
      <c r="H1403" s="87">
        <f t="shared" si="364"/>
        <v>0</v>
      </c>
      <c r="I1403" s="87">
        <f t="shared" si="364"/>
        <v>0</v>
      </c>
      <c r="J1403" s="177"/>
      <c r="K1403" s="200"/>
      <c r="L1403" s="200"/>
      <c r="M1403" s="200"/>
      <c r="N1403" s="200"/>
      <c r="O1403" s="200"/>
      <c r="P1403" s="200"/>
      <c r="Q1403" s="200"/>
      <c r="R1403" s="200"/>
    </row>
    <row r="1404" spans="1:18" s="18" customFormat="1" ht="39" customHeight="1">
      <c r="A1404" s="82" t="s">
        <v>96</v>
      </c>
      <c r="B1404" s="149">
        <v>793</v>
      </c>
      <c r="C1404" s="84" t="s">
        <v>54</v>
      </c>
      <c r="D1404" s="84" t="s">
        <v>123</v>
      </c>
      <c r="E1404" s="84" t="s">
        <v>419</v>
      </c>
      <c r="F1404" s="84" t="s">
        <v>349</v>
      </c>
      <c r="G1404" s="87">
        <f t="shared" si="364"/>
        <v>750000</v>
      </c>
      <c r="H1404" s="87">
        <f t="shared" si="364"/>
        <v>0</v>
      </c>
      <c r="I1404" s="87">
        <f t="shared" si="364"/>
        <v>0</v>
      </c>
      <c r="J1404" s="177"/>
      <c r="K1404" s="200"/>
      <c r="L1404" s="200"/>
      <c r="M1404" s="200"/>
      <c r="N1404" s="200"/>
      <c r="O1404" s="200"/>
      <c r="P1404" s="200"/>
      <c r="Q1404" s="200"/>
      <c r="R1404" s="200"/>
    </row>
    <row r="1405" spans="1:18" s="18" customFormat="1" ht="15.75" customHeight="1">
      <c r="A1405" s="82" t="s">
        <v>350</v>
      </c>
      <c r="B1405" s="149">
        <v>793</v>
      </c>
      <c r="C1405" s="84" t="s">
        <v>54</v>
      </c>
      <c r="D1405" s="84" t="s">
        <v>123</v>
      </c>
      <c r="E1405" s="84" t="s">
        <v>419</v>
      </c>
      <c r="F1405" s="84" t="s">
        <v>351</v>
      </c>
      <c r="G1405" s="87">
        <v>750000</v>
      </c>
      <c r="H1405" s="87">
        <v>0</v>
      </c>
      <c r="I1405" s="87">
        <v>0</v>
      </c>
      <c r="J1405" s="177"/>
      <c r="K1405" s="200"/>
      <c r="L1405" s="200"/>
      <c r="M1405" s="200"/>
      <c r="N1405" s="200"/>
      <c r="O1405" s="200"/>
      <c r="P1405" s="200"/>
      <c r="Q1405" s="200"/>
      <c r="R1405" s="200"/>
    </row>
    <row r="1406" spans="1:18" s="18" customFormat="1" ht="32.25" hidden="1" customHeight="1">
      <c r="A1406" s="82" t="s">
        <v>949</v>
      </c>
      <c r="B1406" s="149">
        <v>793</v>
      </c>
      <c r="C1406" s="84" t="s">
        <v>54</v>
      </c>
      <c r="D1406" s="84" t="s">
        <v>123</v>
      </c>
      <c r="E1406" s="84" t="s">
        <v>948</v>
      </c>
      <c r="F1406" s="84"/>
      <c r="G1406" s="87">
        <f>G1407</f>
        <v>0</v>
      </c>
      <c r="H1406" s="87">
        <f t="shared" ref="H1406:I1406" si="365">H1407</f>
        <v>0</v>
      </c>
      <c r="I1406" s="87">
        <f t="shared" si="365"/>
        <v>0</v>
      </c>
      <c r="J1406" s="177"/>
      <c r="K1406" s="200"/>
      <c r="L1406" s="200"/>
      <c r="M1406" s="200"/>
      <c r="N1406" s="200"/>
      <c r="O1406" s="200"/>
      <c r="P1406" s="200"/>
      <c r="Q1406" s="200"/>
      <c r="R1406" s="200"/>
    </row>
    <row r="1407" spans="1:18" s="18" customFormat="1" ht="70.5" hidden="1" customHeight="1">
      <c r="A1407" s="82" t="s">
        <v>950</v>
      </c>
      <c r="B1407" s="149">
        <v>793</v>
      </c>
      <c r="C1407" s="84" t="s">
        <v>54</v>
      </c>
      <c r="D1407" s="84" t="s">
        <v>123</v>
      </c>
      <c r="E1407" s="84" t="s">
        <v>951</v>
      </c>
      <c r="F1407" s="84"/>
      <c r="G1407" s="87">
        <f t="shared" ref="G1407:I1408" si="366">G1408</f>
        <v>0</v>
      </c>
      <c r="H1407" s="87">
        <f t="shared" si="366"/>
        <v>0</v>
      </c>
      <c r="I1407" s="87">
        <f t="shared" si="366"/>
        <v>0</v>
      </c>
      <c r="J1407" s="177"/>
      <c r="K1407" s="200"/>
      <c r="L1407" s="200"/>
      <c r="M1407" s="200"/>
      <c r="N1407" s="200"/>
      <c r="O1407" s="200"/>
      <c r="P1407" s="200"/>
      <c r="Q1407" s="200"/>
      <c r="R1407" s="200"/>
    </row>
    <row r="1408" spans="1:18" s="18" customFormat="1" ht="39" hidden="1" customHeight="1">
      <c r="A1408" s="82" t="s">
        <v>96</v>
      </c>
      <c r="B1408" s="149">
        <v>793</v>
      </c>
      <c r="C1408" s="84" t="s">
        <v>54</v>
      </c>
      <c r="D1408" s="84" t="s">
        <v>123</v>
      </c>
      <c r="E1408" s="84" t="s">
        <v>951</v>
      </c>
      <c r="F1408" s="84" t="s">
        <v>349</v>
      </c>
      <c r="G1408" s="87">
        <f t="shared" si="366"/>
        <v>0</v>
      </c>
      <c r="H1408" s="87">
        <f t="shared" si="366"/>
        <v>0</v>
      </c>
      <c r="I1408" s="87">
        <f t="shared" si="366"/>
        <v>0</v>
      </c>
      <c r="J1408" s="177"/>
      <c r="K1408" s="200"/>
      <c r="L1408" s="200"/>
      <c r="M1408" s="200"/>
      <c r="N1408" s="200"/>
      <c r="O1408" s="200"/>
      <c r="P1408" s="200"/>
      <c r="Q1408" s="200"/>
      <c r="R1408" s="200"/>
    </row>
    <row r="1409" spans="1:18" s="18" customFormat="1" ht="15.75" hidden="1" customHeight="1">
      <c r="A1409" s="82" t="s">
        <v>350</v>
      </c>
      <c r="B1409" s="149">
        <v>793</v>
      </c>
      <c r="C1409" s="84" t="s">
        <v>54</v>
      </c>
      <c r="D1409" s="84" t="s">
        <v>123</v>
      </c>
      <c r="E1409" s="84" t="s">
        <v>951</v>
      </c>
      <c r="F1409" s="84" t="s">
        <v>351</v>
      </c>
      <c r="G1409" s="87"/>
      <c r="H1409" s="87">
        <v>0</v>
      </c>
      <c r="I1409" s="87">
        <v>0</v>
      </c>
      <c r="J1409" s="177"/>
      <c r="K1409" s="200"/>
      <c r="L1409" s="200"/>
      <c r="M1409" s="200"/>
      <c r="N1409" s="200"/>
      <c r="O1409" s="200"/>
      <c r="P1409" s="200"/>
      <c r="Q1409" s="200"/>
      <c r="R1409" s="200"/>
    </row>
    <row r="1410" spans="1:18" ht="18.75" customHeight="1">
      <c r="A1410" s="82" t="s">
        <v>87</v>
      </c>
      <c r="B1410" s="149">
        <v>793</v>
      </c>
      <c r="C1410" s="84" t="s">
        <v>54</v>
      </c>
      <c r="D1410" s="84" t="s">
        <v>88</v>
      </c>
      <c r="E1410" s="84"/>
      <c r="F1410" s="149"/>
      <c r="G1410" s="87">
        <f>G1411+G1428+G1446+G1442</f>
        <v>1607482.44</v>
      </c>
      <c r="H1410" s="87">
        <f t="shared" ref="H1410:I1410" si="367">H1411+H1428+H1446+H1442</f>
        <v>984922</v>
      </c>
      <c r="I1410" s="87">
        <f t="shared" si="367"/>
        <v>982368</v>
      </c>
      <c r="J1410" s="177"/>
      <c r="K1410" s="177"/>
      <c r="L1410" s="177"/>
      <c r="M1410" s="177"/>
      <c r="N1410" s="177"/>
      <c r="O1410" s="177"/>
    </row>
    <row r="1411" spans="1:18" ht="16.5" customHeight="1">
      <c r="A1411" s="139" t="s">
        <v>715</v>
      </c>
      <c r="B1411" s="149">
        <v>793</v>
      </c>
      <c r="C1411" s="84" t="s">
        <v>54</v>
      </c>
      <c r="D1411" s="84" t="s">
        <v>88</v>
      </c>
      <c r="E1411" s="149" t="s">
        <v>243</v>
      </c>
      <c r="F1411" s="149"/>
      <c r="G1411" s="87">
        <f>G1415+G1412+G1425+G1418</f>
        <v>1148715</v>
      </c>
      <c r="H1411" s="87">
        <f>H1415+H1412+H1425+H1418</f>
        <v>934922</v>
      </c>
      <c r="I1411" s="87">
        <f>I1415+I1412+I1425+I1418</f>
        <v>932368</v>
      </c>
      <c r="J1411" s="177"/>
    </row>
    <row r="1412" spans="1:18" ht="27" customHeight="1">
      <c r="A1412" s="82" t="s">
        <v>345</v>
      </c>
      <c r="B1412" s="149">
        <v>793</v>
      </c>
      <c r="C1412" s="84" t="s">
        <v>54</v>
      </c>
      <c r="D1412" s="84" t="s">
        <v>88</v>
      </c>
      <c r="E1412" s="149" t="s">
        <v>397</v>
      </c>
      <c r="F1412" s="149"/>
      <c r="G1412" s="87">
        <f t="shared" ref="G1412:I1413" si="368">G1413</f>
        <v>414715</v>
      </c>
      <c r="H1412" s="87">
        <f t="shared" si="368"/>
        <v>234922</v>
      </c>
      <c r="I1412" s="87">
        <f t="shared" si="368"/>
        <v>232368</v>
      </c>
      <c r="J1412" s="177"/>
    </row>
    <row r="1413" spans="1:18">
      <c r="A1413" s="82" t="s">
        <v>63</v>
      </c>
      <c r="B1413" s="149">
        <v>793</v>
      </c>
      <c r="C1413" s="84" t="s">
        <v>54</v>
      </c>
      <c r="D1413" s="84" t="s">
        <v>88</v>
      </c>
      <c r="E1413" s="149" t="s">
        <v>397</v>
      </c>
      <c r="F1413" s="149">
        <v>800</v>
      </c>
      <c r="G1413" s="87">
        <f t="shared" si="368"/>
        <v>414715</v>
      </c>
      <c r="H1413" s="87">
        <f t="shared" si="368"/>
        <v>234922</v>
      </c>
      <c r="I1413" s="87">
        <f t="shared" si="368"/>
        <v>232368</v>
      </c>
      <c r="J1413" s="177"/>
    </row>
    <row r="1414" spans="1:18" ht="39" customHeight="1">
      <c r="A1414" s="82" t="s">
        <v>341</v>
      </c>
      <c r="B1414" s="149">
        <v>793</v>
      </c>
      <c r="C1414" s="84" t="s">
        <v>54</v>
      </c>
      <c r="D1414" s="84" t="s">
        <v>88</v>
      </c>
      <c r="E1414" s="149" t="s">
        <v>397</v>
      </c>
      <c r="F1414" s="149">
        <v>810</v>
      </c>
      <c r="G1414" s="87">
        <v>414715</v>
      </c>
      <c r="H1414" s="87">
        <v>234922</v>
      </c>
      <c r="I1414" s="87">
        <v>232368</v>
      </c>
      <c r="J1414" s="177"/>
    </row>
    <row r="1415" spans="1:18" ht="47.25" customHeight="1">
      <c r="A1415" s="82" t="s">
        <v>346</v>
      </c>
      <c r="B1415" s="149">
        <v>793</v>
      </c>
      <c r="C1415" s="84" t="s">
        <v>54</v>
      </c>
      <c r="D1415" s="84" t="s">
        <v>88</v>
      </c>
      <c r="E1415" s="149" t="s">
        <v>259</v>
      </c>
      <c r="F1415" s="149"/>
      <c r="G1415" s="87">
        <f>G1416</f>
        <v>700000</v>
      </c>
      <c r="H1415" s="87">
        <f t="shared" ref="H1415:I1415" si="369">H1416</f>
        <v>700000</v>
      </c>
      <c r="I1415" s="87">
        <f t="shared" si="369"/>
        <v>700000</v>
      </c>
      <c r="J1415" s="177"/>
    </row>
    <row r="1416" spans="1:18">
      <c r="A1416" s="82" t="s">
        <v>63</v>
      </c>
      <c r="B1416" s="149">
        <v>793</v>
      </c>
      <c r="C1416" s="84" t="s">
        <v>54</v>
      </c>
      <c r="D1416" s="84" t="s">
        <v>88</v>
      </c>
      <c r="E1416" s="149" t="s">
        <v>259</v>
      </c>
      <c r="F1416" s="149">
        <v>800</v>
      </c>
      <c r="G1416" s="87">
        <f t="shared" ref="G1416:I1416" si="370">G1417</f>
        <v>700000</v>
      </c>
      <c r="H1416" s="87">
        <f t="shared" si="370"/>
        <v>700000</v>
      </c>
      <c r="I1416" s="87">
        <f t="shared" si="370"/>
        <v>700000</v>
      </c>
      <c r="J1416" s="177"/>
    </row>
    <row r="1417" spans="1:18" ht="45" customHeight="1">
      <c r="A1417" s="82" t="s">
        <v>341</v>
      </c>
      <c r="B1417" s="149">
        <v>793</v>
      </c>
      <c r="C1417" s="84" t="s">
        <v>54</v>
      </c>
      <c r="D1417" s="84" t="s">
        <v>88</v>
      </c>
      <c r="E1417" s="149" t="s">
        <v>259</v>
      </c>
      <c r="F1417" s="149">
        <v>810</v>
      </c>
      <c r="G1417" s="87">
        <v>700000</v>
      </c>
      <c r="H1417" s="87">
        <v>700000</v>
      </c>
      <c r="I1417" s="87">
        <v>700000</v>
      </c>
      <c r="J1417" s="177"/>
    </row>
    <row r="1418" spans="1:18" ht="40.5" customHeight="1">
      <c r="A1418" s="82" t="s">
        <v>960</v>
      </c>
      <c r="B1418" s="149">
        <v>793</v>
      </c>
      <c r="C1418" s="84" t="s">
        <v>54</v>
      </c>
      <c r="D1418" s="84" t="s">
        <v>88</v>
      </c>
      <c r="E1418" s="149" t="s">
        <v>959</v>
      </c>
      <c r="F1418" s="149"/>
      <c r="G1418" s="87">
        <f>G1419+G1421+G1423</f>
        <v>34000</v>
      </c>
      <c r="H1418" s="87">
        <f>H1419+H1421</f>
        <v>0</v>
      </c>
      <c r="I1418" s="87">
        <f>I1419+I1421</f>
        <v>0</v>
      </c>
      <c r="J1418" s="177"/>
    </row>
    <row r="1419" spans="1:18" ht="25.5">
      <c r="A1419" s="82" t="s">
        <v>324</v>
      </c>
      <c r="B1419" s="149">
        <v>793</v>
      </c>
      <c r="C1419" s="84" t="s">
        <v>54</v>
      </c>
      <c r="D1419" s="84" t="s">
        <v>88</v>
      </c>
      <c r="E1419" s="149" t="s">
        <v>959</v>
      </c>
      <c r="F1419" s="149">
        <v>200</v>
      </c>
      <c r="G1419" s="87">
        <f t="shared" ref="G1419:I1419" si="371">G1420</f>
        <v>34000</v>
      </c>
      <c r="H1419" s="87">
        <f t="shared" si="371"/>
        <v>0</v>
      </c>
      <c r="I1419" s="87">
        <f t="shared" si="371"/>
        <v>0</v>
      </c>
      <c r="J1419" s="177"/>
    </row>
    <row r="1420" spans="1:18" ht="31.5" customHeight="1">
      <c r="A1420" s="82" t="s">
        <v>38</v>
      </c>
      <c r="B1420" s="149">
        <v>793</v>
      </c>
      <c r="C1420" s="84" t="s">
        <v>54</v>
      </c>
      <c r="D1420" s="84" t="s">
        <v>88</v>
      </c>
      <c r="E1420" s="149" t="s">
        <v>959</v>
      </c>
      <c r="F1420" s="149">
        <v>240</v>
      </c>
      <c r="G1420" s="87">
        <f>50000-16000</f>
        <v>34000</v>
      </c>
      <c r="H1420" s="85">
        <v>0</v>
      </c>
      <c r="I1420" s="85">
        <v>0</v>
      </c>
      <c r="J1420" s="178"/>
    </row>
    <row r="1421" spans="1:18" ht="24.75" hidden="1" customHeight="1">
      <c r="A1421" s="82" t="s">
        <v>156</v>
      </c>
      <c r="B1421" s="149">
        <v>793</v>
      </c>
      <c r="C1421" s="84" t="s">
        <v>54</v>
      </c>
      <c r="D1421" s="84" t="s">
        <v>88</v>
      </c>
      <c r="E1421" s="149" t="s">
        <v>643</v>
      </c>
      <c r="F1421" s="149">
        <v>500</v>
      </c>
      <c r="G1421" s="87">
        <f>G1422</f>
        <v>0</v>
      </c>
      <c r="H1421" s="87">
        <f>H1422</f>
        <v>0</v>
      </c>
      <c r="I1421" s="87">
        <f>I1422</f>
        <v>0</v>
      </c>
      <c r="J1421" s="177"/>
    </row>
    <row r="1422" spans="1:18" ht="21.75" hidden="1" customHeight="1">
      <c r="A1422" s="82" t="s">
        <v>170</v>
      </c>
      <c r="B1422" s="149">
        <v>793</v>
      </c>
      <c r="C1422" s="84" t="s">
        <v>54</v>
      </c>
      <c r="D1422" s="84" t="s">
        <v>88</v>
      </c>
      <c r="E1422" s="149" t="s">
        <v>643</v>
      </c>
      <c r="F1422" s="149">
        <v>520</v>
      </c>
      <c r="G1422" s="291"/>
      <c r="H1422" s="85"/>
      <c r="I1422" s="85"/>
      <c r="J1422" s="178"/>
    </row>
    <row r="1423" spans="1:18" ht="21" hidden="1" customHeight="1">
      <c r="A1423" s="82" t="s">
        <v>63</v>
      </c>
      <c r="B1423" s="149">
        <v>793</v>
      </c>
      <c r="C1423" s="84" t="s">
        <v>54</v>
      </c>
      <c r="D1423" s="84" t="s">
        <v>88</v>
      </c>
      <c r="E1423" s="149" t="s">
        <v>643</v>
      </c>
      <c r="F1423" s="149">
        <v>800</v>
      </c>
      <c r="G1423" s="291">
        <f>G1424</f>
        <v>0</v>
      </c>
      <c r="H1423" s="85"/>
      <c r="I1423" s="85"/>
      <c r="J1423" s="178"/>
    </row>
    <row r="1424" spans="1:18" ht="20.25" hidden="1" customHeight="1">
      <c r="A1424" s="82" t="s">
        <v>180</v>
      </c>
      <c r="B1424" s="149">
        <v>793</v>
      </c>
      <c r="C1424" s="84" t="s">
        <v>54</v>
      </c>
      <c r="D1424" s="84" t="s">
        <v>88</v>
      </c>
      <c r="E1424" s="149" t="s">
        <v>643</v>
      </c>
      <c r="F1424" s="149">
        <v>870</v>
      </c>
      <c r="G1424" s="291">
        <f>50000-50000</f>
        <v>0</v>
      </c>
      <c r="H1424" s="85"/>
      <c r="I1424" s="85"/>
      <c r="J1424" s="178"/>
    </row>
    <row r="1425" spans="1:18" ht="65.25" hidden="1" customHeight="1">
      <c r="A1425" s="82" t="s">
        <v>605</v>
      </c>
      <c r="B1425" s="149">
        <v>793</v>
      </c>
      <c r="C1425" s="84" t="s">
        <v>54</v>
      </c>
      <c r="D1425" s="84" t="s">
        <v>88</v>
      </c>
      <c r="E1425" s="149" t="s">
        <v>454</v>
      </c>
      <c r="F1425" s="149"/>
      <c r="G1425" s="87">
        <f>G1426</f>
        <v>0</v>
      </c>
      <c r="H1425" s="87">
        <f t="shared" ref="H1425:I1425" si="372">H1426</f>
        <v>0</v>
      </c>
      <c r="I1425" s="87">
        <f t="shared" si="372"/>
        <v>0</v>
      </c>
      <c r="J1425" s="177"/>
    </row>
    <row r="1426" spans="1:18" ht="20.25" hidden="1" customHeight="1">
      <c r="A1426" s="82" t="s">
        <v>63</v>
      </c>
      <c r="B1426" s="149">
        <v>793</v>
      </c>
      <c r="C1426" s="84" t="s">
        <v>54</v>
      </c>
      <c r="D1426" s="84" t="s">
        <v>88</v>
      </c>
      <c r="E1426" s="149" t="s">
        <v>454</v>
      </c>
      <c r="F1426" s="149">
        <v>800</v>
      </c>
      <c r="G1426" s="87">
        <f>G1427</f>
        <v>0</v>
      </c>
      <c r="H1426" s="87">
        <f t="shared" ref="H1426:I1426" si="373">H1427</f>
        <v>0</v>
      </c>
      <c r="I1426" s="87">
        <f t="shared" si="373"/>
        <v>0</v>
      </c>
      <c r="J1426" s="177"/>
    </row>
    <row r="1427" spans="1:18" ht="38.25" hidden="1" customHeight="1">
      <c r="A1427" s="82" t="s">
        <v>341</v>
      </c>
      <c r="B1427" s="149">
        <v>793</v>
      </c>
      <c r="C1427" s="84" t="s">
        <v>54</v>
      </c>
      <c r="D1427" s="84" t="s">
        <v>88</v>
      </c>
      <c r="E1427" s="149" t="s">
        <v>454</v>
      </c>
      <c r="F1427" s="149">
        <v>810</v>
      </c>
      <c r="G1427" s="87"/>
      <c r="H1427" s="87">
        <v>0</v>
      </c>
      <c r="I1427" s="87">
        <v>0</v>
      </c>
      <c r="J1427" s="177"/>
    </row>
    <row r="1428" spans="1:18" ht="36" customHeight="1">
      <c r="A1428" s="82" t="s">
        <v>477</v>
      </c>
      <c r="B1428" s="149">
        <v>793</v>
      </c>
      <c r="C1428" s="84" t="s">
        <v>54</v>
      </c>
      <c r="D1428" s="84" t="s">
        <v>88</v>
      </c>
      <c r="E1428" s="149" t="s">
        <v>260</v>
      </c>
      <c r="F1428" s="149"/>
      <c r="G1428" s="87">
        <f>G1429</f>
        <v>50000</v>
      </c>
      <c r="H1428" s="87">
        <f>H1429</f>
        <v>50000</v>
      </c>
      <c r="I1428" s="87">
        <f>I1429</f>
        <v>50000</v>
      </c>
      <c r="J1428" s="177"/>
    </row>
    <row r="1429" spans="1:18" ht="39" customHeight="1">
      <c r="A1429" s="82" t="s">
        <v>370</v>
      </c>
      <c r="B1429" s="149">
        <v>793</v>
      </c>
      <c r="C1429" s="84" t="s">
        <v>54</v>
      </c>
      <c r="D1429" s="84" t="s">
        <v>88</v>
      </c>
      <c r="E1429" s="149" t="s">
        <v>261</v>
      </c>
      <c r="F1429" s="149"/>
      <c r="G1429" s="87">
        <f>G1430</f>
        <v>50000</v>
      </c>
      <c r="H1429" s="87">
        <f t="shared" ref="H1429:I1429" si="374">H1430</f>
        <v>50000</v>
      </c>
      <c r="I1429" s="87">
        <f t="shared" si="374"/>
        <v>50000</v>
      </c>
      <c r="J1429" s="177"/>
    </row>
    <row r="1430" spans="1:18" ht="17.25" customHeight="1">
      <c r="A1430" s="82" t="s">
        <v>324</v>
      </c>
      <c r="B1430" s="149">
        <v>793</v>
      </c>
      <c r="C1430" s="84" t="s">
        <v>54</v>
      </c>
      <c r="D1430" s="84" t="s">
        <v>88</v>
      </c>
      <c r="E1430" s="149" t="s">
        <v>261</v>
      </c>
      <c r="F1430" s="149">
        <v>200</v>
      </c>
      <c r="G1430" s="87">
        <f>G1431</f>
        <v>50000</v>
      </c>
      <c r="H1430" s="87">
        <f>H1431</f>
        <v>50000</v>
      </c>
      <c r="I1430" s="87">
        <f>I1431</f>
        <v>50000</v>
      </c>
      <c r="J1430" s="177"/>
    </row>
    <row r="1431" spans="1:18" ht="27.75" customHeight="1">
      <c r="A1431" s="82" t="s">
        <v>38</v>
      </c>
      <c r="B1431" s="149">
        <v>793</v>
      </c>
      <c r="C1431" s="84" t="s">
        <v>54</v>
      </c>
      <c r="D1431" s="84" t="s">
        <v>88</v>
      </c>
      <c r="E1431" s="149" t="s">
        <v>261</v>
      </c>
      <c r="F1431" s="149">
        <v>240</v>
      </c>
      <c r="G1431" s="87">
        <v>50000</v>
      </c>
      <c r="H1431" s="87">
        <v>50000</v>
      </c>
      <c r="I1431" s="87">
        <v>50000</v>
      </c>
      <c r="J1431" s="177"/>
    </row>
    <row r="1432" spans="1:18" ht="15" hidden="1" customHeight="1">
      <c r="A1432" s="134" t="s">
        <v>347</v>
      </c>
      <c r="B1432" s="259">
        <v>793</v>
      </c>
      <c r="C1432" s="272" t="s">
        <v>173</v>
      </c>
      <c r="D1432" s="272"/>
      <c r="E1432" s="272"/>
      <c r="F1432" s="272"/>
      <c r="G1432" s="269">
        <f>G1433</f>
        <v>0</v>
      </c>
      <c r="H1432" s="269">
        <f t="shared" ref="H1432:I1432" si="375">H1433</f>
        <v>0</v>
      </c>
      <c r="I1432" s="269">
        <f t="shared" si="375"/>
        <v>0</v>
      </c>
      <c r="J1432" s="191"/>
    </row>
    <row r="1433" spans="1:18" s="22" customFormat="1" ht="17.25" hidden="1" customHeight="1">
      <c r="A1433" s="82" t="s">
        <v>285</v>
      </c>
      <c r="B1433" s="149">
        <v>793</v>
      </c>
      <c r="C1433" s="84" t="s">
        <v>173</v>
      </c>
      <c r="D1433" s="84" t="s">
        <v>70</v>
      </c>
      <c r="E1433" s="84"/>
      <c r="F1433" s="84"/>
      <c r="G1433" s="87">
        <f>G1434+G1438</f>
        <v>0</v>
      </c>
      <c r="H1433" s="87">
        <f t="shared" ref="H1433:I1433" si="376">H1434+H1438</f>
        <v>0</v>
      </c>
      <c r="I1433" s="87">
        <f t="shared" si="376"/>
        <v>0</v>
      </c>
      <c r="J1433" s="177"/>
      <c r="K1433" s="207"/>
      <c r="L1433" s="207"/>
      <c r="M1433" s="207"/>
      <c r="N1433" s="207"/>
      <c r="O1433" s="207"/>
      <c r="P1433" s="207"/>
      <c r="Q1433" s="207"/>
      <c r="R1433" s="207"/>
    </row>
    <row r="1434" spans="1:18" s="22" customFormat="1" ht="53.25" hidden="1" customHeight="1">
      <c r="A1434" s="82" t="s">
        <v>495</v>
      </c>
      <c r="B1434" s="149">
        <v>793</v>
      </c>
      <c r="C1434" s="84" t="s">
        <v>173</v>
      </c>
      <c r="D1434" s="84" t="s">
        <v>70</v>
      </c>
      <c r="E1434" s="84" t="s">
        <v>296</v>
      </c>
      <c r="F1434" s="156"/>
      <c r="G1434" s="87">
        <f t="shared" ref="G1434:I1436" si="377">G1435</f>
        <v>0</v>
      </c>
      <c r="H1434" s="87">
        <f t="shared" si="377"/>
        <v>0</v>
      </c>
      <c r="I1434" s="87">
        <f t="shared" si="377"/>
        <v>0</v>
      </c>
      <c r="J1434" s="177"/>
      <c r="K1434" s="207"/>
      <c r="L1434" s="207"/>
      <c r="M1434" s="207"/>
      <c r="N1434" s="207"/>
      <c r="O1434" s="207"/>
      <c r="P1434" s="207"/>
      <c r="Q1434" s="207"/>
      <c r="R1434" s="207"/>
    </row>
    <row r="1435" spans="1:18" s="46" customFormat="1" ht="17.25" hidden="1" customHeight="1">
      <c r="A1435" s="82" t="s">
        <v>382</v>
      </c>
      <c r="B1435" s="149">
        <v>793</v>
      </c>
      <c r="C1435" s="84" t="s">
        <v>173</v>
      </c>
      <c r="D1435" s="84" t="s">
        <v>70</v>
      </c>
      <c r="E1435" s="84" t="s">
        <v>381</v>
      </c>
      <c r="F1435" s="84"/>
      <c r="G1435" s="87">
        <f t="shared" si="377"/>
        <v>0</v>
      </c>
      <c r="H1435" s="87">
        <f t="shared" si="377"/>
        <v>0</v>
      </c>
      <c r="I1435" s="87">
        <f t="shared" si="377"/>
        <v>0</v>
      </c>
      <c r="J1435" s="177"/>
      <c r="K1435" s="222"/>
      <c r="L1435" s="222"/>
      <c r="M1435" s="222"/>
      <c r="N1435" s="222"/>
      <c r="O1435" s="222"/>
      <c r="P1435" s="222"/>
      <c r="Q1435" s="222"/>
      <c r="R1435" s="222"/>
    </row>
    <row r="1436" spans="1:18" s="46" customFormat="1" ht="17.25" hidden="1" customHeight="1">
      <c r="A1436" s="82" t="s">
        <v>324</v>
      </c>
      <c r="B1436" s="149">
        <v>793</v>
      </c>
      <c r="C1436" s="84" t="s">
        <v>173</v>
      </c>
      <c r="D1436" s="84" t="s">
        <v>70</v>
      </c>
      <c r="E1436" s="84" t="s">
        <v>381</v>
      </c>
      <c r="F1436" s="84" t="s">
        <v>37</v>
      </c>
      <c r="G1436" s="87">
        <f t="shared" si="377"/>
        <v>0</v>
      </c>
      <c r="H1436" s="87">
        <f t="shared" si="377"/>
        <v>0</v>
      </c>
      <c r="I1436" s="87">
        <f t="shared" si="377"/>
        <v>0</v>
      </c>
      <c r="J1436" s="177"/>
      <c r="K1436" s="222"/>
      <c r="L1436" s="222"/>
      <c r="M1436" s="222"/>
      <c r="N1436" s="222"/>
      <c r="O1436" s="222"/>
      <c r="P1436" s="222"/>
      <c r="Q1436" s="222"/>
      <c r="R1436" s="222"/>
    </row>
    <row r="1437" spans="1:18" s="46" customFormat="1" ht="31.5" hidden="1" customHeight="1">
      <c r="A1437" s="82" t="s">
        <v>38</v>
      </c>
      <c r="B1437" s="149">
        <v>793</v>
      </c>
      <c r="C1437" s="84" t="s">
        <v>173</v>
      </c>
      <c r="D1437" s="84" t="s">
        <v>70</v>
      </c>
      <c r="E1437" s="84" t="s">
        <v>381</v>
      </c>
      <c r="F1437" s="84" t="s">
        <v>39</v>
      </c>
      <c r="G1437" s="87"/>
      <c r="H1437" s="87"/>
      <c r="I1437" s="87"/>
      <c r="J1437" s="177"/>
      <c r="K1437" s="222"/>
      <c r="L1437" s="222"/>
      <c r="M1437" s="222"/>
      <c r="N1437" s="222"/>
      <c r="O1437" s="222"/>
      <c r="P1437" s="222"/>
      <c r="Q1437" s="222"/>
      <c r="R1437" s="222"/>
    </row>
    <row r="1438" spans="1:18" ht="30.75" hidden="1" customHeight="1">
      <c r="A1438" s="82" t="s">
        <v>475</v>
      </c>
      <c r="B1438" s="149">
        <v>793</v>
      </c>
      <c r="C1438" s="84" t="s">
        <v>173</v>
      </c>
      <c r="D1438" s="84" t="s">
        <v>70</v>
      </c>
      <c r="E1438" s="84" t="s">
        <v>263</v>
      </c>
      <c r="F1438" s="84"/>
      <c r="G1438" s="87">
        <f>G1439</f>
        <v>0</v>
      </c>
      <c r="H1438" s="87">
        <v>0</v>
      </c>
      <c r="I1438" s="87">
        <v>0</v>
      </c>
      <c r="J1438" s="177"/>
    </row>
    <row r="1439" spans="1:18" ht="21.75" hidden="1" customHeight="1">
      <c r="A1439" s="133" t="s">
        <v>516</v>
      </c>
      <c r="B1439" s="149">
        <v>793</v>
      </c>
      <c r="C1439" s="84" t="s">
        <v>173</v>
      </c>
      <c r="D1439" s="84" t="s">
        <v>70</v>
      </c>
      <c r="E1439" s="84" t="s">
        <v>521</v>
      </c>
      <c r="F1439" s="84"/>
      <c r="G1439" s="87">
        <f>G1440</f>
        <v>0</v>
      </c>
      <c r="H1439" s="87">
        <v>0</v>
      </c>
      <c r="I1439" s="87">
        <v>0</v>
      </c>
      <c r="J1439" s="177"/>
    </row>
    <row r="1440" spans="1:18" ht="21" hidden="1" customHeight="1">
      <c r="A1440" s="82" t="s">
        <v>156</v>
      </c>
      <c r="B1440" s="149">
        <v>793</v>
      </c>
      <c r="C1440" s="84" t="s">
        <v>173</v>
      </c>
      <c r="D1440" s="84" t="s">
        <v>70</v>
      </c>
      <c r="E1440" s="84" t="s">
        <v>521</v>
      </c>
      <c r="F1440" s="84" t="s">
        <v>157</v>
      </c>
      <c r="G1440" s="87">
        <f>G1441</f>
        <v>0</v>
      </c>
      <c r="H1440" s="87">
        <v>0</v>
      </c>
      <c r="I1440" s="87">
        <v>0</v>
      </c>
      <c r="J1440" s="177"/>
    </row>
    <row r="1441" spans="1:18" ht="1.5" customHeight="1">
      <c r="A1441" s="82" t="s">
        <v>170</v>
      </c>
      <c r="B1441" s="149">
        <v>793</v>
      </c>
      <c r="C1441" s="84" t="s">
        <v>173</v>
      </c>
      <c r="D1441" s="84" t="s">
        <v>70</v>
      </c>
      <c r="E1441" s="84" t="s">
        <v>521</v>
      </c>
      <c r="F1441" s="84" t="s">
        <v>171</v>
      </c>
      <c r="G1441" s="87"/>
      <c r="H1441" s="87">
        <v>0</v>
      </c>
      <c r="I1441" s="87">
        <v>0</v>
      </c>
      <c r="J1441" s="177"/>
    </row>
    <row r="1442" spans="1:18" ht="36" customHeight="1">
      <c r="A1442" s="82" t="s">
        <v>841</v>
      </c>
      <c r="B1442" s="149">
        <v>793</v>
      </c>
      <c r="C1442" s="84" t="s">
        <v>54</v>
      </c>
      <c r="D1442" s="84" t="s">
        <v>88</v>
      </c>
      <c r="E1442" s="149" t="s">
        <v>842</v>
      </c>
      <c r="F1442" s="149"/>
      <c r="G1442" s="87">
        <f>G1443</f>
        <v>363450</v>
      </c>
      <c r="H1442" s="87">
        <f>H1443</f>
        <v>0</v>
      </c>
      <c r="I1442" s="87">
        <f>I1443</f>
        <v>0</v>
      </c>
      <c r="J1442" s="177"/>
    </row>
    <row r="1443" spans="1:18" ht="39" customHeight="1">
      <c r="A1443" s="82" t="s">
        <v>844</v>
      </c>
      <c r="B1443" s="149">
        <v>793</v>
      </c>
      <c r="C1443" s="84" t="s">
        <v>54</v>
      </c>
      <c r="D1443" s="84" t="s">
        <v>88</v>
      </c>
      <c r="E1443" s="149" t="s">
        <v>843</v>
      </c>
      <c r="F1443" s="149"/>
      <c r="G1443" s="87">
        <f>G1444</f>
        <v>363450</v>
      </c>
      <c r="H1443" s="87">
        <f t="shared" ref="H1443:I1443" si="378">H1444</f>
        <v>0</v>
      </c>
      <c r="I1443" s="87">
        <f t="shared" si="378"/>
        <v>0</v>
      </c>
      <c r="J1443" s="177"/>
    </row>
    <row r="1444" spans="1:18" ht="17.25" customHeight="1">
      <c r="A1444" s="82" t="s">
        <v>324</v>
      </c>
      <c r="B1444" s="149">
        <v>793</v>
      </c>
      <c r="C1444" s="84" t="s">
        <v>54</v>
      </c>
      <c r="D1444" s="84" t="s">
        <v>88</v>
      </c>
      <c r="E1444" s="149" t="s">
        <v>843</v>
      </c>
      <c r="F1444" s="149">
        <v>200</v>
      </c>
      <c r="G1444" s="87">
        <f>G1445</f>
        <v>363450</v>
      </c>
      <c r="H1444" s="87">
        <f>H1445</f>
        <v>0</v>
      </c>
      <c r="I1444" s="87">
        <f>I1445</f>
        <v>0</v>
      </c>
      <c r="J1444" s="177"/>
    </row>
    <row r="1445" spans="1:18" ht="27.75" customHeight="1">
      <c r="A1445" s="82" t="s">
        <v>38</v>
      </c>
      <c r="B1445" s="149">
        <v>793</v>
      </c>
      <c r="C1445" s="84" t="s">
        <v>54</v>
      </c>
      <c r="D1445" s="84" t="s">
        <v>88</v>
      </c>
      <c r="E1445" s="149" t="s">
        <v>843</v>
      </c>
      <c r="F1445" s="149">
        <v>240</v>
      </c>
      <c r="G1445" s="87">
        <v>363450</v>
      </c>
      <c r="H1445" s="87">
        <v>0</v>
      </c>
      <c r="I1445" s="87">
        <v>0</v>
      </c>
      <c r="J1445" s="177"/>
    </row>
    <row r="1446" spans="1:18" s="28" customFormat="1" ht="24.75" customHeight="1">
      <c r="A1446" s="139" t="s">
        <v>169</v>
      </c>
      <c r="B1446" s="149">
        <v>793</v>
      </c>
      <c r="C1446" s="84" t="s">
        <v>54</v>
      </c>
      <c r="D1446" s="84" t="s">
        <v>88</v>
      </c>
      <c r="E1446" s="84" t="s">
        <v>234</v>
      </c>
      <c r="F1446" s="168"/>
      <c r="G1446" s="87">
        <f t="shared" ref="G1446:I1450" si="379">G1447</f>
        <v>45317.440000000002</v>
      </c>
      <c r="H1446" s="87">
        <f t="shared" si="379"/>
        <v>0</v>
      </c>
      <c r="I1446" s="87">
        <f t="shared" si="379"/>
        <v>0</v>
      </c>
      <c r="J1446" s="177"/>
      <c r="K1446" s="204"/>
      <c r="L1446" s="204"/>
      <c r="M1446" s="204"/>
      <c r="N1446" s="204"/>
      <c r="O1446" s="204"/>
      <c r="P1446" s="204"/>
      <c r="Q1446" s="204"/>
      <c r="R1446" s="204"/>
    </row>
    <row r="1447" spans="1:18" ht="25.5">
      <c r="A1447" s="139" t="s">
        <v>169</v>
      </c>
      <c r="B1447" s="149">
        <v>793</v>
      </c>
      <c r="C1447" s="84" t="s">
        <v>54</v>
      </c>
      <c r="D1447" s="84" t="s">
        <v>88</v>
      </c>
      <c r="E1447" s="84" t="s">
        <v>276</v>
      </c>
      <c r="F1447" s="149"/>
      <c r="G1447" s="87">
        <f>G1450+G1448</f>
        <v>45317.440000000002</v>
      </c>
      <c r="H1447" s="87">
        <f>H1450</f>
        <v>0</v>
      </c>
      <c r="I1447" s="87">
        <f>I1450</f>
        <v>0</v>
      </c>
      <c r="J1447" s="177"/>
    </row>
    <row r="1448" spans="1:18" ht="17.25" customHeight="1">
      <c r="A1448" s="82" t="s">
        <v>324</v>
      </c>
      <c r="B1448" s="149">
        <v>793</v>
      </c>
      <c r="C1448" s="84" t="s">
        <v>54</v>
      </c>
      <c r="D1448" s="84" t="s">
        <v>88</v>
      </c>
      <c r="E1448" s="149" t="s">
        <v>276</v>
      </c>
      <c r="F1448" s="149">
        <v>200</v>
      </c>
      <c r="G1448" s="87">
        <f>G1449</f>
        <v>35000</v>
      </c>
      <c r="H1448" s="87">
        <f>H1449</f>
        <v>0</v>
      </c>
      <c r="I1448" s="87">
        <f>I1449</f>
        <v>0</v>
      </c>
      <c r="J1448" s="177"/>
    </row>
    <row r="1449" spans="1:18" ht="27.75" customHeight="1">
      <c r="A1449" s="82" t="s">
        <v>38</v>
      </c>
      <c r="B1449" s="149">
        <v>793</v>
      </c>
      <c r="C1449" s="84" t="s">
        <v>54</v>
      </c>
      <c r="D1449" s="84" t="s">
        <v>88</v>
      </c>
      <c r="E1449" s="149" t="s">
        <v>276</v>
      </c>
      <c r="F1449" s="149">
        <v>240</v>
      </c>
      <c r="G1449" s="87">
        <v>35000</v>
      </c>
      <c r="H1449" s="87">
        <v>0</v>
      </c>
      <c r="I1449" s="87">
        <v>0</v>
      </c>
      <c r="J1449" s="177"/>
    </row>
    <row r="1450" spans="1:18">
      <c r="A1450" s="82" t="s">
        <v>156</v>
      </c>
      <c r="B1450" s="149">
        <v>793</v>
      </c>
      <c r="C1450" s="84" t="s">
        <v>54</v>
      </c>
      <c r="D1450" s="84" t="s">
        <v>88</v>
      </c>
      <c r="E1450" s="84" t="s">
        <v>276</v>
      </c>
      <c r="F1450" s="84" t="s">
        <v>157</v>
      </c>
      <c r="G1450" s="87">
        <f t="shared" si="379"/>
        <v>10317.44</v>
      </c>
      <c r="H1450" s="87">
        <f t="shared" si="379"/>
        <v>0</v>
      </c>
      <c r="I1450" s="87">
        <f t="shared" si="379"/>
        <v>0</v>
      </c>
      <c r="J1450" s="177"/>
    </row>
    <row r="1451" spans="1:18">
      <c r="A1451" s="82" t="s">
        <v>178</v>
      </c>
      <c r="B1451" s="149">
        <v>793</v>
      </c>
      <c r="C1451" s="84" t="s">
        <v>54</v>
      </c>
      <c r="D1451" s="84" t="s">
        <v>88</v>
      </c>
      <c r="E1451" s="84" t="s">
        <v>276</v>
      </c>
      <c r="F1451" s="84" t="s">
        <v>179</v>
      </c>
      <c r="G1451" s="87">
        <v>10317.44</v>
      </c>
      <c r="H1451" s="87"/>
      <c r="I1451" s="87"/>
      <c r="J1451" s="177"/>
    </row>
    <row r="1452" spans="1:18">
      <c r="A1452" s="134" t="s">
        <v>347</v>
      </c>
      <c r="B1452" s="275">
        <v>793</v>
      </c>
      <c r="C1452" s="272" t="s">
        <v>173</v>
      </c>
      <c r="D1452" s="272"/>
      <c r="E1452" s="272"/>
      <c r="F1452" s="272"/>
      <c r="G1452" s="269">
        <f>G1681+G1551+G1800+G1823+G1453+G1495+G1582</f>
        <v>78088124.719999999</v>
      </c>
      <c r="H1452" s="269">
        <f>H1681+H1551+H1800+H1823+H1453+H1495+H1582</f>
        <v>11584703.07</v>
      </c>
      <c r="I1452" s="269">
        <f>I1681+I1551+I1800+I1823+I1453+I1495+I1582</f>
        <v>205997024.25</v>
      </c>
      <c r="J1452" s="191"/>
      <c r="P1452" s="209"/>
      <c r="Q1452" s="209"/>
    </row>
    <row r="1453" spans="1:18">
      <c r="A1453" s="132" t="s">
        <v>174</v>
      </c>
      <c r="B1453" s="83">
        <v>793</v>
      </c>
      <c r="C1453" s="153" t="s">
        <v>173</v>
      </c>
      <c r="D1453" s="153" t="s">
        <v>19</v>
      </c>
      <c r="E1453" s="272"/>
      <c r="F1453" s="272"/>
      <c r="G1453" s="94">
        <f>G1454+G1471</f>
        <v>49806850</v>
      </c>
      <c r="H1453" s="94">
        <f t="shared" ref="H1453:I1453" si="380">H1454+H1471</f>
        <v>3800000</v>
      </c>
      <c r="I1453" s="94">
        <f t="shared" si="380"/>
        <v>201712224.15000001</v>
      </c>
      <c r="J1453" s="194"/>
      <c r="K1453" s="194"/>
      <c r="L1453" s="194"/>
      <c r="M1453" s="194"/>
      <c r="N1453" s="194"/>
      <c r="O1453" s="194"/>
    </row>
    <row r="1454" spans="1:18" ht="51">
      <c r="A1454" s="82" t="s">
        <v>495</v>
      </c>
      <c r="B1454" s="83">
        <v>793</v>
      </c>
      <c r="C1454" s="84" t="s">
        <v>173</v>
      </c>
      <c r="D1454" s="84" t="s">
        <v>19</v>
      </c>
      <c r="E1454" s="84" t="s">
        <v>296</v>
      </c>
      <c r="F1454" s="84"/>
      <c r="G1454" s="87">
        <f>G1457+G1461+G1464+G1470+G1465</f>
        <v>2353350</v>
      </c>
      <c r="H1454" s="87">
        <f t="shared" ref="H1454:I1454" si="381">H1457+H1461+H1464+H1470+H1465</f>
        <v>2000000</v>
      </c>
      <c r="I1454" s="87">
        <f t="shared" si="381"/>
        <v>2000000</v>
      </c>
      <c r="J1454" s="177"/>
    </row>
    <row r="1455" spans="1:18" s="18" customFormat="1" ht="20.25" hidden="1" customHeight="1">
      <c r="A1455" s="82" t="s">
        <v>85</v>
      </c>
      <c r="B1455" s="83">
        <v>793</v>
      </c>
      <c r="C1455" s="84" t="s">
        <v>173</v>
      </c>
      <c r="D1455" s="84" t="s">
        <v>19</v>
      </c>
      <c r="E1455" s="84" t="s">
        <v>84</v>
      </c>
      <c r="F1455" s="84"/>
      <c r="G1455" s="87">
        <f t="shared" ref="G1455:I1456" si="382">G1456</f>
        <v>0</v>
      </c>
      <c r="H1455" s="87">
        <f t="shared" si="382"/>
        <v>0</v>
      </c>
      <c r="I1455" s="87">
        <f t="shared" si="382"/>
        <v>0</v>
      </c>
      <c r="J1455" s="177"/>
      <c r="K1455" s="200"/>
      <c r="L1455" s="200"/>
      <c r="M1455" s="200"/>
      <c r="N1455" s="200"/>
      <c r="O1455" s="200"/>
      <c r="P1455" s="200"/>
      <c r="Q1455" s="200"/>
      <c r="R1455" s="200"/>
    </row>
    <row r="1456" spans="1:18" ht="30.75" hidden="1" customHeight="1">
      <c r="A1456" s="82" t="s">
        <v>36</v>
      </c>
      <c r="B1456" s="83">
        <v>793</v>
      </c>
      <c r="C1456" s="84" t="s">
        <v>173</v>
      </c>
      <c r="D1456" s="84" t="s">
        <v>19</v>
      </c>
      <c r="E1456" s="84" t="s">
        <v>84</v>
      </c>
      <c r="F1456" s="84" t="s">
        <v>37</v>
      </c>
      <c r="G1456" s="87">
        <f t="shared" si="382"/>
        <v>0</v>
      </c>
      <c r="H1456" s="87">
        <f t="shared" si="382"/>
        <v>0</v>
      </c>
      <c r="I1456" s="87">
        <f t="shared" si="382"/>
        <v>0</v>
      </c>
      <c r="J1456" s="177"/>
    </row>
    <row r="1457" spans="1:18" s="18" customFormat="1" ht="34.5" hidden="1" customHeight="1">
      <c r="A1457" s="82" t="s">
        <v>38</v>
      </c>
      <c r="B1457" s="83">
        <v>793</v>
      </c>
      <c r="C1457" s="84" t="s">
        <v>173</v>
      </c>
      <c r="D1457" s="84" t="s">
        <v>19</v>
      </c>
      <c r="E1457" s="84" t="s">
        <v>84</v>
      </c>
      <c r="F1457" s="84" t="s">
        <v>39</v>
      </c>
      <c r="G1457" s="87"/>
      <c r="H1457" s="87"/>
      <c r="I1457" s="87"/>
      <c r="J1457" s="177"/>
      <c r="K1457" s="200"/>
      <c r="L1457" s="200"/>
      <c r="M1457" s="200"/>
      <c r="N1457" s="200"/>
      <c r="O1457" s="200"/>
      <c r="P1457" s="200"/>
      <c r="Q1457" s="200"/>
      <c r="R1457" s="200"/>
    </row>
    <row r="1458" spans="1:18" s="3" customFormat="1" ht="52.5" hidden="1" customHeight="1">
      <c r="A1458" s="82"/>
      <c r="B1458" s="83"/>
      <c r="C1458" s="84"/>
      <c r="D1458" s="84"/>
      <c r="E1458" s="84"/>
      <c r="F1458" s="84"/>
      <c r="G1458" s="87"/>
      <c r="H1458" s="87"/>
      <c r="I1458" s="87"/>
      <c r="J1458" s="177"/>
      <c r="K1458" s="199"/>
      <c r="L1458" s="199"/>
      <c r="M1458" s="199"/>
      <c r="N1458" s="199"/>
      <c r="O1458" s="199"/>
      <c r="P1458" s="199"/>
      <c r="Q1458" s="199"/>
      <c r="R1458" s="199"/>
    </row>
    <row r="1459" spans="1:18" s="18" customFormat="1" ht="63" hidden="1" customHeight="1">
      <c r="A1459" s="82" t="s">
        <v>81</v>
      </c>
      <c r="B1459" s="83">
        <v>793</v>
      </c>
      <c r="C1459" s="84" t="s">
        <v>173</v>
      </c>
      <c r="D1459" s="84" t="s">
        <v>19</v>
      </c>
      <c r="E1459" s="84" t="s">
        <v>80</v>
      </c>
      <c r="F1459" s="84"/>
      <c r="G1459" s="87">
        <f t="shared" ref="G1459:I1460" si="383">G1460</f>
        <v>0</v>
      </c>
      <c r="H1459" s="87">
        <f t="shared" si="383"/>
        <v>0</v>
      </c>
      <c r="I1459" s="87">
        <f t="shared" si="383"/>
        <v>0</v>
      </c>
      <c r="J1459" s="177"/>
      <c r="K1459" s="200"/>
      <c r="L1459" s="200"/>
      <c r="M1459" s="200"/>
      <c r="N1459" s="200"/>
      <c r="O1459" s="200"/>
      <c r="P1459" s="200"/>
      <c r="Q1459" s="200"/>
      <c r="R1459" s="200"/>
    </row>
    <row r="1460" spans="1:18" ht="30.75" hidden="1" customHeight="1">
      <c r="A1460" s="82" t="s">
        <v>36</v>
      </c>
      <c r="B1460" s="83">
        <v>793</v>
      </c>
      <c r="C1460" s="84" t="s">
        <v>173</v>
      </c>
      <c r="D1460" s="84" t="s">
        <v>19</v>
      </c>
      <c r="E1460" s="84" t="s">
        <v>80</v>
      </c>
      <c r="F1460" s="84" t="s">
        <v>37</v>
      </c>
      <c r="G1460" s="87">
        <f t="shared" si="383"/>
        <v>0</v>
      </c>
      <c r="H1460" s="87">
        <f t="shared" si="383"/>
        <v>0</v>
      </c>
      <c r="I1460" s="87">
        <f t="shared" si="383"/>
        <v>0</v>
      </c>
      <c r="J1460" s="177"/>
    </row>
    <row r="1461" spans="1:18" s="18" customFormat="1" ht="34.5" hidden="1" customHeight="1">
      <c r="A1461" s="82" t="s">
        <v>38</v>
      </c>
      <c r="B1461" s="83">
        <v>793</v>
      </c>
      <c r="C1461" s="84" t="s">
        <v>173</v>
      </c>
      <c r="D1461" s="84" t="s">
        <v>19</v>
      </c>
      <c r="E1461" s="84" t="s">
        <v>80</v>
      </c>
      <c r="F1461" s="84" t="s">
        <v>39</v>
      </c>
      <c r="G1461" s="87"/>
      <c r="H1461" s="87"/>
      <c r="I1461" s="87"/>
      <c r="J1461" s="177"/>
      <c r="K1461" s="200"/>
      <c r="L1461" s="200"/>
      <c r="M1461" s="200"/>
      <c r="N1461" s="200"/>
      <c r="O1461" s="200"/>
      <c r="P1461" s="200"/>
      <c r="Q1461" s="200"/>
      <c r="R1461" s="200"/>
    </row>
    <row r="1462" spans="1:18" s="18" customFormat="1" ht="35.25" customHeight="1">
      <c r="A1462" s="82" t="s">
        <v>973</v>
      </c>
      <c r="B1462" s="83">
        <v>793</v>
      </c>
      <c r="C1462" s="84" t="s">
        <v>173</v>
      </c>
      <c r="D1462" s="84" t="s">
        <v>19</v>
      </c>
      <c r="E1462" s="84" t="s">
        <v>82</v>
      </c>
      <c r="F1462" s="84"/>
      <c r="G1462" s="87">
        <f t="shared" ref="G1462:I1466" si="384">G1463</f>
        <v>1353350</v>
      </c>
      <c r="H1462" s="87">
        <f t="shared" si="384"/>
        <v>1000000</v>
      </c>
      <c r="I1462" s="87">
        <f t="shared" si="384"/>
        <v>1000000</v>
      </c>
      <c r="J1462" s="177"/>
      <c r="K1462" s="200"/>
      <c r="L1462" s="200"/>
      <c r="M1462" s="200"/>
      <c r="N1462" s="200"/>
      <c r="O1462" s="200"/>
      <c r="P1462" s="200"/>
      <c r="Q1462" s="200"/>
      <c r="R1462" s="200"/>
    </row>
    <row r="1463" spans="1:18" ht="35.25" customHeight="1">
      <c r="A1463" s="82" t="s">
        <v>36</v>
      </c>
      <c r="B1463" s="83">
        <v>793</v>
      </c>
      <c r="C1463" s="84" t="s">
        <v>173</v>
      </c>
      <c r="D1463" s="84" t="s">
        <v>19</v>
      </c>
      <c r="E1463" s="84" t="s">
        <v>82</v>
      </c>
      <c r="F1463" s="84" t="s">
        <v>37</v>
      </c>
      <c r="G1463" s="87">
        <f t="shared" si="384"/>
        <v>1353350</v>
      </c>
      <c r="H1463" s="87">
        <f t="shared" si="384"/>
        <v>1000000</v>
      </c>
      <c r="I1463" s="87">
        <f t="shared" si="384"/>
        <v>1000000</v>
      </c>
      <c r="J1463" s="177"/>
    </row>
    <row r="1464" spans="1:18" s="18" customFormat="1" ht="35.25" customHeight="1">
      <c r="A1464" s="82" t="s">
        <v>38</v>
      </c>
      <c r="B1464" s="83">
        <v>793</v>
      </c>
      <c r="C1464" s="84" t="s">
        <v>173</v>
      </c>
      <c r="D1464" s="84" t="s">
        <v>19</v>
      </c>
      <c r="E1464" s="84" t="s">
        <v>82</v>
      </c>
      <c r="F1464" s="84" t="s">
        <v>39</v>
      </c>
      <c r="G1464" s="87">
        <f>2000000-125000-875000+353350</f>
        <v>1353350</v>
      </c>
      <c r="H1464" s="87">
        <v>1000000</v>
      </c>
      <c r="I1464" s="87">
        <v>1000000</v>
      </c>
      <c r="J1464" s="177"/>
      <c r="K1464" s="200"/>
      <c r="L1464" s="200"/>
      <c r="M1464" s="200"/>
      <c r="N1464" s="200"/>
      <c r="O1464" s="200"/>
      <c r="P1464" s="200"/>
      <c r="Q1464" s="200"/>
      <c r="R1464" s="200"/>
    </row>
    <row r="1465" spans="1:18" s="18" customFormat="1" ht="35.25" customHeight="1">
      <c r="A1465" s="82" t="s">
        <v>967</v>
      </c>
      <c r="B1465" s="83">
        <v>793</v>
      </c>
      <c r="C1465" s="84" t="s">
        <v>173</v>
      </c>
      <c r="D1465" s="84" t="s">
        <v>19</v>
      </c>
      <c r="E1465" s="84" t="s">
        <v>966</v>
      </c>
      <c r="F1465" s="84"/>
      <c r="G1465" s="87">
        <f t="shared" si="384"/>
        <v>875000</v>
      </c>
      <c r="H1465" s="87">
        <f t="shared" si="384"/>
        <v>875000</v>
      </c>
      <c r="I1465" s="87">
        <f t="shared" si="384"/>
        <v>875000</v>
      </c>
      <c r="J1465" s="177"/>
      <c r="K1465" s="200"/>
      <c r="L1465" s="200"/>
      <c r="M1465" s="200"/>
      <c r="N1465" s="200"/>
      <c r="O1465" s="200"/>
      <c r="P1465" s="200"/>
      <c r="Q1465" s="200"/>
      <c r="R1465" s="200"/>
    </row>
    <row r="1466" spans="1:18" ht="35.25" customHeight="1">
      <c r="A1466" s="82" t="s">
        <v>36</v>
      </c>
      <c r="B1466" s="83">
        <v>793</v>
      </c>
      <c r="C1466" s="84" t="s">
        <v>173</v>
      </c>
      <c r="D1466" s="84" t="s">
        <v>19</v>
      </c>
      <c r="E1466" s="84" t="s">
        <v>966</v>
      </c>
      <c r="F1466" s="84" t="s">
        <v>37</v>
      </c>
      <c r="G1466" s="87">
        <f t="shared" si="384"/>
        <v>875000</v>
      </c>
      <c r="H1466" s="87">
        <f t="shared" si="384"/>
        <v>875000</v>
      </c>
      <c r="I1466" s="87">
        <f t="shared" si="384"/>
        <v>875000</v>
      </c>
      <c r="J1466" s="177"/>
    </row>
    <row r="1467" spans="1:18" s="18" customFormat="1" ht="35.25" customHeight="1">
      <c r="A1467" s="82" t="s">
        <v>38</v>
      </c>
      <c r="B1467" s="83">
        <v>793</v>
      </c>
      <c r="C1467" s="84" t="s">
        <v>173</v>
      </c>
      <c r="D1467" s="84" t="s">
        <v>19</v>
      </c>
      <c r="E1467" s="84" t="s">
        <v>966</v>
      </c>
      <c r="F1467" s="84" t="s">
        <v>39</v>
      </c>
      <c r="G1467" s="87">
        <v>875000</v>
      </c>
      <c r="H1467" s="87">
        <v>875000</v>
      </c>
      <c r="I1467" s="87">
        <v>875000</v>
      </c>
      <c r="J1467" s="177"/>
      <c r="K1467" s="200"/>
      <c r="L1467" s="200"/>
      <c r="M1467" s="200"/>
      <c r="N1467" s="200"/>
      <c r="O1467" s="200"/>
      <c r="P1467" s="200"/>
      <c r="Q1467" s="200"/>
      <c r="R1467" s="200"/>
    </row>
    <row r="1468" spans="1:18" s="18" customFormat="1" ht="20.25" customHeight="1">
      <c r="A1468" s="82" t="s">
        <v>85</v>
      </c>
      <c r="B1468" s="83">
        <v>793</v>
      </c>
      <c r="C1468" s="84" t="s">
        <v>173</v>
      </c>
      <c r="D1468" s="84" t="s">
        <v>19</v>
      </c>
      <c r="E1468" s="84" t="s">
        <v>84</v>
      </c>
      <c r="F1468" s="84"/>
      <c r="G1468" s="87">
        <f t="shared" ref="G1468:I1469" si="385">G1469</f>
        <v>125000</v>
      </c>
      <c r="H1468" s="87">
        <f t="shared" si="385"/>
        <v>125000</v>
      </c>
      <c r="I1468" s="87">
        <f t="shared" si="385"/>
        <v>125000</v>
      </c>
      <c r="J1468" s="177"/>
      <c r="K1468" s="200"/>
      <c r="L1468" s="200"/>
      <c r="M1468" s="200"/>
      <c r="N1468" s="200"/>
      <c r="O1468" s="200"/>
      <c r="P1468" s="200"/>
      <c r="Q1468" s="200"/>
      <c r="R1468" s="200"/>
    </row>
    <row r="1469" spans="1:18" ht="30.75" customHeight="1">
      <c r="A1469" s="82" t="s">
        <v>36</v>
      </c>
      <c r="B1469" s="83">
        <v>793</v>
      </c>
      <c r="C1469" s="84" t="s">
        <v>173</v>
      </c>
      <c r="D1469" s="84" t="s">
        <v>19</v>
      </c>
      <c r="E1469" s="84" t="s">
        <v>84</v>
      </c>
      <c r="F1469" s="84" t="s">
        <v>37</v>
      </c>
      <c r="G1469" s="87">
        <f t="shared" si="385"/>
        <v>125000</v>
      </c>
      <c r="H1469" s="87">
        <f t="shared" si="385"/>
        <v>125000</v>
      </c>
      <c r="I1469" s="87">
        <f t="shared" si="385"/>
        <v>125000</v>
      </c>
      <c r="J1469" s="177"/>
    </row>
    <row r="1470" spans="1:18" s="18" customFormat="1" ht="34.5" customHeight="1">
      <c r="A1470" s="82" t="s">
        <v>38</v>
      </c>
      <c r="B1470" s="83">
        <v>793</v>
      </c>
      <c r="C1470" s="84" t="s">
        <v>173</v>
      </c>
      <c r="D1470" s="84" t="s">
        <v>19</v>
      </c>
      <c r="E1470" s="84" t="s">
        <v>84</v>
      </c>
      <c r="F1470" s="84" t="s">
        <v>39</v>
      </c>
      <c r="G1470" s="87">
        <v>125000</v>
      </c>
      <c r="H1470" s="87">
        <v>125000</v>
      </c>
      <c r="I1470" s="87">
        <v>125000</v>
      </c>
      <c r="J1470" s="177"/>
      <c r="K1470" s="200"/>
      <c r="L1470" s="200"/>
      <c r="M1470" s="200"/>
      <c r="N1470" s="200"/>
      <c r="O1470" s="200"/>
      <c r="P1470" s="200"/>
      <c r="Q1470" s="200"/>
      <c r="R1470" s="200"/>
    </row>
    <row r="1471" spans="1:18" s="18" customFormat="1" ht="51">
      <c r="A1471" s="82" t="s">
        <v>514</v>
      </c>
      <c r="B1471" s="83">
        <v>793</v>
      </c>
      <c r="C1471" s="153" t="s">
        <v>173</v>
      </c>
      <c r="D1471" s="153" t="s">
        <v>19</v>
      </c>
      <c r="E1471" s="84" t="s">
        <v>214</v>
      </c>
      <c r="F1471" s="84"/>
      <c r="G1471" s="87">
        <f>G1472+G1478+G1475+G1482+G1487+G1492</f>
        <v>47453500</v>
      </c>
      <c r="H1471" s="87">
        <f t="shared" ref="H1471:I1471" si="386">H1472+H1478+H1475+H1482+H1487+H1492</f>
        <v>1800000</v>
      </c>
      <c r="I1471" s="87">
        <f t="shared" si="386"/>
        <v>199712224.15000001</v>
      </c>
      <c r="J1471" s="177"/>
      <c r="K1471" s="200"/>
      <c r="L1471" s="200"/>
      <c r="M1471" s="200"/>
      <c r="N1471" s="200"/>
      <c r="O1471" s="200"/>
      <c r="P1471" s="200"/>
      <c r="Q1471" s="200"/>
      <c r="R1471" s="200"/>
    </row>
    <row r="1472" spans="1:18" s="18" customFormat="1" ht="89.25" hidden="1">
      <c r="A1472" s="82" t="s">
        <v>439</v>
      </c>
      <c r="B1472" s="83">
        <v>793</v>
      </c>
      <c r="C1472" s="153" t="s">
        <v>173</v>
      </c>
      <c r="D1472" s="153" t="s">
        <v>19</v>
      </c>
      <c r="E1472" s="84" t="s">
        <v>525</v>
      </c>
      <c r="F1472" s="84"/>
      <c r="G1472" s="87">
        <f>G1473</f>
        <v>0</v>
      </c>
      <c r="H1472" s="87">
        <f t="shared" ref="H1472:I1476" si="387">H1473</f>
        <v>0</v>
      </c>
      <c r="I1472" s="87">
        <f t="shared" si="387"/>
        <v>0</v>
      </c>
      <c r="J1472" s="177"/>
      <c r="K1472" s="200"/>
      <c r="L1472" s="200"/>
      <c r="M1472" s="200"/>
      <c r="N1472" s="200"/>
      <c r="O1472" s="200"/>
      <c r="P1472" s="200"/>
      <c r="Q1472" s="200"/>
      <c r="R1472" s="200"/>
    </row>
    <row r="1473" spans="1:18" s="18" customFormat="1" ht="23.25" hidden="1" customHeight="1">
      <c r="A1473" s="82" t="s">
        <v>63</v>
      </c>
      <c r="B1473" s="83">
        <v>793</v>
      </c>
      <c r="C1473" s="153" t="s">
        <v>173</v>
      </c>
      <c r="D1473" s="153" t="s">
        <v>19</v>
      </c>
      <c r="E1473" s="84" t="s">
        <v>525</v>
      </c>
      <c r="F1473" s="84" t="s">
        <v>64</v>
      </c>
      <c r="G1473" s="87">
        <f>G1474</f>
        <v>0</v>
      </c>
      <c r="H1473" s="87">
        <f t="shared" si="387"/>
        <v>0</v>
      </c>
      <c r="I1473" s="87">
        <f t="shared" si="387"/>
        <v>0</v>
      </c>
      <c r="J1473" s="177"/>
      <c r="K1473" s="200"/>
      <c r="L1473" s="200"/>
      <c r="M1473" s="200"/>
      <c r="N1473" s="200"/>
      <c r="O1473" s="200"/>
      <c r="P1473" s="200"/>
      <c r="Q1473" s="200"/>
      <c r="R1473" s="200"/>
    </row>
    <row r="1474" spans="1:18" s="18" customFormat="1" ht="20.25" hidden="1" customHeight="1">
      <c r="A1474" s="133" t="s">
        <v>144</v>
      </c>
      <c r="B1474" s="83">
        <v>793</v>
      </c>
      <c r="C1474" s="153" t="s">
        <v>173</v>
      </c>
      <c r="D1474" s="153" t="s">
        <v>19</v>
      </c>
      <c r="E1474" s="84" t="s">
        <v>525</v>
      </c>
      <c r="F1474" s="84" t="s">
        <v>67</v>
      </c>
      <c r="G1474" s="87"/>
      <c r="H1474" s="87"/>
      <c r="I1474" s="87"/>
      <c r="J1474" s="177"/>
      <c r="K1474" s="200"/>
      <c r="L1474" s="200"/>
      <c r="M1474" s="200"/>
      <c r="N1474" s="200"/>
      <c r="O1474" s="200"/>
      <c r="P1474" s="200"/>
      <c r="Q1474" s="200"/>
      <c r="R1474" s="200"/>
    </row>
    <row r="1475" spans="1:18" s="18" customFormat="1" ht="76.5" hidden="1">
      <c r="A1475" s="82" t="s">
        <v>440</v>
      </c>
      <c r="B1475" s="83">
        <v>793</v>
      </c>
      <c r="C1475" s="153" t="s">
        <v>173</v>
      </c>
      <c r="D1475" s="153" t="s">
        <v>19</v>
      </c>
      <c r="E1475" s="84" t="s">
        <v>526</v>
      </c>
      <c r="F1475" s="84"/>
      <c r="G1475" s="87">
        <f>G1476</f>
        <v>0</v>
      </c>
      <c r="H1475" s="87">
        <f t="shared" si="387"/>
        <v>0</v>
      </c>
      <c r="I1475" s="87">
        <f t="shared" si="387"/>
        <v>0</v>
      </c>
      <c r="J1475" s="177"/>
      <c r="K1475" s="200"/>
      <c r="L1475" s="200"/>
      <c r="M1475" s="200"/>
      <c r="N1475" s="200"/>
      <c r="O1475" s="200"/>
      <c r="P1475" s="200"/>
      <c r="Q1475" s="200"/>
      <c r="R1475" s="200"/>
    </row>
    <row r="1476" spans="1:18" s="18" customFormat="1" ht="22.5" hidden="1" customHeight="1">
      <c r="A1476" s="82" t="s">
        <v>63</v>
      </c>
      <c r="B1476" s="83">
        <v>793</v>
      </c>
      <c r="C1476" s="153" t="s">
        <v>173</v>
      </c>
      <c r="D1476" s="153" t="s">
        <v>19</v>
      </c>
      <c r="E1476" s="84" t="s">
        <v>526</v>
      </c>
      <c r="F1476" s="84" t="s">
        <v>64</v>
      </c>
      <c r="G1476" s="87">
        <f>G1477</f>
        <v>0</v>
      </c>
      <c r="H1476" s="87">
        <f t="shared" si="387"/>
        <v>0</v>
      </c>
      <c r="I1476" s="87">
        <f t="shared" si="387"/>
        <v>0</v>
      </c>
      <c r="J1476" s="177"/>
      <c r="K1476" s="200"/>
      <c r="L1476" s="200"/>
      <c r="M1476" s="200"/>
      <c r="N1476" s="200"/>
      <c r="O1476" s="200"/>
      <c r="P1476" s="200"/>
      <c r="Q1476" s="200"/>
      <c r="R1476" s="200"/>
    </row>
    <row r="1477" spans="1:18" s="18" customFormat="1" ht="17.25" hidden="1" customHeight="1">
      <c r="A1477" s="133" t="s">
        <v>144</v>
      </c>
      <c r="B1477" s="83">
        <v>793</v>
      </c>
      <c r="C1477" s="153" t="s">
        <v>173</v>
      </c>
      <c r="D1477" s="153" t="s">
        <v>19</v>
      </c>
      <c r="E1477" s="84" t="s">
        <v>526</v>
      </c>
      <c r="F1477" s="84" t="s">
        <v>67</v>
      </c>
      <c r="G1477" s="87"/>
      <c r="H1477" s="87"/>
      <c r="I1477" s="87"/>
      <c r="J1477" s="177"/>
      <c r="K1477" s="200"/>
      <c r="L1477" s="200"/>
      <c r="M1477" s="200"/>
      <c r="N1477" s="200"/>
      <c r="O1477" s="200"/>
      <c r="P1477" s="200"/>
      <c r="Q1477" s="200"/>
      <c r="R1477" s="200"/>
    </row>
    <row r="1478" spans="1:18" s="46" customFormat="1" ht="48.75" customHeight="1">
      <c r="A1478" s="82" t="s">
        <v>424</v>
      </c>
      <c r="B1478" s="83">
        <v>793</v>
      </c>
      <c r="C1478" s="153" t="s">
        <v>173</v>
      </c>
      <c r="D1478" s="153" t="s">
        <v>19</v>
      </c>
      <c r="E1478" s="84" t="s">
        <v>379</v>
      </c>
      <c r="F1478" s="84"/>
      <c r="G1478" s="87">
        <f>G1479</f>
        <v>3457500</v>
      </c>
      <c r="H1478" s="87">
        <f t="shared" ref="G1478:I1479" si="388">H1479</f>
        <v>1800000</v>
      </c>
      <c r="I1478" s="87">
        <f t="shared" si="388"/>
        <v>1800000</v>
      </c>
      <c r="J1478" s="177"/>
      <c r="K1478" s="222"/>
      <c r="L1478" s="222"/>
      <c r="M1478" s="222"/>
      <c r="N1478" s="222"/>
      <c r="O1478" s="222"/>
      <c r="P1478" s="222"/>
      <c r="Q1478" s="222"/>
      <c r="R1478" s="222"/>
    </row>
    <row r="1479" spans="1:18" s="46" customFormat="1" ht="21" customHeight="1">
      <c r="A1479" s="82" t="s">
        <v>324</v>
      </c>
      <c r="B1479" s="83">
        <v>793</v>
      </c>
      <c r="C1479" s="153" t="s">
        <v>173</v>
      </c>
      <c r="D1479" s="153" t="s">
        <v>19</v>
      </c>
      <c r="E1479" s="84" t="s">
        <v>379</v>
      </c>
      <c r="F1479" s="84" t="s">
        <v>37</v>
      </c>
      <c r="G1479" s="87">
        <f t="shared" si="388"/>
        <v>3457500</v>
      </c>
      <c r="H1479" s="87">
        <f t="shared" si="388"/>
        <v>1800000</v>
      </c>
      <c r="I1479" s="87">
        <f t="shared" si="388"/>
        <v>1800000</v>
      </c>
      <c r="J1479" s="177"/>
      <c r="K1479" s="222"/>
      <c r="L1479" s="222"/>
      <c r="M1479" s="222"/>
      <c r="N1479" s="222"/>
      <c r="O1479" s="222"/>
      <c r="P1479" s="222"/>
      <c r="Q1479" s="222"/>
      <c r="R1479" s="222"/>
    </row>
    <row r="1480" spans="1:18" s="46" customFormat="1" ht="28.5" customHeight="1">
      <c r="A1480" s="82" t="s">
        <v>38</v>
      </c>
      <c r="B1480" s="83">
        <v>793</v>
      </c>
      <c r="C1480" s="153" t="s">
        <v>173</v>
      </c>
      <c r="D1480" s="153" t="s">
        <v>19</v>
      </c>
      <c r="E1480" s="84" t="s">
        <v>379</v>
      </c>
      <c r="F1480" s="84" t="s">
        <v>39</v>
      </c>
      <c r="G1480" s="87">
        <f>1760000+1697500</f>
        <v>3457500</v>
      </c>
      <c r="H1480" s="87">
        <v>1800000</v>
      </c>
      <c r="I1480" s="87">
        <v>1800000</v>
      </c>
      <c r="J1480" s="177"/>
      <c r="K1480" s="222"/>
      <c r="L1480" s="222"/>
      <c r="M1480" s="222"/>
      <c r="N1480" s="222"/>
      <c r="O1480" s="222"/>
      <c r="P1480" s="222"/>
      <c r="Q1480" s="222"/>
      <c r="R1480" s="222"/>
    </row>
    <row r="1481" spans="1:18" s="18" customFormat="1" hidden="1">
      <c r="A1481" s="82"/>
      <c r="B1481" s="83">
        <v>793</v>
      </c>
      <c r="C1481" s="153"/>
      <c r="D1481" s="153"/>
      <c r="E1481" s="84"/>
      <c r="F1481" s="84"/>
      <c r="G1481" s="87"/>
      <c r="H1481" s="87"/>
      <c r="I1481" s="87"/>
      <c r="J1481" s="177"/>
      <c r="K1481" s="200"/>
      <c r="L1481" s="200"/>
      <c r="M1481" s="200"/>
      <c r="N1481" s="200"/>
      <c r="O1481" s="200"/>
      <c r="P1481" s="200"/>
      <c r="Q1481" s="200"/>
      <c r="R1481" s="200"/>
    </row>
    <row r="1482" spans="1:18" s="18" customFormat="1" ht="89.25">
      <c r="A1482" s="82" t="s">
        <v>439</v>
      </c>
      <c r="B1482" s="83">
        <v>793</v>
      </c>
      <c r="C1482" s="153" t="s">
        <v>173</v>
      </c>
      <c r="D1482" s="153" t="s">
        <v>19</v>
      </c>
      <c r="E1482" s="84" t="s">
        <v>525</v>
      </c>
      <c r="F1482" s="84"/>
      <c r="G1482" s="87">
        <f>G1485+G1483</f>
        <v>43120000</v>
      </c>
      <c r="H1482" s="87">
        <f t="shared" ref="H1482:I1482" si="389">H1485+H1483</f>
        <v>0</v>
      </c>
      <c r="I1482" s="87">
        <f t="shared" si="389"/>
        <v>193987877.08000001</v>
      </c>
      <c r="J1482" s="177"/>
      <c r="K1482" s="200"/>
      <c r="L1482" s="200"/>
      <c r="M1482" s="200"/>
      <c r="N1482" s="200"/>
      <c r="O1482" s="200"/>
      <c r="P1482" s="200"/>
      <c r="Q1482" s="200"/>
      <c r="R1482" s="200"/>
    </row>
    <row r="1483" spans="1:18" s="18" customFormat="1" ht="35.25" customHeight="1">
      <c r="A1483" s="82" t="s">
        <v>96</v>
      </c>
      <c r="B1483" s="83">
        <v>793</v>
      </c>
      <c r="C1483" s="153" t="s">
        <v>173</v>
      </c>
      <c r="D1483" s="153" t="s">
        <v>19</v>
      </c>
      <c r="E1483" s="84" t="s">
        <v>525</v>
      </c>
      <c r="F1483" s="84" t="s">
        <v>349</v>
      </c>
      <c r="G1483" s="87">
        <f>G1484</f>
        <v>0</v>
      </c>
      <c r="H1483" s="87">
        <f t="shared" ref="H1483:I1490" si="390">H1484</f>
        <v>0</v>
      </c>
      <c r="I1483" s="87">
        <f t="shared" si="390"/>
        <v>0</v>
      </c>
      <c r="J1483" s="177"/>
      <c r="K1483" s="200"/>
      <c r="L1483" s="200"/>
      <c r="M1483" s="200"/>
      <c r="N1483" s="200"/>
      <c r="O1483" s="200"/>
      <c r="P1483" s="200"/>
      <c r="Q1483" s="200"/>
      <c r="R1483" s="200"/>
    </row>
    <row r="1484" spans="1:18" s="18" customFormat="1" ht="20.25" customHeight="1">
      <c r="A1484" s="133" t="s">
        <v>350</v>
      </c>
      <c r="B1484" s="83">
        <v>793</v>
      </c>
      <c r="C1484" s="153" t="s">
        <v>173</v>
      </c>
      <c r="D1484" s="153" t="s">
        <v>19</v>
      </c>
      <c r="E1484" s="84" t="s">
        <v>525</v>
      </c>
      <c r="F1484" s="84" t="s">
        <v>351</v>
      </c>
      <c r="G1484" s="87"/>
      <c r="H1484" s="87"/>
      <c r="I1484" s="87"/>
      <c r="J1484" s="177"/>
      <c r="K1484" s="200"/>
      <c r="L1484" s="200"/>
      <c r="M1484" s="200"/>
      <c r="N1484" s="200"/>
      <c r="O1484" s="200"/>
      <c r="P1484" s="200"/>
      <c r="Q1484" s="200"/>
      <c r="R1484" s="200"/>
    </row>
    <row r="1485" spans="1:18" s="18" customFormat="1" ht="23.25" customHeight="1">
      <c r="A1485" s="82" t="s">
        <v>63</v>
      </c>
      <c r="B1485" s="83">
        <v>793</v>
      </c>
      <c r="C1485" s="153" t="s">
        <v>173</v>
      </c>
      <c r="D1485" s="153" t="s">
        <v>19</v>
      </c>
      <c r="E1485" s="84" t="s">
        <v>525</v>
      </c>
      <c r="F1485" s="84" t="s">
        <v>64</v>
      </c>
      <c r="G1485" s="87">
        <f>G1486</f>
        <v>43120000</v>
      </c>
      <c r="H1485" s="87">
        <f t="shared" si="390"/>
        <v>0</v>
      </c>
      <c r="I1485" s="87">
        <f t="shared" si="390"/>
        <v>193987877.08000001</v>
      </c>
      <c r="J1485" s="177"/>
      <c r="K1485" s="200"/>
      <c r="L1485" s="200"/>
      <c r="M1485" s="200"/>
      <c r="N1485" s="200"/>
      <c r="O1485" s="200"/>
      <c r="P1485" s="200"/>
      <c r="Q1485" s="200"/>
      <c r="R1485" s="200"/>
    </row>
    <row r="1486" spans="1:18" s="18" customFormat="1" ht="20.25" customHeight="1">
      <c r="A1486" s="133" t="s">
        <v>144</v>
      </c>
      <c r="B1486" s="83">
        <v>793</v>
      </c>
      <c r="C1486" s="153" t="s">
        <v>173</v>
      </c>
      <c r="D1486" s="153" t="s">
        <v>19</v>
      </c>
      <c r="E1486" s="84" t="s">
        <v>525</v>
      </c>
      <c r="F1486" s="84" t="s">
        <v>67</v>
      </c>
      <c r="G1486" s="87">
        <v>43120000</v>
      </c>
      <c r="H1486" s="87">
        <v>0</v>
      </c>
      <c r="I1486" s="87">
        <v>193987877.08000001</v>
      </c>
      <c r="J1486" s="177"/>
      <c r="K1486" s="200"/>
      <c r="L1486" s="200"/>
      <c r="M1486" s="200"/>
      <c r="N1486" s="200"/>
      <c r="O1486" s="200"/>
      <c r="P1486" s="200"/>
      <c r="Q1486" s="200"/>
      <c r="R1486" s="200"/>
    </row>
    <row r="1487" spans="1:18" s="18" customFormat="1" ht="87.75" customHeight="1">
      <c r="A1487" s="82" t="s">
        <v>440</v>
      </c>
      <c r="B1487" s="83">
        <v>793</v>
      </c>
      <c r="C1487" s="153" t="s">
        <v>173</v>
      </c>
      <c r="D1487" s="153" t="s">
        <v>19</v>
      </c>
      <c r="E1487" s="84" t="s">
        <v>526</v>
      </c>
      <c r="F1487" s="84"/>
      <c r="G1487" s="87">
        <f>G1490+G1488</f>
        <v>836000</v>
      </c>
      <c r="H1487" s="87">
        <f t="shared" ref="H1487:I1487" si="391">H1490+H1488</f>
        <v>0</v>
      </c>
      <c r="I1487" s="87">
        <f t="shared" si="391"/>
        <v>3924347.07</v>
      </c>
      <c r="J1487" s="177"/>
      <c r="K1487" s="200"/>
      <c r="L1487" s="200"/>
      <c r="M1487" s="200"/>
      <c r="N1487" s="200"/>
      <c r="O1487" s="200"/>
      <c r="P1487" s="200"/>
      <c r="Q1487" s="200"/>
      <c r="R1487" s="200"/>
    </row>
    <row r="1488" spans="1:18" s="18" customFormat="1" ht="23.25" hidden="1" customHeight="1">
      <c r="A1488" s="82" t="s">
        <v>96</v>
      </c>
      <c r="B1488" s="83">
        <v>793</v>
      </c>
      <c r="C1488" s="153" t="s">
        <v>173</v>
      </c>
      <c r="D1488" s="153" t="s">
        <v>19</v>
      </c>
      <c r="E1488" s="84" t="s">
        <v>526</v>
      </c>
      <c r="F1488" s="84" t="s">
        <v>349</v>
      </c>
      <c r="G1488" s="87">
        <f>G1489</f>
        <v>0</v>
      </c>
      <c r="H1488" s="87">
        <f t="shared" si="390"/>
        <v>0</v>
      </c>
      <c r="I1488" s="87">
        <f t="shared" si="390"/>
        <v>0</v>
      </c>
      <c r="J1488" s="177"/>
      <c r="K1488" s="200"/>
      <c r="L1488" s="200"/>
      <c r="M1488" s="200"/>
      <c r="N1488" s="200"/>
      <c r="O1488" s="200"/>
      <c r="P1488" s="200"/>
      <c r="Q1488" s="200"/>
      <c r="R1488" s="200"/>
    </row>
    <row r="1489" spans="1:18" s="18" customFormat="1" ht="20.25" hidden="1" customHeight="1">
      <c r="A1489" s="133" t="s">
        <v>350</v>
      </c>
      <c r="B1489" s="83">
        <v>793</v>
      </c>
      <c r="C1489" s="153" t="s">
        <v>173</v>
      </c>
      <c r="D1489" s="153" t="s">
        <v>19</v>
      </c>
      <c r="E1489" s="84" t="s">
        <v>526</v>
      </c>
      <c r="F1489" s="84" t="s">
        <v>351</v>
      </c>
      <c r="G1489" s="87"/>
      <c r="H1489" s="87"/>
      <c r="I1489" s="87"/>
      <c r="J1489" s="177"/>
      <c r="K1489" s="200"/>
      <c r="L1489" s="200"/>
      <c r="M1489" s="200"/>
      <c r="N1489" s="200"/>
      <c r="O1489" s="200"/>
      <c r="P1489" s="200"/>
      <c r="Q1489" s="200"/>
      <c r="R1489" s="200"/>
    </row>
    <row r="1490" spans="1:18" s="18" customFormat="1" ht="22.5" customHeight="1">
      <c r="A1490" s="82" t="s">
        <v>63</v>
      </c>
      <c r="B1490" s="83">
        <v>793</v>
      </c>
      <c r="C1490" s="153" t="s">
        <v>173</v>
      </c>
      <c r="D1490" s="153" t="s">
        <v>19</v>
      </c>
      <c r="E1490" s="84" t="s">
        <v>526</v>
      </c>
      <c r="F1490" s="84" t="s">
        <v>64</v>
      </c>
      <c r="G1490" s="87">
        <f>G1491</f>
        <v>836000</v>
      </c>
      <c r="H1490" s="87">
        <f t="shared" si="390"/>
        <v>0</v>
      </c>
      <c r="I1490" s="87">
        <f t="shared" si="390"/>
        <v>3924347.07</v>
      </c>
      <c r="J1490" s="177"/>
      <c r="K1490" s="200"/>
      <c r="L1490" s="200"/>
      <c r="M1490" s="200"/>
      <c r="N1490" s="200"/>
      <c r="O1490" s="200"/>
      <c r="P1490" s="200"/>
      <c r="Q1490" s="200"/>
      <c r="R1490" s="200"/>
    </row>
    <row r="1491" spans="1:18" s="18" customFormat="1" ht="37.5" customHeight="1">
      <c r="A1491" s="133" t="s">
        <v>144</v>
      </c>
      <c r="B1491" s="83">
        <v>793</v>
      </c>
      <c r="C1491" s="153" t="s">
        <v>173</v>
      </c>
      <c r="D1491" s="153" t="s">
        <v>19</v>
      </c>
      <c r="E1491" s="84" t="s">
        <v>526</v>
      </c>
      <c r="F1491" s="84" t="s">
        <v>67</v>
      </c>
      <c r="G1491" s="87">
        <v>836000</v>
      </c>
      <c r="H1491" s="87">
        <v>0</v>
      </c>
      <c r="I1491" s="87">
        <v>3924347.07</v>
      </c>
      <c r="J1491" s="177"/>
      <c r="K1491" s="200"/>
      <c r="L1491" s="200"/>
      <c r="M1491" s="200"/>
      <c r="N1491" s="200"/>
      <c r="O1491" s="200"/>
      <c r="P1491" s="200"/>
      <c r="Q1491" s="200"/>
      <c r="R1491" s="200"/>
    </row>
    <row r="1492" spans="1:18" s="18" customFormat="1" ht="84.75" customHeight="1">
      <c r="A1492" s="82" t="s">
        <v>1009</v>
      </c>
      <c r="B1492" s="83">
        <v>793</v>
      </c>
      <c r="C1492" s="153" t="s">
        <v>173</v>
      </c>
      <c r="D1492" s="153" t="s">
        <v>19</v>
      </c>
      <c r="E1492" s="84" t="s">
        <v>1008</v>
      </c>
      <c r="F1492" s="84"/>
      <c r="G1492" s="87">
        <f>G1493</f>
        <v>40000</v>
      </c>
      <c r="H1492" s="87">
        <f t="shared" ref="H1492:I1492" si="392">H1493</f>
        <v>0</v>
      </c>
      <c r="I1492" s="87">
        <f t="shared" si="392"/>
        <v>0</v>
      </c>
      <c r="J1492" s="177"/>
      <c r="K1492" s="200"/>
      <c r="L1492" s="200"/>
      <c r="M1492" s="200"/>
      <c r="N1492" s="200"/>
      <c r="O1492" s="200"/>
      <c r="P1492" s="200"/>
      <c r="Q1492" s="200"/>
      <c r="R1492" s="200"/>
    </row>
    <row r="1493" spans="1:18" s="18" customFormat="1" ht="22.5" customHeight="1">
      <c r="A1493" s="82" t="s">
        <v>63</v>
      </c>
      <c r="B1493" s="83">
        <v>793</v>
      </c>
      <c r="C1493" s="153" t="s">
        <v>173</v>
      </c>
      <c r="D1493" s="153" t="s">
        <v>19</v>
      </c>
      <c r="E1493" s="84" t="s">
        <v>1008</v>
      </c>
      <c r="F1493" s="84" t="s">
        <v>64</v>
      </c>
      <c r="G1493" s="87">
        <f>G1494</f>
        <v>40000</v>
      </c>
      <c r="H1493" s="87">
        <f t="shared" ref="H1493:I1493" si="393">H1494</f>
        <v>0</v>
      </c>
      <c r="I1493" s="87">
        <f t="shared" si="393"/>
        <v>0</v>
      </c>
      <c r="J1493" s="177"/>
      <c r="K1493" s="200"/>
      <c r="L1493" s="200"/>
      <c r="M1493" s="200"/>
      <c r="N1493" s="200"/>
      <c r="O1493" s="200"/>
      <c r="P1493" s="200"/>
      <c r="Q1493" s="200"/>
      <c r="R1493" s="200"/>
    </row>
    <row r="1494" spans="1:18" s="18" customFormat="1" ht="37.5" customHeight="1">
      <c r="A1494" s="133" t="s">
        <v>144</v>
      </c>
      <c r="B1494" s="83">
        <v>793</v>
      </c>
      <c r="C1494" s="153" t="s">
        <v>173</v>
      </c>
      <c r="D1494" s="153" t="s">
        <v>19</v>
      </c>
      <c r="E1494" s="84" t="s">
        <v>1008</v>
      </c>
      <c r="F1494" s="84" t="s">
        <v>67</v>
      </c>
      <c r="G1494" s="87">
        <v>40000</v>
      </c>
      <c r="H1494" s="87">
        <v>0</v>
      </c>
      <c r="I1494" s="87">
        <v>0</v>
      </c>
      <c r="J1494" s="177"/>
      <c r="K1494" s="200"/>
      <c r="L1494" s="200"/>
      <c r="M1494" s="200"/>
      <c r="N1494" s="200"/>
      <c r="O1494" s="200"/>
      <c r="P1494" s="200"/>
      <c r="Q1494" s="200"/>
      <c r="R1494" s="200"/>
    </row>
    <row r="1495" spans="1:18" ht="16.5" customHeight="1">
      <c r="A1495" s="135" t="s">
        <v>175</v>
      </c>
      <c r="B1495" s="83">
        <v>793</v>
      </c>
      <c r="C1495" s="84" t="s">
        <v>173</v>
      </c>
      <c r="D1495" s="84" t="s">
        <v>28</v>
      </c>
      <c r="E1495" s="84"/>
      <c r="F1495" s="84"/>
      <c r="G1495" s="87">
        <f>G1496+G1547</f>
        <v>22471924.789999999</v>
      </c>
      <c r="H1495" s="87">
        <f t="shared" ref="H1495:I1495" si="394">H1496</f>
        <v>6900000</v>
      </c>
      <c r="I1495" s="87">
        <f t="shared" si="394"/>
        <v>3400000</v>
      </c>
      <c r="J1495" s="177"/>
    </row>
    <row r="1496" spans="1:18" s="3" customFormat="1" ht="52.5" customHeight="1">
      <c r="A1496" s="82" t="s">
        <v>495</v>
      </c>
      <c r="B1496" s="83">
        <v>793</v>
      </c>
      <c r="C1496" s="84" t="s">
        <v>173</v>
      </c>
      <c r="D1496" s="84" t="s">
        <v>28</v>
      </c>
      <c r="E1496" s="84" t="s">
        <v>296</v>
      </c>
      <c r="F1496" s="84"/>
      <c r="G1496" s="87">
        <f>G1499+G1539+G1541+G1514+G1511+G1508+G1544</f>
        <v>17058944.789999999</v>
      </c>
      <c r="H1496" s="87">
        <f>H1499+H1539+H1541+H1514</f>
        <v>6900000</v>
      </c>
      <c r="I1496" s="87">
        <f>I1499+I1539+I1541+I1514</f>
        <v>3400000</v>
      </c>
      <c r="J1496" s="177"/>
      <c r="K1496" s="199"/>
      <c r="L1496" s="199"/>
      <c r="M1496" s="199"/>
      <c r="N1496" s="199"/>
      <c r="O1496" s="199"/>
      <c r="P1496" s="199"/>
      <c r="Q1496" s="199"/>
      <c r="R1496" s="199"/>
    </row>
    <row r="1497" spans="1:18">
      <c r="A1497" s="82" t="s">
        <v>757</v>
      </c>
      <c r="B1497" s="83">
        <v>793</v>
      </c>
      <c r="C1497" s="84" t="s">
        <v>173</v>
      </c>
      <c r="D1497" s="84" t="s">
        <v>28</v>
      </c>
      <c r="E1497" s="84" t="s">
        <v>297</v>
      </c>
      <c r="F1497" s="84"/>
      <c r="G1497" s="87">
        <f>G1498+G1500</f>
        <v>7203189.1500000004</v>
      </c>
      <c r="H1497" s="87">
        <f t="shared" ref="G1497:I1512" si="395">H1498</f>
        <v>4900000</v>
      </c>
      <c r="I1497" s="87">
        <f t="shared" si="395"/>
        <v>2200000</v>
      </c>
      <c r="J1497" s="177"/>
    </row>
    <row r="1498" spans="1:18" ht="25.5">
      <c r="A1498" s="82" t="s">
        <v>36</v>
      </c>
      <c r="B1498" s="83">
        <v>793</v>
      </c>
      <c r="C1498" s="84" t="s">
        <v>173</v>
      </c>
      <c r="D1498" s="84" t="s">
        <v>28</v>
      </c>
      <c r="E1498" s="84" t="s">
        <v>297</v>
      </c>
      <c r="F1498" s="84" t="s">
        <v>37</v>
      </c>
      <c r="G1498" s="87">
        <f t="shared" si="395"/>
        <v>7203189.1500000004</v>
      </c>
      <c r="H1498" s="87">
        <f t="shared" si="395"/>
        <v>4900000</v>
      </c>
      <c r="I1498" s="87">
        <f t="shared" si="395"/>
        <v>2200000</v>
      </c>
      <c r="J1498" s="177"/>
    </row>
    <row r="1499" spans="1:18" ht="25.5">
      <c r="A1499" s="82" t="s">
        <v>38</v>
      </c>
      <c r="B1499" s="83">
        <v>793</v>
      </c>
      <c r="C1499" s="84" t="s">
        <v>173</v>
      </c>
      <c r="D1499" s="84" t="s">
        <v>28</v>
      </c>
      <c r="E1499" s="84" t="s">
        <v>297</v>
      </c>
      <c r="F1499" s="84" t="s">
        <v>39</v>
      </c>
      <c r="G1499" s="87">
        <f>2200000-656946.05+3000000-1700000+4380135.2-20000</f>
        <v>7203189.1500000004</v>
      </c>
      <c r="H1499" s="87">
        <f>2200000+2700000</f>
        <v>4900000</v>
      </c>
      <c r="I1499" s="87">
        <v>2200000</v>
      </c>
      <c r="J1499" s="177"/>
    </row>
    <row r="1500" spans="1:18" hidden="1">
      <c r="A1500" s="82" t="s">
        <v>63</v>
      </c>
      <c r="B1500" s="83">
        <v>793</v>
      </c>
      <c r="C1500" s="84" t="s">
        <v>173</v>
      </c>
      <c r="D1500" s="84" t="s">
        <v>28</v>
      </c>
      <c r="E1500" s="84" t="s">
        <v>297</v>
      </c>
      <c r="F1500" s="84" t="s">
        <v>64</v>
      </c>
      <c r="G1500" s="87">
        <f>G1501</f>
        <v>0</v>
      </c>
      <c r="H1500" s="87"/>
      <c r="I1500" s="87"/>
      <c r="J1500" s="177"/>
    </row>
    <row r="1501" spans="1:18" hidden="1">
      <c r="A1501" s="82" t="s">
        <v>180</v>
      </c>
      <c r="B1501" s="83">
        <v>793</v>
      </c>
      <c r="C1501" s="84" t="s">
        <v>173</v>
      </c>
      <c r="D1501" s="84" t="s">
        <v>28</v>
      </c>
      <c r="E1501" s="84" t="s">
        <v>297</v>
      </c>
      <c r="F1501" s="84" t="s">
        <v>181</v>
      </c>
      <c r="G1501" s="87">
        <v>0</v>
      </c>
      <c r="H1501" s="87"/>
      <c r="I1501" s="87"/>
      <c r="J1501" s="177"/>
    </row>
    <row r="1502" spans="1:18" hidden="1">
      <c r="A1502" s="82" t="s">
        <v>701</v>
      </c>
      <c r="B1502" s="83">
        <v>793</v>
      </c>
      <c r="C1502" s="84" t="s">
        <v>173</v>
      </c>
      <c r="D1502" s="84" t="s">
        <v>28</v>
      </c>
      <c r="E1502" s="84" t="s">
        <v>700</v>
      </c>
      <c r="F1502" s="84"/>
      <c r="G1502" s="87">
        <f t="shared" si="395"/>
        <v>0</v>
      </c>
      <c r="H1502" s="87">
        <f t="shared" si="395"/>
        <v>0</v>
      </c>
      <c r="I1502" s="87">
        <f t="shared" si="395"/>
        <v>0</v>
      </c>
      <c r="J1502" s="177"/>
    </row>
    <row r="1503" spans="1:18" ht="25.5" hidden="1">
      <c r="A1503" s="82" t="s">
        <v>36</v>
      </c>
      <c r="B1503" s="83">
        <v>793</v>
      </c>
      <c r="C1503" s="84" t="s">
        <v>173</v>
      </c>
      <c r="D1503" s="84" t="s">
        <v>28</v>
      </c>
      <c r="E1503" s="84" t="s">
        <v>700</v>
      </c>
      <c r="F1503" s="84" t="s">
        <v>37</v>
      </c>
      <c r="G1503" s="87">
        <f t="shared" si="395"/>
        <v>0</v>
      </c>
      <c r="H1503" s="87">
        <f t="shared" si="395"/>
        <v>0</v>
      </c>
      <c r="I1503" s="87">
        <f t="shared" si="395"/>
        <v>0</v>
      </c>
      <c r="J1503" s="177"/>
    </row>
    <row r="1504" spans="1:18" ht="25.5" hidden="1">
      <c r="A1504" s="82" t="s">
        <v>38</v>
      </c>
      <c r="B1504" s="83">
        <v>793</v>
      </c>
      <c r="C1504" s="84" t="s">
        <v>173</v>
      </c>
      <c r="D1504" s="84" t="s">
        <v>28</v>
      </c>
      <c r="E1504" s="84" t="s">
        <v>700</v>
      </c>
      <c r="F1504" s="84" t="s">
        <v>39</v>
      </c>
      <c r="G1504" s="87"/>
      <c r="H1504" s="87">
        <v>0</v>
      </c>
      <c r="I1504" s="87">
        <v>0</v>
      </c>
      <c r="J1504" s="177"/>
    </row>
    <row r="1505" spans="1:18" hidden="1">
      <c r="A1505" s="82" t="s">
        <v>748</v>
      </c>
      <c r="B1505" s="83">
        <v>793</v>
      </c>
      <c r="C1505" s="84" t="s">
        <v>173</v>
      </c>
      <c r="D1505" s="84" t="s">
        <v>28</v>
      </c>
      <c r="E1505" s="84" t="s">
        <v>747</v>
      </c>
      <c r="F1505" s="84"/>
      <c r="G1505" s="87">
        <f t="shared" si="395"/>
        <v>0</v>
      </c>
      <c r="H1505" s="87">
        <f t="shared" si="395"/>
        <v>0</v>
      </c>
      <c r="I1505" s="87">
        <f t="shared" si="395"/>
        <v>0</v>
      </c>
      <c r="J1505" s="177"/>
    </row>
    <row r="1506" spans="1:18" ht="25.5" hidden="1">
      <c r="A1506" s="82" t="s">
        <v>36</v>
      </c>
      <c r="B1506" s="83">
        <v>793</v>
      </c>
      <c r="C1506" s="84" t="s">
        <v>173</v>
      </c>
      <c r="D1506" s="84" t="s">
        <v>28</v>
      </c>
      <c r="E1506" s="84" t="s">
        <v>747</v>
      </c>
      <c r="F1506" s="84" t="s">
        <v>37</v>
      </c>
      <c r="G1506" s="87">
        <f t="shared" si="395"/>
        <v>0</v>
      </c>
      <c r="H1506" s="87">
        <f t="shared" si="395"/>
        <v>0</v>
      </c>
      <c r="I1506" s="87">
        <f t="shared" si="395"/>
        <v>0</v>
      </c>
      <c r="J1506" s="177"/>
    </row>
    <row r="1507" spans="1:18" ht="25.5" hidden="1">
      <c r="A1507" s="82" t="s">
        <v>38</v>
      </c>
      <c r="B1507" s="83">
        <v>793</v>
      </c>
      <c r="C1507" s="84" t="s">
        <v>173</v>
      </c>
      <c r="D1507" s="84" t="s">
        <v>28</v>
      </c>
      <c r="E1507" s="84" t="s">
        <v>747</v>
      </c>
      <c r="F1507" s="84" t="s">
        <v>39</v>
      </c>
      <c r="G1507" s="87"/>
      <c r="H1507" s="87"/>
      <c r="I1507" s="87"/>
      <c r="J1507" s="177"/>
    </row>
    <row r="1508" spans="1:18" ht="25.5">
      <c r="A1508" s="82" t="s">
        <v>1074</v>
      </c>
      <c r="B1508" s="83">
        <v>793</v>
      </c>
      <c r="C1508" s="84" t="s">
        <v>173</v>
      </c>
      <c r="D1508" s="84" t="s">
        <v>28</v>
      </c>
      <c r="E1508" s="84" t="s">
        <v>1077</v>
      </c>
      <c r="F1508" s="84"/>
      <c r="G1508" s="87">
        <f>G1509</f>
        <v>20000</v>
      </c>
      <c r="H1508" s="87">
        <f t="shared" si="395"/>
        <v>0</v>
      </c>
      <c r="I1508" s="87">
        <f t="shared" si="395"/>
        <v>0</v>
      </c>
      <c r="J1508" s="177"/>
    </row>
    <row r="1509" spans="1:18" ht="25.5">
      <c r="A1509" s="82" t="s">
        <v>36</v>
      </c>
      <c r="B1509" s="83">
        <v>793</v>
      </c>
      <c r="C1509" s="84" t="s">
        <v>173</v>
      </c>
      <c r="D1509" s="84" t="s">
        <v>28</v>
      </c>
      <c r="E1509" s="84" t="s">
        <v>1077</v>
      </c>
      <c r="F1509" s="84" t="s">
        <v>349</v>
      </c>
      <c r="G1509" s="87">
        <f t="shared" si="395"/>
        <v>20000</v>
      </c>
      <c r="H1509" s="87">
        <f t="shared" si="395"/>
        <v>0</v>
      </c>
      <c r="I1509" s="87">
        <f t="shared" si="395"/>
        <v>0</v>
      </c>
      <c r="J1509" s="177"/>
    </row>
    <row r="1510" spans="1:18" ht="25.5">
      <c r="A1510" s="82" t="s">
        <v>38</v>
      </c>
      <c r="B1510" s="83">
        <v>793</v>
      </c>
      <c r="C1510" s="84" t="s">
        <v>173</v>
      </c>
      <c r="D1510" s="84" t="s">
        <v>28</v>
      </c>
      <c r="E1510" s="84" t="s">
        <v>1077</v>
      </c>
      <c r="F1510" s="84" t="s">
        <v>351</v>
      </c>
      <c r="G1510" s="87">
        <v>20000</v>
      </c>
      <c r="H1510" s="87">
        <v>0</v>
      </c>
      <c r="I1510" s="87">
        <v>0</v>
      </c>
      <c r="J1510" s="177"/>
    </row>
    <row r="1511" spans="1:18" ht="25.5">
      <c r="A1511" s="82" t="s">
        <v>1011</v>
      </c>
      <c r="B1511" s="83">
        <v>793</v>
      </c>
      <c r="C1511" s="84" t="s">
        <v>173</v>
      </c>
      <c r="D1511" s="84" t="s">
        <v>28</v>
      </c>
      <c r="E1511" s="84" t="s">
        <v>1010</v>
      </c>
      <c r="F1511" s="84"/>
      <c r="G1511" s="87">
        <f>G1512</f>
        <v>656946.05000000005</v>
      </c>
      <c r="H1511" s="87">
        <f t="shared" si="395"/>
        <v>0</v>
      </c>
      <c r="I1511" s="87">
        <f t="shared" si="395"/>
        <v>0</v>
      </c>
      <c r="J1511" s="177"/>
    </row>
    <row r="1512" spans="1:18" ht="25.5">
      <c r="A1512" s="82" t="s">
        <v>96</v>
      </c>
      <c r="B1512" s="83">
        <v>793</v>
      </c>
      <c r="C1512" s="84" t="s">
        <v>173</v>
      </c>
      <c r="D1512" s="84" t="s">
        <v>28</v>
      </c>
      <c r="E1512" s="84" t="s">
        <v>1010</v>
      </c>
      <c r="F1512" s="84" t="s">
        <v>349</v>
      </c>
      <c r="G1512" s="87">
        <f t="shared" si="395"/>
        <v>656946.05000000005</v>
      </c>
      <c r="H1512" s="87">
        <f t="shared" si="395"/>
        <v>0</v>
      </c>
      <c r="I1512" s="87">
        <f t="shared" si="395"/>
        <v>0</v>
      </c>
      <c r="J1512" s="177"/>
    </row>
    <row r="1513" spans="1:18">
      <c r="A1513" s="82" t="s">
        <v>350</v>
      </c>
      <c r="B1513" s="83">
        <v>793</v>
      </c>
      <c r="C1513" s="84" t="s">
        <v>173</v>
      </c>
      <c r="D1513" s="84" t="s">
        <v>28</v>
      </c>
      <c r="E1513" s="84" t="s">
        <v>1010</v>
      </c>
      <c r="F1513" s="84" t="s">
        <v>351</v>
      </c>
      <c r="G1513" s="87">
        <v>656946.05000000005</v>
      </c>
      <c r="H1513" s="87"/>
      <c r="I1513" s="87"/>
      <c r="J1513" s="177"/>
    </row>
    <row r="1514" spans="1:18" s="3" customFormat="1" ht="67.5" customHeight="1">
      <c r="A1514" s="82" t="s">
        <v>321</v>
      </c>
      <c r="B1514" s="83">
        <v>793</v>
      </c>
      <c r="C1514" s="84" t="s">
        <v>173</v>
      </c>
      <c r="D1514" s="84" t="s">
        <v>28</v>
      </c>
      <c r="E1514" s="84" t="s">
        <v>322</v>
      </c>
      <c r="F1514" s="84"/>
      <c r="G1514" s="87">
        <f>G1518+G1516</f>
        <v>776719</v>
      </c>
      <c r="H1514" s="87">
        <f>H1518+H1516</f>
        <v>700000</v>
      </c>
      <c r="I1514" s="87">
        <f>I1518+I1516</f>
        <v>700000</v>
      </c>
      <c r="J1514" s="177"/>
      <c r="K1514" s="199"/>
      <c r="L1514" s="199"/>
      <c r="M1514" s="199"/>
      <c r="N1514" s="199"/>
      <c r="O1514" s="199"/>
      <c r="P1514" s="199"/>
      <c r="Q1514" s="199"/>
      <c r="R1514" s="199"/>
    </row>
    <row r="1515" spans="1:18" ht="25.5">
      <c r="A1515" s="82" t="s">
        <v>36</v>
      </c>
      <c r="B1515" s="83">
        <v>793</v>
      </c>
      <c r="C1515" s="84" t="s">
        <v>173</v>
      </c>
      <c r="D1515" s="84" t="s">
        <v>28</v>
      </c>
      <c r="E1515" s="84" t="s">
        <v>322</v>
      </c>
      <c r="F1515" s="84" t="s">
        <v>37</v>
      </c>
      <c r="G1515" s="87">
        <f>G1516</f>
        <v>0</v>
      </c>
      <c r="H1515" s="87">
        <f>H1516</f>
        <v>700000</v>
      </c>
      <c r="I1515" s="87">
        <f>I1516</f>
        <v>700000</v>
      </c>
      <c r="J1515" s="177"/>
    </row>
    <row r="1516" spans="1:18" ht="25.5">
      <c r="A1516" s="82" t="s">
        <v>38</v>
      </c>
      <c r="B1516" s="83">
        <v>793</v>
      </c>
      <c r="C1516" s="84" t="s">
        <v>173</v>
      </c>
      <c r="D1516" s="84" t="s">
        <v>28</v>
      </c>
      <c r="E1516" s="84" t="s">
        <v>322</v>
      </c>
      <c r="F1516" s="84" t="s">
        <v>39</v>
      </c>
      <c r="G1516" s="87">
        <v>0</v>
      </c>
      <c r="H1516" s="87">
        <v>700000</v>
      </c>
      <c r="I1516" s="87">
        <v>700000</v>
      </c>
      <c r="J1516" s="177"/>
    </row>
    <row r="1517" spans="1:18">
      <c r="A1517" s="82" t="s">
        <v>156</v>
      </c>
      <c r="B1517" s="83">
        <v>793</v>
      </c>
      <c r="C1517" s="84" t="s">
        <v>173</v>
      </c>
      <c r="D1517" s="84" t="s">
        <v>28</v>
      </c>
      <c r="E1517" s="84" t="s">
        <v>322</v>
      </c>
      <c r="F1517" s="84" t="s">
        <v>157</v>
      </c>
      <c r="G1517" s="87">
        <f>G1518</f>
        <v>776719</v>
      </c>
      <c r="H1517" s="87">
        <f>H1518</f>
        <v>0</v>
      </c>
      <c r="I1517" s="87">
        <f>I1518</f>
        <v>0</v>
      </c>
      <c r="J1517" s="177"/>
    </row>
    <row r="1518" spans="1:18">
      <c r="A1518" s="82" t="s">
        <v>178</v>
      </c>
      <c r="B1518" s="83">
        <v>793</v>
      </c>
      <c r="C1518" s="84" t="s">
        <v>173</v>
      </c>
      <c r="D1518" s="84" t="s">
        <v>28</v>
      </c>
      <c r="E1518" s="84" t="s">
        <v>322</v>
      </c>
      <c r="F1518" s="84" t="s">
        <v>179</v>
      </c>
      <c r="G1518" s="87">
        <f>700000+76719</f>
        <v>776719</v>
      </c>
      <c r="H1518" s="87">
        <v>0</v>
      </c>
      <c r="I1518" s="87">
        <v>0</v>
      </c>
      <c r="J1518" s="177"/>
    </row>
    <row r="1519" spans="1:18" ht="44.25" hidden="1" customHeight="1">
      <c r="A1519" s="82" t="s">
        <v>814</v>
      </c>
      <c r="B1519" s="83">
        <v>793</v>
      </c>
      <c r="C1519" s="84" t="s">
        <v>173</v>
      </c>
      <c r="D1519" s="84" t="s">
        <v>28</v>
      </c>
      <c r="E1519" s="84" t="s">
        <v>813</v>
      </c>
      <c r="F1519" s="84"/>
      <c r="G1519" s="87">
        <f t="shared" ref="G1519:I1529" si="396">G1520</f>
        <v>0</v>
      </c>
      <c r="H1519" s="87">
        <f t="shared" si="396"/>
        <v>0</v>
      </c>
      <c r="I1519" s="87">
        <f t="shared" si="396"/>
        <v>0</v>
      </c>
      <c r="J1519" s="177"/>
    </row>
    <row r="1520" spans="1:18" ht="34.5" hidden="1" customHeight="1">
      <c r="A1520" s="82" t="s">
        <v>36</v>
      </c>
      <c r="B1520" s="83">
        <v>793</v>
      </c>
      <c r="C1520" s="84" t="s">
        <v>173</v>
      </c>
      <c r="D1520" s="84" t="s">
        <v>28</v>
      </c>
      <c r="E1520" s="84" t="s">
        <v>813</v>
      </c>
      <c r="F1520" s="84" t="s">
        <v>349</v>
      </c>
      <c r="G1520" s="87">
        <f t="shared" si="396"/>
        <v>0</v>
      </c>
      <c r="H1520" s="87">
        <f t="shared" si="396"/>
        <v>0</v>
      </c>
      <c r="I1520" s="87">
        <f t="shared" si="396"/>
        <v>0</v>
      </c>
      <c r="J1520" s="177"/>
    </row>
    <row r="1521" spans="1:18" ht="34.5" hidden="1" customHeight="1">
      <c r="A1521" s="82" t="s">
        <v>38</v>
      </c>
      <c r="B1521" s="83">
        <v>793</v>
      </c>
      <c r="C1521" s="84" t="s">
        <v>173</v>
      </c>
      <c r="D1521" s="84" t="s">
        <v>28</v>
      </c>
      <c r="E1521" s="84" t="s">
        <v>813</v>
      </c>
      <c r="F1521" s="84" t="s">
        <v>351</v>
      </c>
      <c r="G1521" s="87"/>
      <c r="H1521" s="87"/>
      <c r="I1521" s="87"/>
      <c r="J1521" s="177"/>
    </row>
    <row r="1522" spans="1:18" ht="44.25" hidden="1" customHeight="1">
      <c r="A1522" s="82" t="s">
        <v>816</v>
      </c>
      <c r="B1522" s="83">
        <v>793</v>
      </c>
      <c r="C1522" s="84" t="s">
        <v>173</v>
      </c>
      <c r="D1522" s="84" t="s">
        <v>28</v>
      </c>
      <c r="E1522" s="84" t="s">
        <v>815</v>
      </c>
      <c r="F1522" s="84"/>
      <c r="G1522" s="87">
        <f t="shared" si="396"/>
        <v>0</v>
      </c>
      <c r="H1522" s="87">
        <f t="shared" si="396"/>
        <v>0</v>
      </c>
      <c r="I1522" s="87">
        <f t="shared" si="396"/>
        <v>0</v>
      </c>
      <c r="J1522" s="177"/>
    </row>
    <row r="1523" spans="1:18" ht="34.5" hidden="1" customHeight="1">
      <c r="A1523" s="82" t="s">
        <v>36</v>
      </c>
      <c r="B1523" s="83">
        <v>793</v>
      </c>
      <c r="C1523" s="84" t="s">
        <v>173</v>
      </c>
      <c r="D1523" s="84" t="s">
        <v>28</v>
      </c>
      <c r="E1523" s="84" t="s">
        <v>815</v>
      </c>
      <c r="F1523" s="84" t="s">
        <v>349</v>
      </c>
      <c r="G1523" s="87">
        <f t="shared" si="396"/>
        <v>0</v>
      </c>
      <c r="H1523" s="87">
        <f t="shared" si="396"/>
        <v>0</v>
      </c>
      <c r="I1523" s="87">
        <f t="shared" si="396"/>
        <v>0</v>
      </c>
      <c r="J1523" s="177"/>
    </row>
    <row r="1524" spans="1:18" ht="34.5" hidden="1" customHeight="1">
      <c r="A1524" s="82" t="s">
        <v>38</v>
      </c>
      <c r="B1524" s="83">
        <v>793</v>
      </c>
      <c r="C1524" s="84" t="s">
        <v>173</v>
      </c>
      <c r="D1524" s="84" t="s">
        <v>28</v>
      </c>
      <c r="E1524" s="84" t="s">
        <v>815</v>
      </c>
      <c r="F1524" s="84" t="s">
        <v>351</v>
      </c>
      <c r="G1524" s="87"/>
      <c r="H1524" s="87"/>
      <c r="I1524" s="87"/>
      <c r="J1524" s="177"/>
    </row>
    <row r="1525" spans="1:18" ht="44.25" hidden="1" customHeight="1">
      <c r="A1525" s="82" t="s">
        <v>818</v>
      </c>
      <c r="B1525" s="83">
        <v>793</v>
      </c>
      <c r="C1525" s="84" t="s">
        <v>173</v>
      </c>
      <c r="D1525" s="84" t="s">
        <v>28</v>
      </c>
      <c r="E1525" s="84" t="s">
        <v>817</v>
      </c>
      <c r="F1525" s="84"/>
      <c r="G1525" s="87">
        <f t="shared" si="396"/>
        <v>0</v>
      </c>
      <c r="H1525" s="87">
        <f t="shared" si="396"/>
        <v>0</v>
      </c>
      <c r="I1525" s="87">
        <f t="shared" si="396"/>
        <v>0</v>
      </c>
      <c r="J1525" s="177"/>
    </row>
    <row r="1526" spans="1:18" ht="34.5" hidden="1" customHeight="1">
      <c r="A1526" s="82" t="s">
        <v>36</v>
      </c>
      <c r="B1526" s="83">
        <v>793</v>
      </c>
      <c r="C1526" s="84" t="s">
        <v>173</v>
      </c>
      <c r="D1526" s="84" t="s">
        <v>28</v>
      </c>
      <c r="E1526" s="84" t="s">
        <v>817</v>
      </c>
      <c r="F1526" s="84" t="s">
        <v>349</v>
      </c>
      <c r="G1526" s="87">
        <f t="shared" si="396"/>
        <v>0</v>
      </c>
      <c r="H1526" s="87">
        <f t="shared" si="396"/>
        <v>0</v>
      </c>
      <c r="I1526" s="87">
        <f t="shared" si="396"/>
        <v>0</v>
      </c>
      <c r="J1526" s="177"/>
    </row>
    <row r="1527" spans="1:18" ht="34.5" hidden="1" customHeight="1">
      <c r="A1527" s="82" t="s">
        <v>38</v>
      </c>
      <c r="B1527" s="83">
        <v>793</v>
      </c>
      <c r="C1527" s="84" t="s">
        <v>173</v>
      </c>
      <c r="D1527" s="84" t="s">
        <v>28</v>
      </c>
      <c r="E1527" s="84" t="s">
        <v>817</v>
      </c>
      <c r="F1527" s="84" t="s">
        <v>351</v>
      </c>
      <c r="G1527" s="87"/>
      <c r="H1527" s="87"/>
      <c r="I1527" s="87"/>
      <c r="J1527" s="177"/>
    </row>
    <row r="1528" spans="1:18" ht="57" hidden="1" customHeight="1">
      <c r="A1528" s="82" t="s">
        <v>820</v>
      </c>
      <c r="B1528" s="83">
        <v>793</v>
      </c>
      <c r="C1528" s="84" t="s">
        <v>173</v>
      </c>
      <c r="D1528" s="84" t="s">
        <v>28</v>
      </c>
      <c r="E1528" s="84" t="s">
        <v>819</v>
      </c>
      <c r="F1528" s="84"/>
      <c r="G1528" s="87">
        <f t="shared" si="396"/>
        <v>0</v>
      </c>
      <c r="H1528" s="87">
        <f t="shared" si="396"/>
        <v>0</v>
      </c>
      <c r="I1528" s="87">
        <f t="shared" si="396"/>
        <v>0</v>
      </c>
      <c r="J1528" s="177"/>
    </row>
    <row r="1529" spans="1:18" ht="34.5" hidden="1" customHeight="1">
      <c r="A1529" s="82" t="s">
        <v>36</v>
      </c>
      <c r="B1529" s="83">
        <v>793</v>
      </c>
      <c r="C1529" s="84" t="s">
        <v>173</v>
      </c>
      <c r="D1529" s="84" t="s">
        <v>28</v>
      </c>
      <c r="E1529" s="84" t="s">
        <v>819</v>
      </c>
      <c r="F1529" s="84" t="s">
        <v>349</v>
      </c>
      <c r="G1529" s="87">
        <f t="shared" si="396"/>
        <v>0</v>
      </c>
      <c r="H1529" s="87">
        <f t="shared" si="396"/>
        <v>0</v>
      </c>
      <c r="I1529" s="87">
        <f t="shared" si="396"/>
        <v>0</v>
      </c>
      <c r="J1529" s="177"/>
    </row>
    <row r="1530" spans="1:18" ht="34.5" hidden="1" customHeight="1">
      <c r="A1530" s="82" t="s">
        <v>38</v>
      </c>
      <c r="B1530" s="83">
        <v>793</v>
      </c>
      <c r="C1530" s="84" t="s">
        <v>173</v>
      </c>
      <c r="D1530" s="84" t="s">
        <v>28</v>
      </c>
      <c r="E1530" s="84" t="s">
        <v>819</v>
      </c>
      <c r="F1530" s="84" t="s">
        <v>351</v>
      </c>
      <c r="G1530" s="87"/>
      <c r="H1530" s="87"/>
      <c r="I1530" s="87"/>
      <c r="J1530" s="177"/>
    </row>
    <row r="1531" spans="1:18" ht="34.5" hidden="1" customHeight="1">
      <c r="A1531" s="82" t="s">
        <v>510</v>
      </c>
      <c r="B1531" s="83">
        <v>793</v>
      </c>
      <c r="C1531" s="84" t="s">
        <v>173</v>
      </c>
      <c r="D1531" s="84" t="s">
        <v>28</v>
      </c>
      <c r="E1531" s="84" t="s">
        <v>511</v>
      </c>
      <c r="F1531" s="84"/>
      <c r="G1531" s="87">
        <f t="shared" ref="G1531:I1538" si="397">G1532</f>
        <v>0</v>
      </c>
      <c r="H1531" s="87">
        <f t="shared" si="397"/>
        <v>0</v>
      </c>
      <c r="I1531" s="87">
        <f t="shared" si="397"/>
        <v>0</v>
      </c>
      <c r="J1531" s="177"/>
    </row>
    <row r="1532" spans="1:18" ht="34.5" hidden="1" customHeight="1">
      <c r="A1532" s="82" t="s">
        <v>36</v>
      </c>
      <c r="B1532" s="83">
        <v>793</v>
      </c>
      <c r="C1532" s="84" t="s">
        <v>173</v>
      </c>
      <c r="D1532" s="84" t="s">
        <v>28</v>
      </c>
      <c r="E1532" s="84" t="s">
        <v>511</v>
      </c>
      <c r="F1532" s="84" t="s">
        <v>37</v>
      </c>
      <c r="G1532" s="87">
        <f t="shared" si="397"/>
        <v>0</v>
      </c>
      <c r="H1532" s="87">
        <f t="shared" si="397"/>
        <v>0</v>
      </c>
      <c r="I1532" s="87">
        <f t="shared" si="397"/>
        <v>0</v>
      </c>
      <c r="J1532" s="177"/>
    </row>
    <row r="1533" spans="1:18" ht="34.5" hidden="1" customHeight="1">
      <c r="A1533" s="82" t="s">
        <v>38</v>
      </c>
      <c r="B1533" s="83">
        <v>793</v>
      </c>
      <c r="C1533" s="84" t="s">
        <v>173</v>
      </c>
      <c r="D1533" s="84" t="s">
        <v>28</v>
      </c>
      <c r="E1533" s="84" t="s">
        <v>511</v>
      </c>
      <c r="F1533" s="84" t="s">
        <v>39</v>
      </c>
      <c r="G1533" s="87">
        <v>0</v>
      </c>
      <c r="H1533" s="87">
        <f>167220-167220</f>
        <v>0</v>
      </c>
      <c r="I1533" s="87"/>
      <c r="J1533" s="177"/>
    </row>
    <row r="1534" spans="1:18" ht="18" hidden="1" customHeight="1">
      <c r="A1534" s="82" t="s">
        <v>156</v>
      </c>
      <c r="B1534" s="83">
        <v>793</v>
      </c>
      <c r="C1534" s="84" t="s">
        <v>173</v>
      </c>
      <c r="D1534" s="84" t="s">
        <v>28</v>
      </c>
      <c r="E1534" s="84" t="s">
        <v>722</v>
      </c>
      <c r="F1534" s="84" t="s">
        <v>157</v>
      </c>
      <c r="G1534" s="87">
        <f>G1535</f>
        <v>0</v>
      </c>
      <c r="H1534" s="87">
        <f>H1535</f>
        <v>0</v>
      </c>
      <c r="I1534" s="87">
        <f>I1535</f>
        <v>0</v>
      </c>
      <c r="J1534" s="177"/>
    </row>
    <row r="1535" spans="1:18" ht="18" hidden="1" customHeight="1">
      <c r="A1535" s="82" t="s">
        <v>178</v>
      </c>
      <c r="B1535" s="83">
        <v>793</v>
      </c>
      <c r="C1535" s="84" t="s">
        <v>173</v>
      </c>
      <c r="D1535" s="84" t="s">
        <v>28</v>
      </c>
      <c r="E1535" s="84" t="s">
        <v>722</v>
      </c>
      <c r="F1535" s="84" t="s">
        <v>179</v>
      </c>
      <c r="G1535" s="87"/>
      <c r="H1535" s="87">
        <v>0</v>
      </c>
      <c r="I1535" s="87">
        <v>0</v>
      </c>
      <c r="J1535" s="177"/>
    </row>
    <row r="1536" spans="1:18" s="3" customFormat="1" ht="67.5" hidden="1" customHeight="1">
      <c r="A1536" s="82" t="s">
        <v>321</v>
      </c>
      <c r="B1536" s="83">
        <v>793</v>
      </c>
      <c r="C1536" s="84" t="s">
        <v>173</v>
      </c>
      <c r="D1536" s="84" t="s">
        <v>28</v>
      </c>
      <c r="E1536" s="84" t="s">
        <v>322</v>
      </c>
      <c r="F1536" s="84"/>
      <c r="G1536" s="87">
        <f>G1516</f>
        <v>0</v>
      </c>
      <c r="H1536" s="87"/>
      <c r="I1536" s="87"/>
      <c r="J1536" s="177"/>
      <c r="K1536" s="199"/>
      <c r="L1536" s="199"/>
      <c r="M1536" s="199"/>
      <c r="N1536" s="199"/>
      <c r="O1536" s="199"/>
      <c r="P1536" s="199"/>
      <c r="Q1536" s="199"/>
      <c r="R1536" s="199"/>
    </row>
    <row r="1537" spans="1:18" ht="34.5" customHeight="1">
      <c r="A1537" s="82" t="s">
        <v>536</v>
      </c>
      <c r="B1537" s="83">
        <v>793</v>
      </c>
      <c r="C1537" s="84" t="s">
        <v>173</v>
      </c>
      <c r="D1537" s="84" t="s">
        <v>28</v>
      </c>
      <c r="E1537" s="84" t="s">
        <v>535</v>
      </c>
      <c r="F1537" s="84"/>
      <c r="G1537" s="87">
        <f t="shared" si="397"/>
        <v>500000</v>
      </c>
      <c r="H1537" s="87">
        <f t="shared" si="397"/>
        <v>500000</v>
      </c>
      <c r="I1537" s="87">
        <f t="shared" si="397"/>
        <v>500000</v>
      </c>
      <c r="J1537" s="177"/>
    </row>
    <row r="1538" spans="1:18" ht="34.5" customHeight="1">
      <c r="A1538" s="82" t="s">
        <v>36</v>
      </c>
      <c r="B1538" s="83">
        <v>793</v>
      </c>
      <c r="C1538" s="84" t="s">
        <v>173</v>
      </c>
      <c r="D1538" s="84" t="s">
        <v>28</v>
      </c>
      <c r="E1538" s="84" t="s">
        <v>535</v>
      </c>
      <c r="F1538" s="84" t="s">
        <v>37</v>
      </c>
      <c r="G1538" s="87">
        <f t="shared" si="397"/>
        <v>500000</v>
      </c>
      <c r="H1538" s="87">
        <f t="shared" si="397"/>
        <v>500000</v>
      </c>
      <c r="I1538" s="87">
        <f t="shared" si="397"/>
        <v>500000</v>
      </c>
      <c r="J1538" s="177"/>
    </row>
    <row r="1539" spans="1:18" ht="34.5" customHeight="1">
      <c r="A1539" s="82" t="s">
        <v>38</v>
      </c>
      <c r="B1539" s="83">
        <v>793</v>
      </c>
      <c r="C1539" s="84" t="s">
        <v>173</v>
      </c>
      <c r="D1539" s="84" t="s">
        <v>28</v>
      </c>
      <c r="E1539" s="84" t="s">
        <v>535</v>
      </c>
      <c r="F1539" s="84" t="s">
        <v>39</v>
      </c>
      <c r="G1539" s="87">
        <v>500000</v>
      </c>
      <c r="H1539" s="87">
        <v>500000</v>
      </c>
      <c r="I1539" s="87">
        <v>500000</v>
      </c>
      <c r="J1539" s="177"/>
    </row>
    <row r="1540" spans="1:18" s="22" customFormat="1" ht="57" hidden="1" customHeight="1">
      <c r="A1540" s="82"/>
      <c r="B1540" s="83"/>
      <c r="C1540" s="148"/>
      <c r="D1540" s="148"/>
      <c r="E1540" s="148"/>
      <c r="F1540" s="147"/>
      <c r="G1540" s="93"/>
      <c r="H1540" s="93"/>
      <c r="I1540" s="93"/>
      <c r="J1540" s="207"/>
      <c r="K1540" s="207"/>
      <c r="L1540" s="207"/>
      <c r="M1540" s="207"/>
      <c r="N1540" s="207"/>
      <c r="O1540" s="207"/>
      <c r="P1540" s="207"/>
      <c r="Q1540" s="207"/>
      <c r="R1540" s="207"/>
    </row>
    <row r="1541" spans="1:18" ht="34.5" customHeight="1">
      <c r="A1541" s="82" t="s">
        <v>895</v>
      </c>
      <c r="B1541" s="149">
        <v>793</v>
      </c>
      <c r="C1541" s="84" t="s">
        <v>173</v>
      </c>
      <c r="D1541" s="84" t="s">
        <v>28</v>
      </c>
      <c r="E1541" s="84" t="s">
        <v>896</v>
      </c>
      <c r="F1541" s="84"/>
      <c r="G1541" s="87">
        <f t="shared" ref="G1541:I1545" si="398">G1542</f>
        <v>2902090.59</v>
      </c>
      <c r="H1541" s="87">
        <f t="shared" si="398"/>
        <v>800000</v>
      </c>
      <c r="I1541" s="87">
        <f t="shared" si="398"/>
        <v>0</v>
      </c>
      <c r="J1541" s="186"/>
    </row>
    <row r="1542" spans="1:18" ht="34.5" customHeight="1">
      <c r="A1542" s="82" t="s">
        <v>36</v>
      </c>
      <c r="B1542" s="149">
        <v>793</v>
      </c>
      <c r="C1542" s="84" t="s">
        <v>173</v>
      </c>
      <c r="D1542" s="84" t="s">
        <v>28</v>
      </c>
      <c r="E1542" s="84" t="s">
        <v>896</v>
      </c>
      <c r="F1542" s="84" t="s">
        <v>37</v>
      </c>
      <c r="G1542" s="87">
        <f t="shared" si="398"/>
        <v>2902090.59</v>
      </c>
      <c r="H1542" s="87">
        <f t="shared" si="398"/>
        <v>800000</v>
      </c>
      <c r="I1542" s="87">
        <f t="shared" si="398"/>
        <v>0</v>
      </c>
      <c r="J1542" s="186"/>
    </row>
    <row r="1543" spans="1:18" ht="34.5" customHeight="1">
      <c r="A1543" s="82" t="s">
        <v>38</v>
      </c>
      <c r="B1543" s="149">
        <v>793</v>
      </c>
      <c r="C1543" s="84" t="s">
        <v>173</v>
      </c>
      <c r="D1543" s="84" t="s">
        <v>28</v>
      </c>
      <c r="E1543" s="84" t="s">
        <v>896</v>
      </c>
      <c r="F1543" s="84" t="s">
        <v>39</v>
      </c>
      <c r="G1543" s="87">
        <f>1150000+1000000+202090.59+550000</f>
        <v>2902090.59</v>
      </c>
      <c r="H1543" s="87">
        <v>800000</v>
      </c>
      <c r="I1543" s="87">
        <v>0</v>
      </c>
      <c r="J1543" s="186"/>
    </row>
    <row r="1544" spans="1:18" ht="69" customHeight="1">
      <c r="A1544" s="82" t="s">
        <v>1079</v>
      </c>
      <c r="B1544" s="149">
        <v>793</v>
      </c>
      <c r="C1544" s="84" t="s">
        <v>173</v>
      </c>
      <c r="D1544" s="84" t="s">
        <v>28</v>
      </c>
      <c r="E1544" s="84" t="s">
        <v>1076</v>
      </c>
      <c r="F1544" s="84"/>
      <c r="G1544" s="87">
        <f t="shared" si="398"/>
        <v>5000000</v>
      </c>
      <c r="H1544" s="87">
        <f t="shared" si="398"/>
        <v>0</v>
      </c>
      <c r="I1544" s="87">
        <f t="shared" si="398"/>
        <v>0</v>
      </c>
      <c r="J1544" s="186"/>
    </row>
    <row r="1545" spans="1:18" ht="34.5" customHeight="1">
      <c r="A1545" s="82" t="s">
        <v>63</v>
      </c>
      <c r="B1545" s="149">
        <v>793</v>
      </c>
      <c r="C1545" s="84" t="s">
        <v>173</v>
      </c>
      <c r="D1545" s="84" t="s">
        <v>28</v>
      </c>
      <c r="E1545" s="84" t="s">
        <v>1076</v>
      </c>
      <c r="F1545" s="84" t="s">
        <v>64</v>
      </c>
      <c r="G1545" s="87">
        <f t="shared" si="398"/>
        <v>5000000</v>
      </c>
      <c r="H1545" s="87">
        <f t="shared" si="398"/>
        <v>0</v>
      </c>
      <c r="I1545" s="87">
        <f t="shared" si="398"/>
        <v>0</v>
      </c>
      <c r="J1545" s="186"/>
    </row>
    <row r="1546" spans="1:18" ht="34.5" customHeight="1">
      <c r="A1546" s="82" t="s">
        <v>180</v>
      </c>
      <c r="B1546" s="149">
        <v>793</v>
      </c>
      <c r="C1546" s="84" t="s">
        <v>173</v>
      </c>
      <c r="D1546" s="84" t="s">
        <v>28</v>
      </c>
      <c r="E1546" s="84" t="s">
        <v>1076</v>
      </c>
      <c r="F1546" s="84" t="s">
        <v>181</v>
      </c>
      <c r="G1546" s="87">
        <v>5000000</v>
      </c>
      <c r="H1546" s="87">
        <v>0</v>
      </c>
      <c r="I1546" s="87">
        <v>0</v>
      </c>
      <c r="J1546" s="186"/>
    </row>
    <row r="1547" spans="1:18" ht="27.75" customHeight="1">
      <c r="A1547" s="82" t="s">
        <v>273</v>
      </c>
      <c r="B1547" s="83">
        <v>793</v>
      </c>
      <c r="C1547" s="84" t="s">
        <v>173</v>
      </c>
      <c r="D1547" s="84" t="s">
        <v>28</v>
      </c>
      <c r="E1547" s="84" t="s">
        <v>571</v>
      </c>
      <c r="F1547" s="84"/>
      <c r="G1547" s="87">
        <f>G1548</f>
        <v>5412980</v>
      </c>
      <c r="H1547" s="87">
        <f>H1549</f>
        <v>0</v>
      </c>
      <c r="I1547" s="87">
        <f>I1549</f>
        <v>0</v>
      </c>
      <c r="J1547" s="177"/>
    </row>
    <row r="1548" spans="1:18" ht="23.25" customHeight="1">
      <c r="A1548" s="82" t="s">
        <v>273</v>
      </c>
      <c r="B1548" s="83">
        <v>793</v>
      </c>
      <c r="C1548" s="84" t="s">
        <v>173</v>
      </c>
      <c r="D1548" s="84" t="s">
        <v>28</v>
      </c>
      <c r="E1548" s="84" t="s">
        <v>572</v>
      </c>
      <c r="F1548" s="84"/>
      <c r="G1548" s="87">
        <f>G1549</f>
        <v>5412980</v>
      </c>
      <c r="H1548" s="87"/>
      <c r="I1548" s="87"/>
      <c r="J1548" s="177"/>
    </row>
    <row r="1549" spans="1:18" ht="34.5" customHeight="1">
      <c r="A1549" s="82" t="s">
        <v>36</v>
      </c>
      <c r="B1549" s="83">
        <v>793</v>
      </c>
      <c r="C1549" s="84" t="s">
        <v>173</v>
      </c>
      <c r="D1549" s="84" t="s">
        <v>28</v>
      </c>
      <c r="E1549" s="84" t="s">
        <v>572</v>
      </c>
      <c r="F1549" s="84" t="s">
        <v>349</v>
      </c>
      <c r="G1549" s="87">
        <f>G1550</f>
        <v>5412980</v>
      </c>
      <c r="H1549" s="87">
        <f>H1550</f>
        <v>0</v>
      </c>
      <c r="I1549" s="87">
        <f>I1550</f>
        <v>0</v>
      </c>
      <c r="J1549" s="177"/>
    </row>
    <row r="1550" spans="1:18" ht="34.5" customHeight="1">
      <c r="A1550" s="82" t="s">
        <v>38</v>
      </c>
      <c r="B1550" s="83">
        <v>793</v>
      </c>
      <c r="C1550" s="84" t="s">
        <v>173</v>
      </c>
      <c r="D1550" s="84" t="s">
        <v>28</v>
      </c>
      <c r="E1550" s="84" t="s">
        <v>572</v>
      </c>
      <c r="F1550" s="84" t="s">
        <v>351</v>
      </c>
      <c r="G1550" s="87">
        <v>5412980</v>
      </c>
      <c r="H1550" s="87">
        <f>832780-832780</f>
        <v>0</v>
      </c>
      <c r="I1550" s="87">
        <v>0</v>
      </c>
      <c r="J1550" s="177"/>
    </row>
    <row r="1551" spans="1:18" s="46" customFormat="1" ht="17.25" customHeight="1">
      <c r="A1551" s="82" t="s">
        <v>285</v>
      </c>
      <c r="B1551" s="83">
        <v>793</v>
      </c>
      <c r="C1551" s="84" t="s">
        <v>173</v>
      </c>
      <c r="D1551" s="84" t="s">
        <v>70</v>
      </c>
      <c r="E1551" s="84"/>
      <c r="F1551" s="84"/>
      <c r="G1551" s="87">
        <f>G1554+G1578</f>
        <v>1464607</v>
      </c>
      <c r="H1551" s="87">
        <f t="shared" ref="H1551:I1551" si="399">H1554</f>
        <v>884703.07000000007</v>
      </c>
      <c r="I1551" s="87">
        <f t="shared" si="399"/>
        <v>884800.1</v>
      </c>
      <c r="J1551" s="177"/>
      <c r="K1551" s="222"/>
      <c r="L1551" s="222"/>
      <c r="M1551" s="222"/>
      <c r="N1551" s="222"/>
      <c r="O1551" s="222"/>
      <c r="P1551" s="222"/>
      <c r="Q1551" s="222"/>
      <c r="R1551" s="222"/>
    </row>
    <row r="1552" spans="1:18" s="46" customFormat="1" ht="17.25" hidden="1" customHeight="1">
      <c r="A1552" s="82"/>
      <c r="B1552" s="83"/>
      <c r="C1552" s="84"/>
      <c r="D1552" s="84"/>
      <c r="E1552" s="84"/>
      <c r="F1552" s="84"/>
      <c r="G1552" s="87"/>
      <c r="H1552" s="87"/>
      <c r="I1552" s="87"/>
      <c r="J1552" s="177"/>
      <c r="K1552" s="222"/>
      <c r="L1552" s="222"/>
      <c r="M1552" s="222"/>
      <c r="N1552" s="222"/>
      <c r="O1552" s="222"/>
      <c r="P1552" s="222"/>
      <c r="Q1552" s="222"/>
      <c r="R1552" s="222"/>
    </row>
    <row r="1553" spans="1:18" s="46" customFormat="1" ht="17.25" hidden="1" customHeight="1">
      <c r="A1553" s="82"/>
      <c r="B1553" s="83"/>
      <c r="C1553" s="84"/>
      <c r="D1553" s="84"/>
      <c r="E1553" s="84"/>
      <c r="F1553" s="84"/>
      <c r="G1553" s="87"/>
      <c r="H1553" s="87"/>
      <c r="I1553" s="87"/>
      <c r="J1553" s="177"/>
      <c r="K1553" s="222"/>
      <c r="L1553" s="222"/>
      <c r="M1553" s="222"/>
      <c r="N1553" s="222"/>
      <c r="O1553" s="222"/>
      <c r="P1553" s="222"/>
      <c r="Q1553" s="222"/>
      <c r="R1553" s="222"/>
    </row>
    <row r="1554" spans="1:18" ht="51">
      <c r="A1554" s="82" t="s">
        <v>495</v>
      </c>
      <c r="B1554" s="83">
        <v>793</v>
      </c>
      <c r="C1554" s="84" t="s">
        <v>173</v>
      </c>
      <c r="D1554" s="84" t="s">
        <v>70</v>
      </c>
      <c r="E1554" s="84" t="s">
        <v>296</v>
      </c>
      <c r="F1554" s="84"/>
      <c r="G1554" s="87">
        <f>G1555+G1565+G1568+G1574+G1577</f>
        <v>784607</v>
      </c>
      <c r="H1554" s="87">
        <f>H1566+H1569+H1574+H1577</f>
        <v>884703.07000000007</v>
      </c>
      <c r="I1554" s="87">
        <f>I1566+I1569+I1574+I1577</f>
        <v>884800.1</v>
      </c>
      <c r="J1554" s="177"/>
    </row>
    <row r="1555" spans="1:18" s="46" customFormat="1" ht="17.25" customHeight="1">
      <c r="A1555" s="82" t="s">
        <v>382</v>
      </c>
      <c r="B1555" s="83">
        <v>793</v>
      </c>
      <c r="C1555" s="84" t="s">
        <v>173</v>
      </c>
      <c r="D1555" s="84" t="s">
        <v>70</v>
      </c>
      <c r="E1555" s="84" t="s">
        <v>381</v>
      </c>
      <c r="F1555" s="84"/>
      <c r="G1555" s="87">
        <f t="shared" ref="G1555:I1555" si="400">G1556</f>
        <v>9607</v>
      </c>
      <c r="H1555" s="87">
        <f t="shared" si="400"/>
        <v>109703.07</v>
      </c>
      <c r="I1555" s="87">
        <f t="shared" si="400"/>
        <v>109800.1</v>
      </c>
      <c r="J1555" s="177"/>
      <c r="K1555" s="222"/>
      <c r="L1555" s="222"/>
      <c r="M1555" s="222"/>
      <c r="N1555" s="222"/>
      <c r="O1555" s="222"/>
      <c r="P1555" s="222"/>
      <c r="Q1555" s="222"/>
      <c r="R1555" s="222"/>
    </row>
    <row r="1556" spans="1:18" s="46" customFormat="1" ht="17.25" customHeight="1">
      <c r="A1556" s="82" t="s">
        <v>324</v>
      </c>
      <c r="B1556" s="83">
        <v>793</v>
      </c>
      <c r="C1556" s="84" t="s">
        <v>173</v>
      </c>
      <c r="D1556" s="84" t="s">
        <v>70</v>
      </c>
      <c r="E1556" s="84" t="s">
        <v>381</v>
      </c>
      <c r="F1556" s="84" t="s">
        <v>37</v>
      </c>
      <c r="G1556" s="87">
        <f>9607+100000-100000</f>
        <v>9607</v>
      </c>
      <c r="H1556" s="87">
        <f>9703.07+100000</f>
        <v>109703.07</v>
      </c>
      <c r="I1556" s="87">
        <f>9800.1+100000</f>
        <v>109800.1</v>
      </c>
      <c r="J1556" s="177"/>
      <c r="K1556" s="222"/>
      <c r="L1556" s="222"/>
      <c r="M1556" s="222"/>
      <c r="N1556" s="222"/>
      <c r="O1556" s="222"/>
      <c r="P1556" s="222"/>
      <c r="Q1556" s="222"/>
      <c r="R1556" s="222"/>
    </row>
    <row r="1557" spans="1:18" s="28" customFormat="1" ht="24.75" hidden="1" customHeight="1">
      <c r="A1557" s="139" t="s">
        <v>169</v>
      </c>
      <c r="B1557" s="83">
        <v>793</v>
      </c>
      <c r="C1557" s="84" t="s">
        <v>173</v>
      </c>
      <c r="D1557" s="84" t="s">
        <v>70</v>
      </c>
      <c r="E1557" s="84" t="s">
        <v>234</v>
      </c>
      <c r="F1557" s="168"/>
      <c r="G1557" s="87">
        <f t="shared" ref="G1557:I1557" si="401">G1558</f>
        <v>0</v>
      </c>
      <c r="H1557" s="87">
        <f t="shared" si="401"/>
        <v>0</v>
      </c>
      <c r="I1557" s="87">
        <f t="shared" si="401"/>
        <v>0</v>
      </c>
      <c r="J1557" s="177"/>
      <c r="K1557" s="204"/>
      <c r="L1557" s="204"/>
      <c r="M1557" s="204"/>
      <c r="N1557" s="204"/>
      <c r="O1557" s="204"/>
      <c r="P1557" s="204"/>
      <c r="Q1557" s="204"/>
      <c r="R1557" s="204"/>
    </row>
    <row r="1558" spans="1:18" ht="25.5" hidden="1">
      <c r="A1558" s="139" t="s">
        <v>169</v>
      </c>
      <c r="B1558" s="83">
        <v>793</v>
      </c>
      <c r="C1558" s="84" t="s">
        <v>173</v>
      </c>
      <c r="D1558" s="84" t="s">
        <v>70</v>
      </c>
      <c r="E1558" s="84" t="s">
        <v>276</v>
      </c>
      <c r="F1558" s="84"/>
      <c r="G1558" s="87">
        <f>G1559+G1561</f>
        <v>0</v>
      </c>
      <c r="H1558" s="87">
        <f>H1559+H1561</f>
        <v>0</v>
      </c>
      <c r="I1558" s="87">
        <f>I1559+I1561</f>
        <v>0</v>
      </c>
      <c r="J1558" s="177"/>
    </row>
    <row r="1559" spans="1:18" hidden="1">
      <c r="A1559" s="82"/>
      <c r="B1559" s="83">
        <v>793</v>
      </c>
      <c r="C1559" s="84" t="s">
        <v>173</v>
      </c>
      <c r="D1559" s="84" t="s">
        <v>70</v>
      </c>
      <c r="E1559" s="84" t="s">
        <v>276</v>
      </c>
      <c r="F1559" s="84"/>
      <c r="G1559" s="87"/>
      <c r="H1559" s="87"/>
      <c r="I1559" s="87"/>
      <c r="J1559" s="177"/>
    </row>
    <row r="1560" spans="1:18" ht="30.75" hidden="1" customHeight="1">
      <c r="A1560" s="82"/>
      <c r="B1560" s="83">
        <v>793</v>
      </c>
      <c r="C1560" s="84" t="s">
        <v>173</v>
      </c>
      <c r="D1560" s="84" t="s">
        <v>70</v>
      </c>
      <c r="E1560" s="84" t="s">
        <v>276</v>
      </c>
      <c r="F1560" s="84"/>
      <c r="G1560" s="87"/>
      <c r="H1560" s="87"/>
      <c r="I1560" s="87"/>
      <c r="J1560" s="177"/>
    </row>
    <row r="1561" spans="1:18" ht="18" hidden="1" customHeight="1">
      <c r="A1561" s="82" t="s">
        <v>156</v>
      </c>
      <c r="B1561" s="83">
        <v>793</v>
      </c>
      <c r="C1561" s="84" t="s">
        <v>173</v>
      </c>
      <c r="D1561" s="84" t="s">
        <v>70</v>
      </c>
      <c r="E1561" s="84" t="s">
        <v>276</v>
      </c>
      <c r="F1561" s="84" t="s">
        <v>157</v>
      </c>
      <c r="G1561" s="87">
        <f>G1562</f>
        <v>0</v>
      </c>
      <c r="H1561" s="87">
        <f>H1562</f>
        <v>0</v>
      </c>
      <c r="I1561" s="87">
        <f>I1562</f>
        <v>0</v>
      </c>
      <c r="J1561" s="177"/>
    </row>
    <row r="1562" spans="1:18" ht="18" hidden="1" customHeight="1">
      <c r="A1562" s="82" t="s">
        <v>178</v>
      </c>
      <c r="B1562" s="83">
        <v>793</v>
      </c>
      <c r="C1562" s="84" t="s">
        <v>173</v>
      </c>
      <c r="D1562" s="84" t="s">
        <v>70</v>
      </c>
      <c r="E1562" s="84" t="s">
        <v>276</v>
      </c>
      <c r="F1562" s="84" t="s">
        <v>179</v>
      </c>
      <c r="G1562" s="87"/>
      <c r="H1562" s="87"/>
      <c r="I1562" s="87"/>
      <c r="J1562" s="177"/>
    </row>
    <row r="1563" spans="1:18" ht="51" hidden="1">
      <c r="A1563" s="82" t="s">
        <v>495</v>
      </c>
      <c r="B1563" s="83">
        <v>793</v>
      </c>
      <c r="C1563" s="84" t="s">
        <v>173</v>
      </c>
      <c r="D1563" s="84" t="s">
        <v>70</v>
      </c>
      <c r="E1563" s="84" t="s">
        <v>296</v>
      </c>
      <c r="F1563" s="84"/>
      <c r="G1563" s="87"/>
      <c r="H1563" s="87">
        <f t="shared" ref="H1563:I1563" si="402">H1564+H1567+H1572+H1575</f>
        <v>884703.07000000007</v>
      </c>
      <c r="I1563" s="87">
        <f t="shared" si="402"/>
        <v>884800.1</v>
      </c>
      <c r="J1563" s="177"/>
    </row>
    <row r="1564" spans="1:18" s="46" customFormat="1" ht="17.25" hidden="1" customHeight="1">
      <c r="A1564" s="82" t="s">
        <v>382</v>
      </c>
      <c r="B1564" s="83">
        <v>793</v>
      </c>
      <c r="C1564" s="84" t="s">
        <v>173</v>
      </c>
      <c r="D1564" s="84" t="s">
        <v>70</v>
      </c>
      <c r="E1564" s="84" t="s">
        <v>381</v>
      </c>
      <c r="F1564" s="84"/>
      <c r="G1564" s="87">
        <f t="shared" ref="G1564:I1565" si="403">G1565</f>
        <v>0</v>
      </c>
      <c r="H1564" s="87">
        <f t="shared" si="403"/>
        <v>109703.07</v>
      </c>
      <c r="I1564" s="87">
        <f t="shared" si="403"/>
        <v>109800.1</v>
      </c>
      <c r="J1564" s="177"/>
      <c r="K1564" s="222"/>
      <c r="L1564" s="222"/>
      <c r="M1564" s="222"/>
      <c r="N1564" s="222"/>
      <c r="O1564" s="222"/>
      <c r="P1564" s="222"/>
      <c r="Q1564" s="222"/>
      <c r="R1564" s="222"/>
    </row>
    <row r="1565" spans="1:18" s="46" customFormat="1" ht="17.25" hidden="1" customHeight="1">
      <c r="A1565" s="82" t="s">
        <v>324</v>
      </c>
      <c r="B1565" s="83">
        <v>793</v>
      </c>
      <c r="C1565" s="84" t="s">
        <v>173</v>
      </c>
      <c r="D1565" s="84" t="s">
        <v>70</v>
      </c>
      <c r="E1565" s="84" t="s">
        <v>381</v>
      </c>
      <c r="F1565" s="84" t="s">
        <v>37</v>
      </c>
      <c r="G1565" s="87"/>
      <c r="H1565" s="87">
        <f t="shared" si="403"/>
        <v>109703.07</v>
      </c>
      <c r="I1565" s="87">
        <f t="shared" si="403"/>
        <v>109800.1</v>
      </c>
      <c r="J1565" s="177"/>
      <c r="K1565" s="222"/>
      <c r="L1565" s="222"/>
      <c r="M1565" s="222"/>
      <c r="N1565" s="222"/>
      <c r="O1565" s="222"/>
      <c r="P1565" s="222"/>
      <c r="Q1565" s="222"/>
      <c r="R1565" s="222"/>
    </row>
    <row r="1566" spans="1:18" s="46" customFormat="1" ht="32.25" customHeight="1">
      <c r="A1566" s="82" t="s">
        <v>38</v>
      </c>
      <c r="B1566" s="83">
        <v>793</v>
      </c>
      <c r="C1566" s="84" t="s">
        <v>173</v>
      </c>
      <c r="D1566" s="84" t="s">
        <v>70</v>
      </c>
      <c r="E1566" s="84" t="s">
        <v>381</v>
      </c>
      <c r="F1566" s="84" t="s">
        <v>39</v>
      </c>
      <c r="G1566" s="87">
        <f>G1556</f>
        <v>9607</v>
      </c>
      <c r="H1566" s="87">
        <f t="shared" ref="H1566:I1566" si="404">H1556</f>
        <v>109703.07</v>
      </c>
      <c r="I1566" s="87">
        <f t="shared" si="404"/>
        <v>109800.1</v>
      </c>
      <c r="J1566" s="177"/>
      <c r="K1566" s="222"/>
      <c r="L1566" s="222"/>
      <c r="M1566" s="222"/>
      <c r="N1566" s="222"/>
      <c r="O1566" s="222"/>
      <c r="P1566" s="222"/>
      <c r="Q1566" s="222"/>
      <c r="R1566" s="222"/>
    </row>
    <row r="1567" spans="1:18">
      <c r="A1567" s="82" t="s">
        <v>79</v>
      </c>
      <c r="B1567" s="83">
        <v>793</v>
      </c>
      <c r="C1567" s="84" t="s">
        <v>173</v>
      </c>
      <c r="D1567" s="84" t="s">
        <v>70</v>
      </c>
      <c r="E1567" s="84" t="s">
        <v>100</v>
      </c>
      <c r="F1567" s="84"/>
      <c r="G1567" s="87">
        <f>G1568+G1570</f>
        <v>505000</v>
      </c>
      <c r="H1567" s="87">
        <f>H1568+H1570</f>
        <v>505000</v>
      </c>
      <c r="I1567" s="87">
        <f>I1568+I1570</f>
        <v>505000</v>
      </c>
      <c r="J1567" s="177"/>
    </row>
    <row r="1568" spans="1:18" ht="25.5">
      <c r="A1568" s="82" t="s">
        <v>36</v>
      </c>
      <c r="B1568" s="83">
        <v>793</v>
      </c>
      <c r="C1568" s="84" t="s">
        <v>173</v>
      </c>
      <c r="D1568" s="84" t="s">
        <v>70</v>
      </c>
      <c r="E1568" s="84" t="s">
        <v>100</v>
      </c>
      <c r="F1568" s="84" t="s">
        <v>37</v>
      </c>
      <c r="G1568" s="87">
        <f>G1569</f>
        <v>505000</v>
      </c>
      <c r="H1568" s="87">
        <f>H1569</f>
        <v>505000</v>
      </c>
      <c r="I1568" s="87">
        <f>I1569</f>
        <v>505000</v>
      </c>
      <c r="J1568" s="177"/>
    </row>
    <row r="1569" spans="1:20" ht="30.75" customHeight="1">
      <c r="A1569" s="82" t="s">
        <v>38</v>
      </c>
      <c r="B1569" s="83">
        <v>793</v>
      </c>
      <c r="C1569" s="84" t="s">
        <v>173</v>
      </c>
      <c r="D1569" s="84" t="s">
        <v>70</v>
      </c>
      <c r="E1569" s="84" t="s">
        <v>100</v>
      </c>
      <c r="F1569" s="84" t="s">
        <v>39</v>
      </c>
      <c r="G1569" s="87">
        <v>505000</v>
      </c>
      <c r="H1569" s="87">
        <v>505000</v>
      </c>
      <c r="I1569" s="87">
        <v>505000</v>
      </c>
      <c r="J1569" s="177"/>
    </row>
    <row r="1570" spans="1:20" ht="18" hidden="1" customHeight="1">
      <c r="A1570" s="82" t="s">
        <v>156</v>
      </c>
      <c r="B1570" s="83">
        <v>793</v>
      </c>
      <c r="C1570" s="84" t="s">
        <v>173</v>
      </c>
      <c r="D1570" s="84" t="s">
        <v>70</v>
      </c>
      <c r="E1570" s="84" t="s">
        <v>100</v>
      </c>
      <c r="F1570" s="84" t="s">
        <v>157</v>
      </c>
      <c r="G1570" s="87">
        <f>G1571</f>
        <v>0</v>
      </c>
      <c r="H1570" s="87">
        <f>H1571</f>
        <v>0</v>
      </c>
      <c r="I1570" s="87">
        <f>I1571</f>
        <v>0</v>
      </c>
      <c r="J1570" s="177"/>
    </row>
    <row r="1571" spans="1:20" ht="18" hidden="1" customHeight="1">
      <c r="A1571" s="82" t="s">
        <v>178</v>
      </c>
      <c r="B1571" s="83">
        <v>793</v>
      </c>
      <c r="C1571" s="84" t="s">
        <v>173</v>
      </c>
      <c r="D1571" s="84" t="s">
        <v>70</v>
      </c>
      <c r="E1571" s="84" t="s">
        <v>100</v>
      </c>
      <c r="F1571" s="84" t="s">
        <v>179</v>
      </c>
      <c r="G1571" s="87"/>
      <c r="H1571" s="87"/>
      <c r="I1571" s="87"/>
      <c r="J1571" s="177"/>
    </row>
    <row r="1572" spans="1:20" ht="26.25" customHeight="1">
      <c r="A1572" s="82" t="s">
        <v>77</v>
      </c>
      <c r="B1572" s="83">
        <v>793</v>
      </c>
      <c r="C1572" s="84" t="s">
        <v>173</v>
      </c>
      <c r="D1572" s="84" t="s">
        <v>70</v>
      </c>
      <c r="E1572" s="84" t="s">
        <v>78</v>
      </c>
      <c r="F1572" s="84"/>
      <c r="G1572" s="87">
        <f t="shared" ref="G1572:I1573" si="405">G1573</f>
        <v>70000</v>
      </c>
      <c r="H1572" s="87">
        <f t="shared" si="405"/>
        <v>70000</v>
      </c>
      <c r="I1572" s="87">
        <f t="shared" si="405"/>
        <v>70000</v>
      </c>
      <c r="J1572" s="177"/>
    </row>
    <row r="1573" spans="1:20" ht="26.25" customHeight="1">
      <c r="A1573" s="82" t="s">
        <v>36</v>
      </c>
      <c r="B1573" s="83">
        <v>793</v>
      </c>
      <c r="C1573" s="84" t="s">
        <v>173</v>
      </c>
      <c r="D1573" s="84" t="s">
        <v>70</v>
      </c>
      <c r="E1573" s="84" t="s">
        <v>78</v>
      </c>
      <c r="F1573" s="84" t="s">
        <v>37</v>
      </c>
      <c r="G1573" s="87">
        <f t="shared" si="405"/>
        <v>70000</v>
      </c>
      <c r="H1573" s="87">
        <f t="shared" si="405"/>
        <v>70000</v>
      </c>
      <c r="I1573" s="87">
        <f t="shared" si="405"/>
        <v>70000</v>
      </c>
      <c r="J1573" s="177"/>
    </row>
    <row r="1574" spans="1:20" ht="25.5">
      <c r="A1574" s="82" t="s">
        <v>38</v>
      </c>
      <c r="B1574" s="83">
        <v>793</v>
      </c>
      <c r="C1574" s="84" t="s">
        <v>173</v>
      </c>
      <c r="D1574" s="84" t="s">
        <v>70</v>
      </c>
      <c r="E1574" s="84" t="s">
        <v>78</v>
      </c>
      <c r="F1574" s="84" t="s">
        <v>39</v>
      </c>
      <c r="G1574" s="87">
        <v>70000</v>
      </c>
      <c r="H1574" s="87">
        <v>70000</v>
      </c>
      <c r="I1574" s="87">
        <v>70000</v>
      </c>
      <c r="J1574" s="177"/>
    </row>
    <row r="1575" spans="1:20" ht="30.75" customHeight="1">
      <c r="A1575" s="82" t="s">
        <v>705</v>
      </c>
      <c r="B1575" s="83">
        <v>793</v>
      </c>
      <c r="C1575" s="84" t="s">
        <v>173</v>
      </c>
      <c r="D1575" s="84" t="s">
        <v>70</v>
      </c>
      <c r="E1575" s="84" t="s">
        <v>418</v>
      </c>
      <c r="F1575" s="84"/>
      <c r="G1575" s="87">
        <f t="shared" ref="G1575:I1576" si="406">G1576</f>
        <v>200000</v>
      </c>
      <c r="H1575" s="87">
        <f t="shared" si="406"/>
        <v>200000</v>
      </c>
      <c r="I1575" s="87">
        <f t="shared" si="406"/>
        <v>200000</v>
      </c>
      <c r="J1575" s="177"/>
    </row>
    <row r="1576" spans="1:20" ht="30.75" customHeight="1">
      <c r="A1576" s="82" t="s">
        <v>36</v>
      </c>
      <c r="B1576" s="83">
        <v>793</v>
      </c>
      <c r="C1576" s="84" t="s">
        <v>173</v>
      </c>
      <c r="D1576" s="84" t="s">
        <v>70</v>
      </c>
      <c r="E1576" s="84" t="s">
        <v>418</v>
      </c>
      <c r="F1576" s="84" t="s">
        <v>37</v>
      </c>
      <c r="G1576" s="87">
        <f t="shared" si="406"/>
        <v>200000</v>
      </c>
      <c r="H1576" s="87">
        <f t="shared" si="406"/>
        <v>200000</v>
      </c>
      <c r="I1576" s="87">
        <f t="shared" si="406"/>
        <v>200000</v>
      </c>
      <c r="J1576" s="177"/>
    </row>
    <row r="1577" spans="1:20" ht="30.75" customHeight="1">
      <c r="A1577" s="82" t="s">
        <v>38</v>
      </c>
      <c r="B1577" s="83">
        <v>793</v>
      </c>
      <c r="C1577" s="84" t="s">
        <v>173</v>
      </c>
      <c r="D1577" s="84" t="s">
        <v>70</v>
      </c>
      <c r="E1577" s="84" t="s">
        <v>418</v>
      </c>
      <c r="F1577" s="84" t="s">
        <v>39</v>
      </c>
      <c r="G1577" s="87">
        <v>200000</v>
      </c>
      <c r="H1577" s="87">
        <v>200000</v>
      </c>
      <c r="I1577" s="87">
        <v>200000</v>
      </c>
      <c r="J1577" s="177"/>
    </row>
    <row r="1578" spans="1:20" s="161" customFormat="1" ht="34.5" customHeight="1">
      <c r="A1578" s="158" t="s">
        <v>169</v>
      </c>
      <c r="B1578" s="155">
        <v>793</v>
      </c>
      <c r="C1578" s="156" t="s">
        <v>173</v>
      </c>
      <c r="D1578" s="156" t="s">
        <v>70</v>
      </c>
      <c r="E1578" s="156" t="s">
        <v>234</v>
      </c>
      <c r="F1578" s="159"/>
      <c r="G1578" s="157">
        <f>G1579</f>
        <v>680000</v>
      </c>
      <c r="H1578" s="157">
        <f t="shared" ref="H1578:I1578" si="407">H1579</f>
        <v>0</v>
      </c>
      <c r="I1578" s="157">
        <f t="shared" si="407"/>
        <v>0</v>
      </c>
      <c r="J1578" s="160"/>
      <c r="P1578" s="160"/>
      <c r="Q1578" s="160"/>
      <c r="R1578" s="160"/>
      <c r="S1578" s="160"/>
      <c r="T1578" s="160"/>
    </row>
    <row r="1579" spans="1:20" s="90" customFormat="1" ht="25.5">
      <c r="A1579" s="139" t="s">
        <v>169</v>
      </c>
      <c r="B1579" s="149">
        <v>793</v>
      </c>
      <c r="C1579" s="84" t="s">
        <v>173</v>
      </c>
      <c r="D1579" s="84" t="s">
        <v>70</v>
      </c>
      <c r="E1579" s="84" t="s">
        <v>276</v>
      </c>
      <c r="F1579" s="149"/>
      <c r="G1579" s="87">
        <f>G1580</f>
        <v>680000</v>
      </c>
      <c r="H1579" s="87">
        <f>H1584+H1593+H1599+H1591+H1588</f>
        <v>0</v>
      </c>
      <c r="I1579" s="87">
        <f>I1584+I1593+I1599+I1591+I1588</f>
        <v>0</v>
      </c>
      <c r="J1579" s="126"/>
      <c r="P1579" s="126"/>
      <c r="Q1579" s="126"/>
      <c r="R1579" s="126"/>
      <c r="S1579" s="126"/>
      <c r="T1579" s="126"/>
    </row>
    <row r="1580" spans="1:20" s="90" customFormat="1" ht="30.75" customHeight="1">
      <c r="A1580" s="82" t="s">
        <v>156</v>
      </c>
      <c r="B1580" s="149">
        <v>793</v>
      </c>
      <c r="C1580" s="84" t="s">
        <v>173</v>
      </c>
      <c r="D1580" s="84" t="s">
        <v>70</v>
      </c>
      <c r="E1580" s="84" t="s">
        <v>276</v>
      </c>
      <c r="F1580" s="84" t="s">
        <v>157</v>
      </c>
      <c r="G1580" s="87">
        <f>G1581</f>
        <v>680000</v>
      </c>
      <c r="H1580" s="87">
        <v>0</v>
      </c>
      <c r="I1580" s="87">
        <v>0</v>
      </c>
      <c r="P1580" s="126"/>
      <c r="Q1580" s="126"/>
      <c r="R1580" s="126"/>
      <c r="S1580" s="126"/>
      <c r="T1580" s="126"/>
    </row>
    <row r="1581" spans="1:20" s="90" customFormat="1" ht="30.75" customHeight="1">
      <c r="A1581" s="82" t="s">
        <v>178</v>
      </c>
      <c r="B1581" s="149">
        <v>793</v>
      </c>
      <c r="C1581" s="84" t="s">
        <v>173</v>
      </c>
      <c r="D1581" s="84" t="s">
        <v>70</v>
      </c>
      <c r="E1581" s="84" t="s">
        <v>276</v>
      </c>
      <c r="F1581" s="84" t="s">
        <v>179</v>
      </c>
      <c r="G1581" s="87">
        <v>680000</v>
      </c>
      <c r="H1581" s="87"/>
      <c r="I1581" s="87"/>
      <c r="P1581" s="126"/>
      <c r="Q1581" s="126"/>
      <c r="R1581" s="126"/>
      <c r="S1581" s="126"/>
      <c r="T1581" s="126"/>
    </row>
    <row r="1582" spans="1:20" s="22" customFormat="1" ht="25.5">
      <c r="A1582" s="154" t="s">
        <v>588</v>
      </c>
      <c r="B1582" s="275">
        <v>793</v>
      </c>
      <c r="C1582" s="156" t="s">
        <v>173</v>
      </c>
      <c r="D1582" s="156" t="s">
        <v>173</v>
      </c>
      <c r="E1582" s="156"/>
      <c r="F1582" s="156"/>
      <c r="G1582" s="157">
        <f>G1583</f>
        <v>4344742.93</v>
      </c>
      <c r="H1582" s="157">
        <f t="shared" ref="H1582:I1582" si="408">H1610</f>
        <v>0</v>
      </c>
      <c r="I1582" s="157">
        <f t="shared" si="408"/>
        <v>0</v>
      </c>
      <c r="J1582" s="196"/>
      <c r="K1582" s="207"/>
      <c r="L1582" s="207"/>
      <c r="M1582" s="207"/>
      <c r="N1582" s="207"/>
      <c r="O1582" s="207"/>
      <c r="P1582" s="207"/>
      <c r="Q1582" s="207"/>
      <c r="R1582" s="207"/>
    </row>
    <row r="1583" spans="1:20" ht="54" customHeight="1">
      <c r="A1583" s="82" t="s">
        <v>495</v>
      </c>
      <c r="B1583" s="83">
        <v>793</v>
      </c>
      <c r="C1583" s="84" t="s">
        <v>173</v>
      </c>
      <c r="D1583" s="84" t="s">
        <v>173</v>
      </c>
      <c r="E1583" s="84" t="s">
        <v>296</v>
      </c>
      <c r="F1583" s="84"/>
      <c r="G1583" s="87">
        <f>G1610+G1584+G1607+G1604</f>
        <v>4344742.93</v>
      </c>
      <c r="H1583" s="87">
        <f t="shared" ref="H1583:I1583" si="409">H1587+H1596+H1601+H1584</f>
        <v>0</v>
      </c>
      <c r="I1583" s="87">
        <f t="shared" si="409"/>
        <v>0</v>
      </c>
      <c r="J1583" s="177"/>
    </row>
    <row r="1584" spans="1:20" ht="67.5" customHeight="1">
      <c r="A1584" s="139" t="s">
        <v>716</v>
      </c>
      <c r="B1584" s="83">
        <v>793</v>
      </c>
      <c r="C1584" s="84" t="s">
        <v>173</v>
      </c>
      <c r="D1584" s="84" t="s">
        <v>173</v>
      </c>
      <c r="E1584" s="84" t="s">
        <v>723</v>
      </c>
      <c r="F1584" s="84"/>
      <c r="G1584" s="87">
        <f>G1585</f>
        <v>2017013.5199999996</v>
      </c>
      <c r="H1584" s="85">
        <v>0</v>
      </c>
      <c r="I1584" s="85">
        <v>0</v>
      </c>
      <c r="J1584" s="178"/>
    </row>
    <row r="1585" spans="1:10" ht="21" customHeight="1">
      <c r="A1585" s="82" t="s">
        <v>156</v>
      </c>
      <c r="B1585" s="83">
        <v>793</v>
      </c>
      <c r="C1585" s="84" t="s">
        <v>173</v>
      </c>
      <c r="D1585" s="84" t="s">
        <v>173</v>
      </c>
      <c r="E1585" s="84" t="s">
        <v>723</v>
      </c>
      <c r="F1585" s="84" t="s">
        <v>157</v>
      </c>
      <c r="G1585" s="87">
        <f>G1586</f>
        <v>2017013.5199999996</v>
      </c>
      <c r="H1585" s="85">
        <v>0</v>
      </c>
      <c r="I1585" s="85">
        <v>0</v>
      </c>
      <c r="J1585" s="178"/>
    </row>
    <row r="1586" spans="1:10" ht="20.25" customHeight="1">
      <c r="A1586" s="82" t="s">
        <v>178</v>
      </c>
      <c r="B1586" s="83">
        <v>793</v>
      </c>
      <c r="C1586" s="84" t="s">
        <v>173</v>
      </c>
      <c r="D1586" s="84" t="s">
        <v>173</v>
      </c>
      <c r="E1586" s="84" t="s">
        <v>723</v>
      </c>
      <c r="F1586" s="84" t="s">
        <v>179</v>
      </c>
      <c r="G1586" s="87">
        <f>4812423.52-2795410</f>
        <v>2017013.5199999996</v>
      </c>
      <c r="H1586" s="85">
        <v>0</v>
      </c>
      <c r="I1586" s="85">
        <v>0</v>
      </c>
      <c r="J1586" s="178"/>
    </row>
    <row r="1587" spans="1:10" ht="25.5" hidden="1" customHeight="1">
      <c r="A1587" s="139" t="s">
        <v>628</v>
      </c>
      <c r="B1587" s="83">
        <v>793</v>
      </c>
      <c r="C1587" s="84" t="s">
        <v>173</v>
      </c>
      <c r="D1587" s="84" t="s">
        <v>173</v>
      </c>
      <c r="E1587" s="84" t="s">
        <v>625</v>
      </c>
      <c r="F1587" s="84"/>
      <c r="G1587" s="87">
        <f>G1588</f>
        <v>0</v>
      </c>
      <c r="H1587" s="85">
        <v>0</v>
      </c>
      <c r="I1587" s="85">
        <v>0</v>
      </c>
      <c r="J1587" s="178"/>
    </row>
    <row r="1588" spans="1:10" ht="39.75" hidden="1" customHeight="1">
      <c r="A1588" s="139" t="s">
        <v>627</v>
      </c>
      <c r="B1588" s="83">
        <v>793</v>
      </c>
      <c r="C1588" s="84" t="s">
        <v>173</v>
      </c>
      <c r="D1588" s="84" t="s">
        <v>173</v>
      </c>
      <c r="E1588" s="84" t="s">
        <v>626</v>
      </c>
      <c r="F1588" s="84"/>
      <c r="G1588" s="87">
        <f>G1589</f>
        <v>0</v>
      </c>
      <c r="H1588" s="85">
        <v>0</v>
      </c>
      <c r="I1588" s="85">
        <v>0</v>
      </c>
      <c r="J1588" s="178"/>
    </row>
    <row r="1589" spans="1:10" ht="30.75" hidden="1" customHeight="1">
      <c r="A1589" s="82" t="s">
        <v>96</v>
      </c>
      <c r="B1589" s="83">
        <v>793</v>
      </c>
      <c r="C1589" s="84" t="s">
        <v>173</v>
      </c>
      <c r="D1589" s="84" t="s">
        <v>173</v>
      </c>
      <c r="E1589" s="84" t="s">
        <v>626</v>
      </c>
      <c r="F1589" s="84" t="s">
        <v>349</v>
      </c>
      <c r="G1589" s="87">
        <f>G1590</f>
        <v>0</v>
      </c>
      <c r="H1589" s="85">
        <v>0</v>
      </c>
      <c r="I1589" s="85">
        <v>0</v>
      </c>
      <c r="J1589" s="178"/>
    </row>
    <row r="1590" spans="1:10" ht="30.75" hidden="1" customHeight="1">
      <c r="A1590" s="82" t="s">
        <v>350</v>
      </c>
      <c r="B1590" s="83">
        <v>793</v>
      </c>
      <c r="C1590" s="84" t="s">
        <v>173</v>
      </c>
      <c r="D1590" s="84" t="s">
        <v>173</v>
      </c>
      <c r="E1590" s="84" t="s">
        <v>626</v>
      </c>
      <c r="F1590" s="84" t="s">
        <v>351</v>
      </c>
      <c r="G1590" s="87"/>
      <c r="H1590" s="85">
        <v>0</v>
      </c>
      <c r="I1590" s="85">
        <v>0</v>
      </c>
      <c r="J1590" s="178"/>
    </row>
    <row r="1591" spans="1:10" ht="55.5" hidden="1" customHeight="1">
      <c r="A1591" s="139" t="s">
        <v>741</v>
      </c>
      <c r="B1591" s="83">
        <v>793</v>
      </c>
      <c r="C1591" s="84" t="s">
        <v>173</v>
      </c>
      <c r="D1591" s="84" t="s">
        <v>173</v>
      </c>
      <c r="E1591" s="84" t="s">
        <v>725</v>
      </c>
      <c r="F1591" s="84"/>
      <c r="G1591" s="87">
        <f>G1592+G1594</f>
        <v>0</v>
      </c>
      <c r="H1591" s="87">
        <f t="shared" ref="H1591:I1591" si="410">H1592+H1594</f>
        <v>0</v>
      </c>
      <c r="I1591" s="87">
        <f t="shared" si="410"/>
        <v>0</v>
      </c>
      <c r="J1591" s="177"/>
    </row>
    <row r="1592" spans="1:10" ht="27" hidden="1" customHeight="1">
      <c r="A1592" s="82" t="s">
        <v>96</v>
      </c>
      <c r="B1592" s="83">
        <v>793</v>
      </c>
      <c r="C1592" s="84" t="s">
        <v>173</v>
      </c>
      <c r="D1592" s="84" t="s">
        <v>173</v>
      </c>
      <c r="E1592" s="84" t="s">
        <v>611</v>
      </c>
      <c r="F1592" s="84" t="s">
        <v>349</v>
      </c>
      <c r="G1592" s="87">
        <f>G1593</f>
        <v>0</v>
      </c>
      <c r="H1592" s="85">
        <f>H1593</f>
        <v>0</v>
      </c>
      <c r="I1592" s="85">
        <v>0</v>
      </c>
      <c r="J1592" s="178"/>
    </row>
    <row r="1593" spans="1:10" ht="18.75" hidden="1" customHeight="1">
      <c r="A1593" s="82" t="s">
        <v>350</v>
      </c>
      <c r="B1593" s="83">
        <v>793</v>
      </c>
      <c r="C1593" s="84" t="s">
        <v>173</v>
      </c>
      <c r="D1593" s="84" t="s">
        <v>173</v>
      </c>
      <c r="E1593" s="84" t="s">
        <v>611</v>
      </c>
      <c r="F1593" s="84" t="s">
        <v>351</v>
      </c>
      <c r="G1593" s="87"/>
      <c r="H1593" s="85"/>
      <c r="I1593" s="85">
        <v>0</v>
      </c>
      <c r="J1593" s="178"/>
    </row>
    <row r="1594" spans="1:10" ht="39.75" hidden="1" customHeight="1">
      <c r="A1594" s="82" t="s">
        <v>36</v>
      </c>
      <c r="B1594" s="83">
        <v>793</v>
      </c>
      <c r="C1594" s="84" t="s">
        <v>173</v>
      </c>
      <c r="D1594" s="84" t="s">
        <v>173</v>
      </c>
      <c r="E1594" s="84" t="s">
        <v>726</v>
      </c>
      <c r="F1594" s="84" t="s">
        <v>349</v>
      </c>
      <c r="G1594" s="87">
        <f>G1595</f>
        <v>0</v>
      </c>
      <c r="H1594" s="85"/>
      <c r="I1594" s="85"/>
      <c r="J1594" s="178"/>
    </row>
    <row r="1595" spans="1:10" ht="39" hidden="1" customHeight="1">
      <c r="A1595" s="82" t="s">
        <v>38</v>
      </c>
      <c r="B1595" s="83">
        <v>793</v>
      </c>
      <c r="C1595" s="84" t="s">
        <v>173</v>
      </c>
      <c r="D1595" s="84" t="s">
        <v>173</v>
      </c>
      <c r="E1595" s="84" t="s">
        <v>725</v>
      </c>
      <c r="F1595" s="84" t="s">
        <v>351</v>
      </c>
      <c r="G1595" s="87">
        <f>358104.72+400000-758104.72</f>
        <v>0</v>
      </c>
      <c r="H1595" s="85"/>
      <c r="I1595" s="85"/>
      <c r="J1595" s="178"/>
    </row>
    <row r="1596" spans="1:10" ht="57" hidden="1" customHeight="1">
      <c r="A1596" s="139" t="s">
        <v>741</v>
      </c>
      <c r="B1596" s="83">
        <v>793</v>
      </c>
      <c r="C1596" s="84" t="s">
        <v>173</v>
      </c>
      <c r="D1596" s="84" t="s">
        <v>173</v>
      </c>
      <c r="E1596" s="84" t="s">
        <v>611</v>
      </c>
      <c r="F1596" s="84"/>
      <c r="G1596" s="87">
        <f>G1597+G1599</f>
        <v>0</v>
      </c>
      <c r="H1596" s="87">
        <f t="shared" ref="H1596:I1596" si="411">H1597+H1599</f>
        <v>0</v>
      </c>
      <c r="I1596" s="87">
        <f t="shared" si="411"/>
        <v>0</v>
      </c>
      <c r="J1596" s="177"/>
    </row>
    <row r="1597" spans="1:10" ht="27" hidden="1" customHeight="1">
      <c r="A1597" s="82" t="s">
        <v>96</v>
      </c>
      <c r="B1597" s="83">
        <v>793</v>
      </c>
      <c r="C1597" s="84" t="s">
        <v>173</v>
      </c>
      <c r="D1597" s="84" t="s">
        <v>173</v>
      </c>
      <c r="E1597" s="84" t="s">
        <v>611</v>
      </c>
      <c r="F1597" s="84" t="s">
        <v>349</v>
      </c>
      <c r="G1597" s="87">
        <f>G1598</f>
        <v>0</v>
      </c>
      <c r="H1597" s="85">
        <f>H1598</f>
        <v>0</v>
      </c>
      <c r="I1597" s="85">
        <v>0</v>
      </c>
      <c r="J1597" s="178"/>
    </row>
    <row r="1598" spans="1:10" ht="18.75" hidden="1" customHeight="1">
      <c r="A1598" s="82" t="s">
        <v>350</v>
      </c>
      <c r="B1598" s="83">
        <v>793</v>
      </c>
      <c r="C1598" s="84" t="s">
        <v>173</v>
      </c>
      <c r="D1598" s="84" t="s">
        <v>173</v>
      </c>
      <c r="E1598" s="84" t="s">
        <v>611</v>
      </c>
      <c r="F1598" s="84" t="s">
        <v>351</v>
      </c>
      <c r="G1598" s="87"/>
      <c r="H1598" s="85"/>
      <c r="I1598" s="85">
        <v>0</v>
      </c>
      <c r="J1598" s="178"/>
    </row>
    <row r="1599" spans="1:10" ht="30" hidden="1" customHeight="1">
      <c r="A1599" s="82" t="s">
        <v>36</v>
      </c>
      <c r="B1599" s="83">
        <v>793</v>
      </c>
      <c r="C1599" s="84" t="s">
        <v>173</v>
      </c>
      <c r="D1599" s="84" t="s">
        <v>173</v>
      </c>
      <c r="E1599" s="84" t="s">
        <v>611</v>
      </c>
      <c r="F1599" s="84" t="s">
        <v>349</v>
      </c>
      <c r="G1599" s="87">
        <f>G1600</f>
        <v>0</v>
      </c>
      <c r="H1599" s="85">
        <v>0</v>
      </c>
      <c r="I1599" s="85">
        <v>0</v>
      </c>
      <c r="J1599" s="178"/>
    </row>
    <row r="1600" spans="1:10" ht="30.75" hidden="1" customHeight="1">
      <c r="A1600" s="82" t="s">
        <v>38</v>
      </c>
      <c r="B1600" s="83">
        <v>793</v>
      </c>
      <c r="C1600" s="84" t="s">
        <v>173</v>
      </c>
      <c r="D1600" s="84" t="s">
        <v>173</v>
      </c>
      <c r="E1600" s="84" t="s">
        <v>611</v>
      </c>
      <c r="F1600" s="84" t="s">
        <v>351</v>
      </c>
      <c r="G1600" s="87"/>
      <c r="H1600" s="85"/>
      <c r="I1600" s="85"/>
      <c r="J1600" s="178"/>
    </row>
    <row r="1601" spans="1:18" s="3" customFormat="1" ht="33.75" hidden="1" customHeight="1">
      <c r="A1601" s="82" t="s">
        <v>510</v>
      </c>
      <c r="B1601" s="83">
        <v>793</v>
      </c>
      <c r="C1601" s="84" t="s">
        <v>173</v>
      </c>
      <c r="D1601" s="84" t="s">
        <v>173</v>
      </c>
      <c r="E1601" s="84" t="s">
        <v>511</v>
      </c>
      <c r="F1601" s="84"/>
      <c r="G1601" s="87">
        <f>G1602</f>
        <v>0</v>
      </c>
      <c r="H1601" s="85">
        <v>0</v>
      </c>
      <c r="I1601" s="85">
        <v>0</v>
      </c>
      <c r="J1601" s="178"/>
      <c r="K1601" s="199"/>
      <c r="L1601" s="199"/>
      <c r="M1601" s="199"/>
      <c r="N1601" s="199"/>
      <c r="O1601" s="199"/>
      <c r="P1601" s="199"/>
      <c r="Q1601" s="199"/>
      <c r="R1601" s="199"/>
    </row>
    <row r="1602" spans="1:18" s="3" customFormat="1" ht="38.25" hidden="1" customHeight="1">
      <c r="A1602" s="82" t="s">
        <v>36</v>
      </c>
      <c r="B1602" s="83">
        <v>793</v>
      </c>
      <c r="C1602" s="84" t="s">
        <v>173</v>
      </c>
      <c r="D1602" s="84" t="s">
        <v>173</v>
      </c>
      <c r="E1602" s="84" t="s">
        <v>511</v>
      </c>
      <c r="F1602" s="84" t="s">
        <v>37</v>
      </c>
      <c r="G1602" s="87">
        <f>G1603</f>
        <v>0</v>
      </c>
      <c r="H1602" s="85">
        <v>0</v>
      </c>
      <c r="I1602" s="85">
        <v>0</v>
      </c>
      <c r="J1602" s="178"/>
      <c r="K1602" s="199"/>
      <c r="L1602" s="199"/>
      <c r="M1602" s="199"/>
      <c r="N1602" s="199"/>
      <c r="O1602" s="199"/>
      <c r="P1602" s="199"/>
      <c r="Q1602" s="199"/>
      <c r="R1602" s="199"/>
    </row>
    <row r="1603" spans="1:18" s="3" customFormat="1" ht="38.25" hidden="1" customHeight="1">
      <c r="A1603" s="82" t="s">
        <v>38</v>
      </c>
      <c r="B1603" s="83">
        <v>793</v>
      </c>
      <c r="C1603" s="84" t="s">
        <v>173</v>
      </c>
      <c r="D1603" s="84" t="s">
        <v>173</v>
      </c>
      <c r="E1603" s="84" t="s">
        <v>511</v>
      </c>
      <c r="F1603" s="84" t="s">
        <v>39</v>
      </c>
      <c r="G1603" s="87"/>
      <c r="H1603" s="85">
        <v>0</v>
      </c>
      <c r="I1603" s="85">
        <v>0</v>
      </c>
      <c r="J1603" s="178"/>
      <c r="K1603" s="199"/>
      <c r="L1603" s="199"/>
      <c r="M1603" s="199"/>
      <c r="N1603" s="199"/>
      <c r="O1603" s="199"/>
      <c r="P1603" s="199"/>
      <c r="Q1603" s="199"/>
      <c r="R1603" s="199"/>
    </row>
    <row r="1604" spans="1:18" ht="67.5" customHeight="1">
      <c r="A1604" s="139" t="s">
        <v>1013</v>
      </c>
      <c r="B1604" s="83">
        <v>793</v>
      </c>
      <c r="C1604" s="84" t="s">
        <v>173</v>
      </c>
      <c r="D1604" s="84" t="s">
        <v>173</v>
      </c>
      <c r="E1604" s="84" t="s">
        <v>611</v>
      </c>
      <c r="F1604" s="84"/>
      <c r="G1604" s="87">
        <f>G1605</f>
        <v>1652729.41</v>
      </c>
      <c r="H1604" s="85">
        <v>0</v>
      </c>
      <c r="I1604" s="85">
        <v>0</v>
      </c>
      <c r="J1604" s="178"/>
    </row>
    <row r="1605" spans="1:18" ht="44.25" customHeight="1">
      <c r="A1605" s="82" t="s">
        <v>96</v>
      </c>
      <c r="B1605" s="83">
        <v>793</v>
      </c>
      <c r="C1605" s="84" t="s">
        <v>173</v>
      </c>
      <c r="D1605" s="84" t="s">
        <v>173</v>
      </c>
      <c r="E1605" s="84" t="s">
        <v>611</v>
      </c>
      <c r="F1605" s="84" t="s">
        <v>349</v>
      </c>
      <c r="G1605" s="87">
        <f>G1606</f>
        <v>1652729.41</v>
      </c>
      <c r="H1605" s="85">
        <v>0</v>
      </c>
      <c r="I1605" s="85">
        <v>0</v>
      </c>
      <c r="J1605" s="178"/>
    </row>
    <row r="1606" spans="1:18" ht="20.25" customHeight="1">
      <c r="A1606" s="82" t="s">
        <v>350</v>
      </c>
      <c r="B1606" s="83">
        <v>793</v>
      </c>
      <c r="C1606" s="84" t="s">
        <v>173</v>
      </c>
      <c r="D1606" s="84" t="s">
        <v>173</v>
      </c>
      <c r="E1606" s="84" t="s">
        <v>611</v>
      </c>
      <c r="F1606" s="84" t="s">
        <v>351</v>
      </c>
      <c r="G1606" s="300">
        <f>1404820+450000-202090.59</f>
        <v>1652729.41</v>
      </c>
      <c r="H1606" s="85">
        <v>0</v>
      </c>
      <c r="I1606" s="85">
        <v>0</v>
      </c>
      <c r="J1606" s="178"/>
    </row>
    <row r="1607" spans="1:18" ht="70.5" customHeight="1">
      <c r="A1607" s="139" t="s">
        <v>826</v>
      </c>
      <c r="B1607" s="83">
        <v>793</v>
      </c>
      <c r="C1607" s="84" t="s">
        <v>173</v>
      </c>
      <c r="D1607" s="84" t="s">
        <v>173</v>
      </c>
      <c r="E1607" s="84" t="s">
        <v>722</v>
      </c>
      <c r="F1607" s="84"/>
      <c r="G1607" s="87">
        <f>G1608</f>
        <v>675000</v>
      </c>
      <c r="H1607" s="85">
        <v>0</v>
      </c>
      <c r="I1607" s="85">
        <v>0</v>
      </c>
      <c r="J1607" s="178"/>
    </row>
    <row r="1608" spans="1:18" ht="21" customHeight="1">
      <c r="A1608" s="82" t="s">
        <v>156</v>
      </c>
      <c r="B1608" s="83">
        <v>793</v>
      </c>
      <c r="C1608" s="84" t="s">
        <v>173</v>
      </c>
      <c r="D1608" s="84" t="s">
        <v>173</v>
      </c>
      <c r="E1608" s="84" t="s">
        <v>722</v>
      </c>
      <c r="F1608" s="84" t="s">
        <v>157</v>
      </c>
      <c r="G1608" s="87">
        <f>G1609</f>
        <v>675000</v>
      </c>
      <c r="H1608" s="85">
        <v>0</v>
      </c>
      <c r="I1608" s="85">
        <v>0</v>
      </c>
      <c r="J1608" s="178"/>
    </row>
    <row r="1609" spans="1:18" ht="20.25" customHeight="1">
      <c r="A1609" s="82" t="s">
        <v>178</v>
      </c>
      <c r="B1609" s="83">
        <v>793</v>
      </c>
      <c r="C1609" s="84" t="s">
        <v>173</v>
      </c>
      <c r="D1609" s="84" t="s">
        <v>173</v>
      </c>
      <c r="E1609" s="84" t="s">
        <v>722</v>
      </c>
      <c r="F1609" s="84" t="s">
        <v>179</v>
      </c>
      <c r="G1609" s="87">
        <v>675000</v>
      </c>
      <c r="H1609" s="85">
        <v>0</v>
      </c>
      <c r="I1609" s="85">
        <v>0</v>
      </c>
      <c r="J1609" s="178"/>
    </row>
    <row r="1610" spans="1:18" ht="57" hidden="1" customHeight="1">
      <c r="A1610" s="139" t="s">
        <v>876</v>
      </c>
      <c r="B1610" s="83">
        <v>793</v>
      </c>
      <c r="C1610" s="84" t="s">
        <v>173</v>
      </c>
      <c r="D1610" s="84" t="s">
        <v>173</v>
      </c>
      <c r="E1610" s="84" t="s">
        <v>875</v>
      </c>
      <c r="F1610" s="84"/>
      <c r="G1610" s="87">
        <f>G1611</f>
        <v>0</v>
      </c>
      <c r="H1610" s="87">
        <f t="shared" ref="H1610:I1610" si="412">H1611</f>
        <v>0</v>
      </c>
      <c r="I1610" s="87">
        <f t="shared" si="412"/>
        <v>0</v>
      </c>
      <c r="J1610" s="177"/>
    </row>
    <row r="1611" spans="1:18" ht="27" hidden="1" customHeight="1">
      <c r="A1611" s="82" t="s">
        <v>63</v>
      </c>
      <c r="B1611" s="83">
        <v>793</v>
      </c>
      <c r="C1611" s="84" t="s">
        <v>173</v>
      </c>
      <c r="D1611" s="84" t="s">
        <v>173</v>
      </c>
      <c r="E1611" s="84" t="s">
        <v>875</v>
      </c>
      <c r="F1611" s="84" t="s">
        <v>64</v>
      </c>
      <c r="G1611" s="87">
        <f>G1612</f>
        <v>0</v>
      </c>
      <c r="H1611" s="85">
        <f>H1612</f>
        <v>0</v>
      </c>
      <c r="I1611" s="85">
        <f>I1612</f>
        <v>0</v>
      </c>
      <c r="J1611" s="178"/>
    </row>
    <row r="1612" spans="1:18" ht="18.75" hidden="1" customHeight="1">
      <c r="A1612" s="82" t="s">
        <v>180</v>
      </c>
      <c r="B1612" s="83">
        <v>793</v>
      </c>
      <c r="C1612" s="84" t="s">
        <v>173</v>
      </c>
      <c r="D1612" s="84" t="s">
        <v>173</v>
      </c>
      <c r="E1612" s="84" t="s">
        <v>875</v>
      </c>
      <c r="F1612" s="84" t="s">
        <v>181</v>
      </c>
      <c r="G1612" s="87">
        <f>450000-450000</f>
        <v>0</v>
      </c>
      <c r="H1612" s="87">
        <v>0</v>
      </c>
      <c r="I1612" s="87">
        <v>0</v>
      </c>
      <c r="J1612" s="177"/>
    </row>
    <row r="1613" spans="1:18" s="22" customFormat="1" ht="22.5" customHeight="1">
      <c r="A1613" s="154" t="s">
        <v>2</v>
      </c>
      <c r="B1613" s="275">
        <v>793</v>
      </c>
      <c r="C1613" s="156" t="s">
        <v>161</v>
      </c>
      <c r="D1613" s="156"/>
      <c r="E1613" s="156"/>
      <c r="F1613" s="156"/>
      <c r="G1613" s="157">
        <f>G1614</f>
        <v>11263136.859999999</v>
      </c>
      <c r="H1613" s="157">
        <f t="shared" ref="H1613:I1614" si="413">H1614</f>
        <v>2050000</v>
      </c>
      <c r="I1613" s="157">
        <f t="shared" si="413"/>
        <v>2050000</v>
      </c>
      <c r="J1613" s="196"/>
      <c r="K1613" s="207"/>
      <c r="L1613" s="207"/>
      <c r="M1613" s="207"/>
      <c r="N1613" s="207"/>
      <c r="O1613" s="207"/>
      <c r="P1613" s="207"/>
      <c r="Q1613" s="208"/>
      <c r="R1613" s="207"/>
    </row>
    <row r="1614" spans="1:18" s="3" customFormat="1" ht="24.75" customHeight="1">
      <c r="A1614" s="82" t="s">
        <v>353</v>
      </c>
      <c r="B1614" s="83">
        <v>793</v>
      </c>
      <c r="C1614" s="84" t="s">
        <v>161</v>
      </c>
      <c r="D1614" s="84" t="s">
        <v>173</v>
      </c>
      <c r="E1614" s="84"/>
      <c r="F1614" s="84"/>
      <c r="G1614" s="87">
        <f>G1615</f>
        <v>11263136.859999999</v>
      </c>
      <c r="H1614" s="87">
        <f t="shared" si="413"/>
        <v>2050000</v>
      </c>
      <c r="I1614" s="87">
        <f t="shared" si="413"/>
        <v>2050000</v>
      </c>
      <c r="J1614" s="177"/>
      <c r="K1614" s="199"/>
      <c r="L1614" s="199"/>
      <c r="M1614" s="199"/>
      <c r="N1614" s="199"/>
      <c r="O1614" s="199"/>
      <c r="P1614" s="199"/>
      <c r="Q1614" s="199"/>
      <c r="R1614" s="199"/>
    </row>
    <row r="1615" spans="1:18" s="3" customFormat="1" ht="38.25" customHeight="1">
      <c r="A1615" s="82" t="s">
        <v>480</v>
      </c>
      <c r="B1615" s="83">
        <v>793</v>
      </c>
      <c r="C1615" s="84" t="s">
        <v>161</v>
      </c>
      <c r="D1615" s="84" t="s">
        <v>173</v>
      </c>
      <c r="E1615" s="84" t="s">
        <v>262</v>
      </c>
      <c r="F1615" s="84"/>
      <c r="G1615" s="87">
        <f>G1618+G1624+G1627+G1632+G1636+G1628+G1619</f>
        <v>11263136.859999999</v>
      </c>
      <c r="H1615" s="87">
        <f t="shared" ref="H1615:I1615" si="414">H1618+H1624+H1627+H1632</f>
        <v>2050000</v>
      </c>
      <c r="I1615" s="87">
        <f t="shared" si="414"/>
        <v>2050000</v>
      </c>
      <c r="J1615" s="177"/>
      <c r="K1615" s="199"/>
      <c r="L1615" s="199"/>
      <c r="M1615" s="199"/>
      <c r="N1615" s="199"/>
      <c r="O1615" s="199"/>
      <c r="P1615" s="199"/>
      <c r="Q1615" s="199"/>
      <c r="R1615" s="199"/>
    </row>
    <row r="1616" spans="1:18" s="3" customFormat="1" ht="38.25" customHeight="1">
      <c r="A1616" s="82" t="s">
        <v>533</v>
      </c>
      <c r="B1616" s="83">
        <v>793</v>
      </c>
      <c r="C1616" s="84" t="s">
        <v>161</v>
      </c>
      <c r="D1616" s="84" t="s">
        <v>173</v>
      </c>
      <c r="E1616" s="84" t="s">
        <v>534</v>
      </c>
      <c r="F1616" s="84"/>
      <c r="G1616" s="87">
        <f>G1617</f>
        <v>500000</v>
      </c>
      <c r="H1616" s="87">
        <f t="shared" ref="H1616:I1616" si="415">H1617</f>
        <v>500000</v>
      </c>
      <c r="I1616" s="87">
        <f t="shared" si="415"/>
        <v>500000</v>
      </c>
      <c r="J1616" s="178"/>
      <c r="K1616" s="199"/>
      <c r="L1616" s="199"/>
      <c r="M1616" s="199"/>
      <c r="N1616" s="199"/>
      <c r="O1616" s="199"/>
      <c r="P1616" s="199"/>
      <c r="Q1616" s="199"/>
      <c r="R1616" s="199"/>
    </row>
    <row r="1617" spans="1:18" s="3" customFormat="1" ht="38.25" customHeight="1">
      <c r="A1617" s="82" t="s">
        <v>36</v>
      </c>
      <c r="B1617" s="83">
        <v>793</v>
      </c>
      <c r="C1617" s="84" t="s">
        <v>161</v>
      </c>
      <c r="D1617" s="84" t="s">
        <v>173</v>
      </c>
      <c r="E1617" s="84" t="s">
        <v>534</v>
      </c>
      <c r="F1617" s="84" t="s">
        <v>37</v>
      </c>
      <c r="G1617" s="87">
        <f>G1618</f>
        <v>500000</v>
      </c>
      <c r="H1617" s="87">
        <f t="shared" ref="H1617:I1617" si="416">H1618</f>
        <v>500000</v>
      </c>
      <c r="I1617" s="87">
        <f t="shared" si="416"/>
        <v>500000</v>
      </c>
      <c r="J1617" s="178"/>
      <c r="K1617" s="199"/>
      <c r="L1617" s="199"/>
      <c r="M1617" s="199"/>
      <c r="N1617" s="199"/>
      <c r="O1617" s="199"/>
      <c r="P1617" s="199"/>
      <c r="Q1617" s="199"/>
      <c r="R1617" s="199"/>
    </row>
    <row r="1618" spans="1:18" s="3" customFormat="1" ht="38.25" customHeight="1">
      <c r="A1618" s="82" t="s">
        <v>38</v>
      </c>
      <c r="B1618" s="83">
        <v>793</v>
      </c>
      <c r="C1618" s="84" t="s">
        <v>161</v>
      </c>
      <c r="D1618" s="84" t="s">
        <v>173</v>
      </c>
      <c r="E1618" s="84" t="s">
        <v>534</v>
      </c>
      <c r="F1618" s="84" t="s">
        <v>39</v>
      </c>
      <c r="G1618" s="87">
        <f>500000+1000000-1000000</f>
        <v>500000</v>
      </c>
      <c r="H1618" s="87">
        <v>500000</v>
      </c>
      <c r="I1618" s="87">
        <v>500000</v>
      </c>
      <c r="J1618" s="177"/>
      <c r="K1618" s="199"/>
      <c r="L1618" s="199"/>
      <c r="M1618" s="199"/>
      <c r="N1618" s="199"/>
      <c r="O1618" s="199"/>
      <c r="P1618" s="199"/>
      <c r="Q1618" s="199"/>
      <c r="R1618" s="199"/>
    </row>
    <row r="1619" spans="1:18" s="3" customFormat="1" ht="46.5" customHeight="1">
      <c r="A1619" s="82" t="s">
        <v>1088</v>
      </c>
      <c r="B1619" s="83">
        <v>793</v>
      </c>
      <c r="C1619" s="84" t="s">
        <v>161</v>
      </c>
      <c r="D1619" s="84" t="s">
        <v>173</v>
      </c>
      <c r="E1619" s="84" t="s">
        <v>1087</v>
      </c>
      <c r="F1619" s="84"/>
      <c r="G1619" s="87">
        <f t="shared" ref="G1619:I1620" si="417">G1620</f>
        <v>8931011.5999999996</v>
      </c>
      <c r="H1619" s="87">
        <f t="shared" si="417"/>
        <v>0</v>
      </c>
      <c r="I1619" s="87">
        <f t="shared" si="417"/>
        <v>0</v>
      </c>
      <c r="J1619" s="177"/>
      <c r="K1619" s="199"/>
      <c r="L1619" s="199"/>
      <c r="M1619" s="199"/>
      <c r="N1619" s="199"/>
      <c r="O1619" s="199"/>
      <c r="P1619" s="199"/>
      <c r="Q1619" s="199"/>
      <c r="R1619" s="199"/>
    </row>
    <row r="1620" spans="1:18" s="3" customFormat="1" ht="38.25" customHeight="1">
      <c r="A1620" s="82" t="s">
        <v>36</v>
      </c>
      <c r="B1620" s="83">
        <v>793</v>
      </c>
      <c r="C1620" s="84" t="s">
        <v>161</v>
      </c>
      <c r="D1620" s="84" t="s">
        <v>173</v>
      </c>
      <c r="E1620" s="84" t="s">
        <v>1087</v>
      </c>
      <c r="F1620" s="84" t="s">
        <v>37</v>
      </c>
      <c r="G1620" s="87">
        <f t="shared" si="417"/>
        <v>8931011.5999999996</v>
      </c>
      <c r="H1620" s="87">
        <f t="shared" si="417"/>
        <v>0</v>
      </c>
      <c r="I1620" s="87">
        <f t="shared" si="417"/>
        <v>0</v>
      </c>
      <c r="J1620" s="177"/>
      <c r="K1620" s="199"/>
      <c r="L1620" s="199"/>
      <c r="M1620" s="199"/>
      <c r="N1620" s="199"/>
      <c r="O1620" s="199"/>
      <c r="P1620" s="199"/>
      <c r="Q1620" s="199"/>
      <c r="R1620" s="199"/>
    </row>
    <row r="1621" spans="1:18" s="3" customFormat="1" ht="38.25" customHeight="1">
      <c r="A1621" s="82" t="s">
        <v>38</v>
      </c>
      <c r="B1621" s="83">
        <v>793</v>
      </c>
      <c r="C1621" s="84" t="s">
        <v>161</v>
      </c>
      <c r="D1621" s="84" t="s">
        <v>173</v>
      </c>
      <c r="E1621" s="84" t="s">
        <v>1087</v>
      </c>
      <c r="F1621" s="84" t="s">
        <v>39</v>
      </c>
      <c r="G1621" s="87">
        <v>8931011.5999999996</v>
      </c>
      <c r="H1621" s="87"/>
      <c r="I1621" s="87"/>
      <c r="J1621" s="177"/>
      <c r="K1621" s="199"/>
      <c r="L1621" s="199"/>
      <c r="M1621" s="199"/>
      <c r="N1621" s="199"/>
      <c r="O1621" s="199"/>
      <c r="P1621" s="199"/>
      <c r="Q1621" s="199"/>
      <c r="R1621" s="199"/>
    </row>
    <row r="1622" spans="1:18" s="3" customFormat="1" ht="38.25" customHeight="1">
      <c r="A1622" s="82" t="s">
        <v>489</v>
      </c>
      <c r="B1622" s="83">
        <v>793</v>
      </c>
      <c r="C1622" s="84" t="s">
        <v>161</v>
      </c>
      <c r="D1622" s="84" t="s">
        <v>173</v>
      </c>
      <c r="E1622" s="84" t="s">
        <v>377</v>
      </c>
      <c r="F1622" s="84"/>
      <c r="G1622" s="87">
        <f t="shared" ref="G1622:I1623" si="418">G1623</f>
        <v>426048.26</v>
      </c>
      <c r="H1622" s="87">
        <f t="shared" si="418"/>
        <v>500000</v>
      </c>
      <c r="I1622" s="87">
        <f t="shared" si="418"/>
        <v>500000</v>
      </c>
      <c r="J1622" s="177"/>
      <c r="K1622" s="199"/>
      <c r="L1622" s="199"/>
      <c r="M1622" s="199"/>
      <c r="N1622" s="199"/>
      <c r="O1622" s="199"/>
      <c r="P1622" s="199"/>
      <c r="Q1622" s="199"/>
      <c r="R1622" s="199"/>
    </row>
    <row r="1623" spans="1:18" s="3" customFormat="1" ht="38.25" customHeight="1">
      <c r="A1623" s="82" t="s">
        <v>36</v>
      </c>
      <c r="B1623" s="83">
        <v>793</v>
      </c>
      <c r="C1623" s="84" t="s">
        <v>161</v>
      </c>
      <c r="D1623" s="84" t="s">
        <v>173</v>
      </c>
      <c r="E1623" s="84" t="s">
        <v>377</v>
      </c>
      <c r="F1623" s="84" t="s">
        <v>37</v>
      </c>
      <c r="G1623" s="87">
        <f t="shared" si="418"/>
        <v>426048.26</v>
      </c>
      <c r="H1623" s="87">
        <f t="shared" si="418"/>
        <v>500000</v>
      </c>
      <c r="I1623" s="87">
        <f t="shared" si="418"/>
        <v>500000</v>
      </c>
      <c r="J1623" s="177"/>
      <c r="K1623" s="199"/>
      <c r="L1623" s="199"/>
      <c r="M1623" s="199"/>
      <c r="N1623" s="199"/>
      <c r="O1623" s="199"/>
      <c r="P1623" s="199"/>
      <c r="Q1623" s="199"/>
      <c r="R1623" s="199"/>
    </row>
    <row r="1624" spans="1:18" s="3" customFormat="1" ht="38.25" customHeight="1">
      <c r="A1624" s="82" t="s">
        <v>38</v>
      </c>
      <c r="B1624" s="83">
        <v>793</v>
      </c>
      <c r="C1624" s="84" t="s">
        <v>161</v>
      </c>
      <c r="D1624" s="84" t="s">
        <v>173</v>
      </c>
      <c r="E1624" s="84" t="s">
        <v>377</v>
      </c>
      <c r="F1624" s="84" t="s">
        <v>39</v>
      </c>
      <c r="G1624" s="87">
        <v>426048.26</v>
      </c>
      <c r="H1624" s="87">
        <v>500000</v>
      </c>
      <c r="I1624" s="87">
        <v>500000</v>
      </c>
      <c r="J1624" s="177"/>
      <c r="K1624" s="199"/>
      <c r="L1624" s="199"/>
      <c r="M1624" s="199"/>
      <c r="N1624" s="199"/>
      <c r="O1624" s="199"/>
      <c r="P1624" s="199"/>
      <c r="Q1624" s="199"/>
      <c r="R1624" s="199"/>
    </row>
    <row r="1625" spans="1:18" s="3" customFormat="1" ht="38.25" customHeight="1">
      <c r="A1625" s="82" t="s">
        <v>380</v>
      </c>
      <c r="B1625" s="83">
        <v>793</v>
      </c>
      <c r="C1625" s="84" t="s">
        <v>161</v>
      </c>
      <c r="D1625" s="84" t="s">
        <v>173</v>
      </c>
      <c r="E1625" s="84" t="s">
        <v>378</v>
      </c>
      <c r="F1625" s="84"/>
      <c r="G1625" s="87">
        <f t="shared" ref="G1625:I1629" si="419">G1626</f>
        <v>84300</v>
      </c>
      <c r="H1625" s="87">
        <f t="shared" si="419"/>
        <v>1000000</v>
      </c>
      <c r="I1625" s="87">
        <f t="shared" si="419"/>
        <v>1000000</v>
      </c>
      <c r="J1625" s="177"/>
      <c r="K1625" s="199"/>
      <c r="L1625" s="199"/>
      <c r="M1625" s="199"/>
      <c r="N1625" s="199"/>
      <c r="O1625" s="199"/>
      <c r="P1625" s="199"/>
      <c r="Q1625" s="199"/>
      <c r="R1625" s="199"/>
    </row>
    <row r="1626" spans="1:18" s="3" customFormat="1" ht="38.25" customHeight="1">
      <c r="A1626" s="82" t="s">
        <v>36</v>
      </c>
      <c r="B1626" s="83">
        <v>793</v>
      </c>
      <c r="C1626" s="84" t="s">
        <v>161</v>
      </c>
      <c r="D1626" s="84" t="s">
        <v>173</v>
      </c>
      <c r="E1626" s="84" t="s">
        <v>378</v>
      </c>
      <c r="F1626" s="84" t="s">
        <v>37</v>
      </c>
      <c r="G1626" s="87">
        <f t="shared" si="419"/>
        <v>84300</v>
      </c>
      <c r="H1626" s="87">
        <f t="shared" si="419"/>
        <v>1000000</v>
      </c>
      <c r="I1626" s="87">
        <f t="shared" si="419"/>
        <v>1000000</v>
      </c>
      <c r="J1626" s="177"/>
      <c r="K1626" s="199"/>
      <c r="L1626" s="199"/>
      <c r="M1626" s="199"/>
      <c r="N1626" s="199"/>
      <c r="O1626" s="199"/>
      <c r="P1626" s="199"/>
      <c r="Q1626" s="199"/>
      <c r="R1626" s="199"/>
    </row>
    <row r="1627" spans="1:18" s="3" customFormat="1" ht="39.75" customHeight="1">
      <c r="A1627" s="82" t="s">
        <v>38</v>
      </c>
      <c r="B1627" s="83">
        <v>793</v>
      </c>
      <c r="C1627" s="84" t="s">
        <v>161</v>
      </c>
      <c r="D1627" s="84" t="s">
        <v>173</v>
      </c>
      <c r="E1627" s="84" t="s">
        <v>378</v>
      </c>
      <c r="F1627" s="84" t="s">
        <v>39</v>
      </c>
      <c r="G1627" s="87">
        <v>84300</v>
      </c>
      <c r="H1627" s="87">
        <v>1000000</v>
      </c>
      <c r="I1627" s="87">
        <v>1000000</v>
      </c>
      <c r="J1627" s="177"/>
      <c r="K1627" s="199"/>
      <c r="L1627" s="199"/>
      <c r="M1627" s="199"/>
      <c r="N1627" s="199"/>
      <c r="O1627" s="199"/>
      <c r="P1627" s="199"/>
      <c r="Q1627" s="199"/>
      <c r="R1627" s="199"/>
    </row>
    <row r="1628" spans="1:18" s="3" customFormat="1" ht="38.25" customHeight="1">
      <c r="A1628" s="82" t="s">
        <v>1071</v>
      </c>
      <c r="B1628" s="83">
        <v>793</v>
      </c>
      <c r="C1628" s="84" t="s">
        <v>161</v>
      </c>
      <c r="D1628" s="84" t="s">
        <v>173</v>
      </c>
      <c r="E1628" s="84" t="s">
        <v>1070</v>
      </c>
      <c r="F1628" s="84"/>
      <c r="G1628" s="87">
        <f t="shared" si="419"/>
        <v>1000000</v>
      </c>
      <c r="H1628" s="87">
        <f t="shared" si="419"/>
        <v>0</v>
      </c>
      <c r="I1628" s="87">
        <f t="shared" si="419"/>
        <v>0</v>
      </c>
      <c r="J1628" s="177"/>
      <c r="K1628" s="199"/>
      <c r="L1628" s="199"/>
      <c r="M1628" s="199"/>
      <c r="N1628" s="199"/>
      <c r="O1628" s="199"/>
      <c r="P1628" s="199"/>
      <c r="Q1628" s="199"/>
      <c r="R1628" s="199"/>
    </row>
    <row r="1629" spans="1:18" s="3" customFormat="1" ht="38.25" customHeight="1">
      <c r="A1629" s="82" t="s">
        <v>36</v>
      </c>
      <c r="B1629" s="83">
        <v>793</v>
      </c>
      <c r="C1629" s="84" t="s">
        <v>161</v>
      </c>
      <c r="D1629" s="84" t="s">
        <v>173</v>
      </c>
      <c r="E1629" s="84" t="s">
        <v>1070</v>
      </c>
      <c r="F1629" s="84" t="s">
        <v>37</v>
      </c>
      <c r="G1629" s="87">
        <f t="shared" si="419"/>
        <v>1000000</v>
      </c>
      <c r="H1629" s="87">
        <f t="shared" si="419"/>
        <v>0</v>
      </c>
      <c r="I1629" s="87">
        <f t="shared" si="419"/>
        <v>0</v>
      </c>
      <c r="J1629" s="177"/>
      <c r="K1629" s="199"/>
      <c r="L1629" s="199"/>
      <c r="M1629" s="199"/>
      <c r="N1629" s="199"/>
      <c r="O1629" s="199"/>
      <c r="P1629" s="199"/>
      <c r="Q1629" s="199"/>
      <c r="R1629" s="199"/>
    </row>
    <row r="1630" spans="1:18" s="3" customFormat="1" ht="39.75" customHeight="1">
      <c r="A1630" s="82" t="s">
        <v>38</v>
      </c>
      <c r="B1630" s="83">
        <v>793</v>
      </c>
      <c r="C1630" s="84" t="s">
        <v>161</v>
      </c>
      <c r="D1630" s="84" t="s">
        <v>173</v>
      </c>
      <c r="E1630" s="84" t="s">
        <v>1070</v>
      </c>
      <c r="F1630" s="84" t="s">
        <v>39</v>
      </c>
      <c r="G1630" s="87">
        <v>1000000</v>
      </c>
      <c r="H1630" s="87"/>
      <c r="I1630" s="87"/>
      <c r="J1630" s="177"/>
      <c r="K1630" s="199"/>
      <c r="L1630" s="199"/>
      <c r="M1630" s="199"/>
      <c r="N1630" s="199"/>
      <c r="O1630" s="199"/>
      <c r="P1630" s="199"/>
      <c r="Q1630" s="199"/>
      <c r="R1630" s="199"/>
    </row>
    <row r="1631" spans="1:18" s="3" customFormat="1" ht="35.25" customHeight="1">
      <c r="A1631" s="82" t="s">
        <v>128</v>
      </c>
      <c r="B1631" s="83">
        <v>793</v>
      </c>
      <c r="C1631" s="84" t="s">
        <v>161</v>
      </c>
      <c r="D1631" s="84" t="s">
        <v>173</v>
      </c>
      <c r="E1631" s="84" t="s">
        <v>286</v>
      </c>
      <c r="F1631" s="84"/>
      <c r="G1631" s="87">
        <f>G1633</f>
        <v>50000</v>
      </c>
      <c r="H1631" s="87">
        <f>H1633</f>
        <v>50000</v>
      </c>
      <c r="I1631" s="87">
        <f>I1633</f>
        <v>50000</v>
      </c>
      <c r="J1631" s="177"/>
      <c r="K1631" s="199"/>
      <c r="L1631" s="199"/>
      <c r="M1631" s="199"/>
      <c r="N1631" s="199"/>
      <c r="O1631" s="199"/>
      <c r="P1631" s="199"/>
      <c r="Q1631" s="199"/>
      <c r="R1631" s="199"/>
    </row>
    <row r="1632" spans="1:18" s="3" customFormat="1" ht="38.25" customHeight="1">
      <c r="A1632" s="82" t="s">
        <v>36</v>
      </c>
      <c r="B1632" s="83">
        <v>793</v>
      </c>
      <c r="C1632" s="84" t="s">
        <v>161</v>
      </c>
      <c r="D1632" s="84" t="s">
        <v>173</v>
      </c>
      <c r="E1632" s="84" t="s">
        <v>286</v>
      </c>
      <c r="F1632" s="84" t="s">
        <v>37</v>
      </c>
      <c r="G1632" s="87">
        <f>G1633</f>
        <v>50000</v>
      </c>
      <c r="H1632" s="87">
        <f>H1633</f>
        <v>50000</v>
      </c>
      <c r="I1632" s="87">
        <f>I1633</f>
        <v>50000</v>
      </c>
      <c r="J1632" s="177"/>
      <c r="K1632" s="199"/>
      <c r="L1632" s="199"/>
      <c r="M1632" s="199"/>
      <c r="N1632" s="199"/>
      <c r="O1632" s="199"/>
      <c r="P1632" s="199"/>
      <c r="Q1632" s="199"/>
      <c r="R1632" s="199"/>
    </row>
    <row r="1633" spans="1:20" s="3" customFormat="1" ht="46.5" customHeight="1">
      <c r="A1633" s="82" t="s">
        <v>38</v>
      </c>
      <c r="B1633" s="83">
        <v>793</v>
      </c>
      <c r="C1633" s="84" t="s">
        <v>161</v>
      </c>
      <c r="D1633" s="84" t="s">
        <v>173</v>
      </c>
      <c r="E1633" s="84" t="s">
        <v>286</v>
      </c>
      <c r="F1633" s="84" t="s">
        <v>39</v>
      </c>
      <c r="G1633" s="87">
        <v>50000</v>
      </c>
      <c r="H1633" s="87">
        <v>50000</v>
      </c>
      <c r="I1633" s="87">
        <v>50000</v>
      </c>
      <c r="J1633" s="177"/>
      <c r="K1633" s="199"/>
      <c r="L1633" s="199"/>
      <c r="M1633" s="199"/>
      <c r="N1633" s="199"/>
      <c r="O1633" s="199"/>
      <c r="P1633" s="199"/>
      <c r="Q1633" s="199"/>
      <c r="R1633" s="199"/>
      <c r="S1633" s="62"/>
      <c r="T1633" s="62"/>
    </row>
    <row r="1634" spans="1:20" s="3" customFormat="1" ht="129.75" customHeight="1">
      <c r="A1634" s="82" t="s">
        <v>1021</v>
      </c>
      <c r="B1634" s="83">
        <v>793</v>
      </c>
      <c r="C1634" s="84" t="s">
        <v>161</v>
      </c>
      <c r="D1634" s="84" t="s">
        <v>173</v>
      </c>
      <c r="E1634" s="84" t="s">
        <v>1020</v>
      </c>
      <c r="F1634" s="84"/>
      <c r="G1634" s="87">
        <f>G1635</f>
        <v>271777</v>
      </c>
      <c r="H1634" s="87">
        <f t="shared" ref="H1634:I1635" si="420">H1635</f>
        <v>0</v>
      </c>
      <c r="I1634" s="87">
        <f t="shared" si="420"/>
        <v>0</v>
      </c>
      <c r="J1634" s="178"/>
      <c r="K1634" s="199"/>
      <c r="L1634" s="199"/>
      <c r="M1634" s="199"/>
      <c r="N1634" s="199"/>
      <c r="O1634" s="199"/>
      <c r="P1634" s="199"/>
      <c r="Q1634" s="199"/>
      <c r="R1634" s="199"/>
    </row>
    <row r="1635" spans="1:20" s="3" customFormat="1" ht="38.25" customHeight="1">
      <c r="A1635" s="82" t="s">
        <v>63</v>
      </c>
      <c r="B1635" s="83">
        <v>793</v>
      </c>
      <c r="C1635" s="84" t="s">
        <v>161</v>
      </c>
      <c r="D1635" s="84" t="s">
        <v>173</v>
      </c>
      <c r="E1635" s="84" t="s">
        <v>1020</v>
      </c>
      <c r="F1635" s="84" t="s">
        <v>64</v>
      </c>
      <c r="G1635" s="87">
        <f>G1636</f>
        <v>271777</v>
      </c>
      <c r="H1635" s="87">
        <f t="shared" si="420"/>
        <v>0</v>
      </c>
      <c r="I1635" s="87">
        <f t="shared" si="420"/>
        <v>0</v>
      </c>
      <c r="J1635" s="178"/>
      <c r="K1635" s="199"/>
      <c r="L1635" s="199"/>
      <c r="M1635" s="199"/>
      <c r="N1635" s="199"/>
      <c r="O1635" s="199"/>
      <c r="P1635" s="199"/>
      <c r="Q1635" s="199"/>
      <c r="R1635" s="199"/>
    </row>
    <row r="1636" spans="1:20" s="3" customFormat="1" ht="38.25" customHeight="1">
      <c r="A1636" s="82" t="s">
        <v>180</v>
      </c>
      <c r="B1636" s="83">
        <v>793</v>
      </c>
      <c r="C1636" s="84" t="s">
        <v>161</v>
      </c>
      <c r="D1636" s="84" t="s">
        <v>173</v>
      </c>
      <c r="E1636" s="84" t="s">
        <v>1020</v>
      </c>
      <c r="F1636" s="84" t="s">
        <v>181</v>
      </c>
      <c r="G1636" s="87">
        <v>271777</v>
      </c>
      <c r="H1636" s="87"/>
      <c r="I1636" s="87"/>
      <c r="J1636" s="177"/>
      <c r="K1636" s="199"/>
      <c r="L1636" s="199"/>
      <c r="M1636" s="199"/>
      <c r="N1636" s="199"/>
      <c r="O1636" s="199"/>
      <c r="P1636" s="199"/>
      <c r="Q1636" s="199"/>
      <c r="R1636" s="199"/>
    </row>
    <row r="1637" spans="1:20" ht="16.5" customHeight="1">
      <c r="A1637" s="270" t="s">
        <v>25</v>
      </c>
      <c r="B1637" s="272" t="s">
        <v>845</v>
      </c>
      <c r="C1637" s="272" t="s">
        <v>26</v>
      </c>
      <c r="D1637" s="272"/>
      <c r="E1637" s="272"/>
      <c r="F1637" s="272"/>
      <c r="G1637" s="96">
        <f>G1638</f>
        <v>491400</v>
      </c>
      <c r="H1637" s="96">
        <f t="shared" ref="H1637:I1637" si="421">H1638</f>
        <v>189000</v>
      </c>
      <c r="I1637" s="96">
        <f t="shared" si="421"/>
        <v>189000</v>
      </c>
      <c r="J1637" s="192"/>
      <c r="K1637" s="192"/>
      <c r="L1637" s="192"/>
      <c r="M1637" s="192"/>
      <c r="N1637" s="192"/>
      <c r="O1637" s="192"/>
      <c r="S1637" s="69"/>
      <c r="T1637" s="69"/>
    </row>
    <row r="1638" spans="1:20" ht="14.25" customHeight="1">
      <c r="A1638" s="82" t="s">
        <v>282</v>
      </c>
      <c r="B1638" s="149">
        <v>793</v>
      </c>
      <c r="C1638" s="84" t="s">
        <v>26</v>
      </c>
      <c r="D1638" s="84" t="s">
        <v>26</v>
      </c>
      <c r="E1638" s="84"/>
      <c r="F1638" s="149"/>
      <c r="G1638" s="87">
        <f>G1647+G1639+G1654</f>
        <v>491400</v>
      </c>
      <c r="H1638" s="87">
        <f t="shared" ref="H1638:I1638" si="422">H1647+H1639</f>
        <v>189000</v>
      </c>
      <c r="I1638" s="87">
        <f t="shared" si="422"/>
        <v>189000</v>
      </c>
      <c r="J1638" s="177"/>
      <c r="S1638" s="69"/>
      <c r="T1638" s="69"/>
    </row>
    <row r="1639" spans="1:20" ht="32.25" hidden="1" customHeight="1">
      <c r="A1639" s="82" t="s">
        <v>478</v>
      </c>
      <c r="B1639" s="149">
        <v>757</v>
      </c>
      <c r="C1639" s="84" t="s">
        <v>26</v>
      </c>
      <c r="D1639" s="84" t="s">
        <v>26</v>
      </c>
      <c r="E1639" s="84" t="s">
        <v>398</v>
      </c>
      <c r="F1639" s="84"/>
      <c r="G1639" s="87">
        <f>G1640</f>
        <v>0</v>
      </c>
      <c r="H1639" s="87">
        <f>H1641</f>
        <v>0</v>
      </c>
      <c r="I1639" s="87">
        <f>I1641</f>
        <v>0</v>
      </c>
      <c r="J1639" s="177"/>
      <c r="S1639" s="69"/>
      <c r="T1639" s="69"/>
    </row>
    <row r="1640" spans="1:20" ht="22.5" hidden="1" customHeight="1">
      <c r="A1640" s="82" t="s">
        <v>119</v>
      </c>
      <c r="B1640" s="149">
        <v>757</v>
      </c>
      <c r="C1640" s="84" t="s">
        <v>26</v>
      </c>
      <c r="D1640" s="84" t="s">
        <v>26</v>
      </c>
      <c r="E1640" s="84" t="s">
        <v>608</v>
      </c>
      <c r="F1640" s="84"/>
      <c r="G1640" s="87">
        <f>G1641+G1644</f>
        <v>0</v>
      </c>
      <c r="H1640" s="87">
        <f t="shared" ref="H1640:I1640" si="423">H1641+H1644</f>
        <v>0</v>
      </c>
      <c r="I1640" s="87">
        <f t="shared" si="423"/>
        <v>0</v>
      </c>
      <c r="J1640" s="177"/>
      <c r="S1640" s="69"/>
      <c r="T1640" s="69"/>
    </row>
    <row r="1641" spans="1:20" ht="51" hidden="1">
      <c r="A1641" s="82" t="s">
        <v>127</v>
      </c>
      <c r="B1641" s="149">
        <v>757</v>
      </c>
      <c r="C1641" s="84" t="s">
        <v>26</v>
      </c>
      <c r="D1641" s="84" t="s">
        <v>26</v>
      </c>
      <c r="E1641" s="84" t="s">
        <v>191</v>
      </c>
      <c r="F1641" s="84"/>
      <c r="G1641" s="87">
        <f t="shared" ref="G1641:I1642" si="424">G1642</f>
        <v>0</v>
      </c>
      <c r="H1641" s="87">
        <f t="shared" si="424"/>
        <v>0</v>
      </c>
      <c r="I1641" s="87">
        <f t="shared" si="424"/>
        <v>0</v>
      </c>
      <c r="J1641" s="177"/>
      <c r="S1641" s="69"/>
      <c r="T1641" s="69"/>
    </row>
    <row r="1642" spans="1:20" ht="25.5" hidden="1">
      <c r="A1642" s="82" t="s">
        <v>30</v>
      </c>
      <c r="B1642" s="149">
        <v>757</v>
      </c>
      <c r="C1642" s="84" t="s">
        <v>26</v>
      </c>
      <c r="D1642" s="84" t="s">
        <v>26</v>
      </c>
      <c r="E1642" s="84" t="s">
        <v>191</v>
      </c>
      <c r="F1642" s="84" t="s">
        <v>31</v>
      </c>
      <c r="G1642" s="87">
        <f t="shared" si="424"/>
        <v>0</v>
      </c>
      <c r="H1642" s="87">
        <f t="shared" si="424"/>
        <v>0</v>
      </c>
      <c r="I1642" s="87">
        <f t="shared" si="424"/>
        <v>0</v>
      </c>
      <c r="J1642" s="177"/>
      <c r="S1642" s="69"/>
      <c r="T1642" s="69"/>
    </row>
    <row r="1643" spans="1:20" ht="19.5" hidden="1" customHeight="1">
      <c r="A1643" s="82" t="s">
        <v>32</v>
      </c>
      <c r="B1643" s="149">
        <v>757</v>
      </c>
      <c r="C1643" s="84" t="s">
        <v>26</v>
      </c>
      <c r="D1643" s="84" t="s">
        <v>26</v>
      </c>
      <c r="E1643" s="84" t="s">
        <v>191</v>
      </c>
      <c r="F1643" s="84" t="s">
        <v>33</v>
      </c>
      <c r="G1643" s="87"/>
      <c r="H1643" s="87">
        <v>0</v>
      </c>
      <c r="I1643" s="87">
        <v>0</v>
      </c>
      <c r="J1643" s="177"/>
      <c r="S1643" s="69"/>
      <c r="T1643" s="69"/>
    </row>
    <row r="1644" spans="1:20" s="18" customFormat="1" ht="61.5" hidden="1" customHeight="1">
      <c r="A1644" s="135" t="s">
        <v>352</v>
      </c>
      <c r="B1644" s="84" t="s">
        <v>51</v>
      </c>
      <c r="C1644" s="84" t="s">
        <v>26</v>
      </c>
      <c r="D1644" s="84" t="s">
        <v>26</v>
      </c>
      <c r="E1644" s="84" t="s">
        <v>192</v>
      </c>
      <c r="F1644" s="84"/>
      <c r="G1644" s="87">
        <f>G1645</f>
        <v>0</v>
      </c>
      <c r="H1644" s="87">
        <f t="shared" ref="H1644:I1644" si="425">H1645</f>
        <v>0</v>
      </c>
      <c r="I1644" s="87">
        <f t="shared" si="425"/>
        <v>0</v>
      </c>
      <c r="J1644" s="177"/>
      <c r="K1644" s="200"/>
      <c r="L1644" s="200"/>
      <c r="M1644" s="200"/>
      <c r="N1644" s="200"/>
      <c r="O1644" s="200"/>
      <c r="P1644" s="200"/>
      <c r="Q1644" s="200"/>
      <c r="R1644" s="200"/>
      <c r="S1644" s="184"/>
      <c r="T1644" s="184"/>
    </row>
    <row r="1645" spans="1:20" s="18" customFormat="1" ht="25.5" hidden="1">
      <c r="A1645" s="82" t="s">
        <v>30</v>
      </c>
      <c r="B1645" s="84" t="s">
        <v>51</v>
      </c>
      <c r="C1645" s="84" t="s">
        <v>26</v>
      </c>
      <c r="D1645" s="84" t="s">
        <v>26</v>
      </c>
      <c r="E1645" s="84" t="s">
        <v>192</v>
      </c>
      <c r="F1645" s="84" t="s">
        <v>31</v>
      </c>
      <c r="G1645" s="87">
        <f>G1646</f>
        <v>0</v>
      </c>
      <c r="H1645" s="87">
        <f>H1646</f>
        <v>0</v>
      </c>
      <c r="I1645" s="87">
        <f>I1646</f>
        <v>0</v>
      </c>
      <c r="J1645" s="177"/>
      <c r="K1645" s="200"/>
      <c r="L1645" s="200"/>
      <c r="M1645" s="200"/>
      <c r="N1645" s="200"/>
      <c r="O1645" s="200"/>
      <c r="P1645" s="200"/>
      <c r="Q1645" s="200"/>
      <c r="R1645" s="200"/>
      <c r="S1645" s="184"/>
      <c r="T1645" s="184"/>
    </row>
    <row r="1646" spans="1:20" s="18" customFormat="1" hidden="1">
      <c r="A1646" s="82" t="s">
        <v>32</v>
      </c>
      <c r="B1646" s="84" t="s">
        <v>51</v>
      </c>
      <c r="C1646" s="84" t="s">
        <v>26</v>
      </c>
      <c r="D1646" s="84" t="s">
        <v>26</v>
      </c>
      <c r="E1646" s="84" t="s">
        <v>192</v>
      </c>
      <c r="F1646" s="84" t="s">
        <v>33</v>
      </c>
      <c r="G1646" s="87"/>
      <c r="H1646" s="87"/>
      <c r="I1646" s="87"/>
      <c r="J1646" s="177"/>
      <c r="K1646" s="200"/>
      <c r="L1646" s="200"/>
      <c r="M1646" s="200"/>
      <c r="N1646" s="200"/>
      <c r="O1646" s="200"/>
      <c r="P1646" s="200"/>
      <c r="Q1646" s="200"/>
      <c r="R1646" s="200"/>
      <c r="S1646" s="184"/>
      <c r="T1646" s="184"/>
    </row>
    <row r="1647" spans="1:20" s="18" customFormat="1" ht="25.5">
      <c r="A1647" s="82" t="s">
        <v>482</v>
      </c>
      <c r="B1647" s="149">
        <v>793</v>
      </c>
      <c r="C1647" s="84" t="s">
        <v>26</v>
      </c>
      <c r="D1647" s="84" t="s">
        <v>26</v>
      </c>
      <c r="E1647" s="84" t="s">
        <v>197</v>
      </c>
      <c r="F1647" s="84"/>
      <c r="G1647" s="87">
        <f>G1648+G1651</f>
        <v>331400</v>
      </c>
      <c r="H1647" s="87">
        <f t="shared" ref="H1647:I1647" si="426">H1648+H1651</f>
        <v>189000</v>
      </c>
      <c r="I1647" s="87">
        <f t="shared" si="426"/>
        <v>189000</v>
      </c>
      <c r="J1647" s="177"/>
      <c r="K1647" s="177"/>
      <c r="L1647" s="177"/>
      <c r="M1647" s="177"/>
      <c r="N1647" s="177"/>
      <c r="O1647" s="200"/>
      <c r="P1647" s="200"/>
      <c r="Q1647" s="200"/>
      <c r="R1647" s="200"/>
      <c r="S1647" s="184"/>
      <c r="T1647" s="184"/>
    </row>
    <row r="1648" spans="1:20" s="18" customFormat="1">
      <c r="A1648" s="82" t="s">
        <v>340</v>
      </c>
      <c r="B1648" s="149">
        <v>793</v>
      </c>
      <c r="C1648" s="84" t="s">
        <v>26</v>
      </c>
      <c r="D1648" s="84" t="s">
        <v>26</v>
      </c>
      <c r="E1648" s="84" t="s">
        <v>198</v>
      </c>
      <c r="F1648" s="84"/>
      <c r="G1648" s="87">
        <f>G1649</f>
        <v>187400</v>
      </c>
      <c r="H1648" s="87">
        <f>H1649+H1652</f>
        <v>189000</v>
      </c>
      <c r="I1648" s="87">
        <f>I1649+I1652</f>
        <v>189000</v>
      </c>
      <c r="J1648" s="177"/>
      <c r="K1648" s="200"/>
      <c r="L1648" s="200"/>
      <c r="M1648" s="200"/>
      <c r="N1648" s="200"/>
      <c r="O1648" s="200"/>
      <c r="P1648" s="200"/>
      <c r="Q1648" s="200"/>
      <c r="R1648" s="200"/>
      <c r="S1648" s="184"/>
      <c r="T1648" s="184"/>
    </row>
    <row r="1649" spans="1:20" s="18" customFormat="1" ht="25.5">
      <c r="A1649" s="82" t="s">
        <v>36</v>
      </c>
      <c r="B1649" s="149">
        <v>793</v>
      </c>
      <c r="C1649" s="84" t="s">
        <v>26</v>
      </c>
      <c r="D1649" s="84" t="s">
        <v>26</v>
      </c>
      <c r="E1649" s="84" t="s">
        <v>198</v>
      </c>
      <c r="F1649" s="84" t="s">
        <v>37</v>
      </c>
      <c r="G1649" s="87">
        <f>G1650</f>
        <v>187400</v>
      </c>
      <c r="H1649" s="87">
        <f>H1650</f>
        <v>189000</v>
      </c>
      <c r="I1649" s="87">
        <f>I1650</f>
        <v>189000</v>
      </c>
      <c r="J1649" s="177"/>
      <c r="K1649" s="200"/>
      <c r="L1649" s="200"/>
      <c r="M1649" s="200"/>
      <c r="N1649" s="200"/>
      <c r="O1649" s="200"/>
      <c r="P1649" s="200"/>
      <c r="Q1649" s="200"/>
      <c r="R1649" s="200"/>
      <c r="S1649" s="184"/>
      <c r="T1649" s="184"/>
    </row>
    <row r="1650" spans="1:20" s="18" customFormat="1" ht="25.5">
      <c r="A1650" s="82" t="s">
        <v>38</v>
      </c>
      <c r="B1650" s="149">
        <v>793</v>
      </c>
      <c r="C1650" s="84" t="s">
        <v>26</v>
      </c>
      <c r="D1650" s="84" t="s">
        <v>26</v>
      </c>
      <c r="E1650" s="84" t="s">
        <v>198</v>
      </c>
      <c r="F1650" s="84" t="s">
        <v>39</v>
      </c>
      <c r="G1650" s="87">
        <v>187400</v>
      </c>
      <c r="H1650" s="87">
        <f>139000+50000</f>
        <v>189000</v>
      </c>
      <c r="I1650" s="87">
        <f>139000+50000</f>
        <v>189000</v>
      </c>
      <c r="J1650" s="177"/>
      <c r="K1650" s="200"/>
      <c r="L1650" s="200"/>
      <c r="M1650" s="200"/>
      <c r="N1650" s="200"/>
      <c r="O1650" s="200"/>
      <c r="P1650" s="200"/>
      <c r="Q1650" s="200"/>
      <c r="R1650" s="200"/>
    </row>
    <row r="1651" spans="1:20" s="18" customFormat="1" ht="25.5">
      <c r="A1651" s="82" t="s">
        <v>299</v>
      </c>
      <c r="B1651" s="149">
        <v>793</v>
      </c>
      <c r="C1651" s="84" t="s">
        <v>26</v>
      </c>
      <c r="D1651" s="84" t="s">
        <v>26</v>
      </c>
      <c r="E1651" s="84" t="s">
        <v>804</v>
      </c>
      <c r="F1651" s="84"/>
      <c r="G1651" s="87">
        <f>G1652</f>
        <v>144000</v>
      </c>
      <c r="H1651" s="87"/>
      <c r="I1651" s="87"/>
      <c r="J1651" s="177"/>
      <c r="K1651" s="200"/>
      <c r="L1651" s="200"/>
      <c r="M1651" s="200"/>
      <c r="N1651" s="200"/>
      <c r="O1651" s="200"/>
      <c r="P1651" s="200"/>
      <c r="Q1651" s="200"/>
      <c r="R1651" s="200"/>
    </row>
    <row r="1652" spans="1:20" s="18" customFormat="1" ht="25.5">
      <c r="A1652" s="82" t="s">
        <v>36</v>
      </c>
      <c r="B1652" s="84" t="s">
        <v>845</v>
      </c>
      <c r="C1652" s="84" t="s">
        <v>26</v>
      </c>
      <c r="D1652" s="84" t="s">
        <v>26</v>
      </c>
      <c r="E1652" s="84" t="s">
        <v>804</v>
      </c>
      <c r="F1652" s="84" t="s">
        <v>37</v>
      </c>
      <c r="G1652" s="87">
        <f>G1653</f>
        <v>144000</v>
      </c>
      <c r="H1652" s="87">
        <f>H1653</f>
        <v>0</v>
      </c>
      <c r="I1652" s="87">
        <f>I1653</f>
        <v>0</v>
      </c>
      <c r="J1652" s="177"/>
      <c r="K1652" s="200"/>
      <c r="L1652" s="200"/>
      <c r="M1652" s="200"/>
      <c r="N1652" s="200"/>
      <c r="O1652" s="200"/>
      <c r="P1652" s="200"/>
      <c r="Q1652" s="200"/>
      <c r="R1652" s="200"/>
    </row>
    <row r="1653" spans="1:20" s="18" customFormat="1" ht="25.5">
      <c r="A1653" s="82" t="s">
        <v>38</v>
      </c>
      <c r="B1653" s="84" t="s">
        <v>845</v>
      </c>
      <c r="C1653" s="84" t="s">
        <v>26</v>
      </c>
      <c r="D1653" s="84" t="s">
        <v>26</v>
      </c>
      <c r="E1653" s="84" t="s">
        <v>804</v>
      </c>
      <c r="F1653" s="84" t="s">
        <v>39</v>
      </c>
      <c r="G1653" s="87">
        <v>144000</v>
      </c>
      <c r="H1653" s="87"/>
      <c r="I1653" s="87"/>
      <c r="J1653" s="177"/>
      <c r="K1653" s="200"/>
      <c r="L1653" s="200"/>
      <c r="M1653" s="200"/>
      <c r="N1653" s="200"/>
      <c r="O1653" s="200"/>
      <c r="P1653" s="200"/>
      <c r="Q1653" s="200"/>
      <c r="R1653" s="200"/>
    </row>
    <row r="1654" spans="1:20" s="18" customFormat="1" ht="30.75" customHeight="1">
      <c r="A1654" s="82" t="s">
        <v>169</v>
      </c>
      <c r="B1654" s="149">
        <v>793</v>
      </c>
      <c r="C1654" s="84" t="s">
        <v>26</v>
      </c>
      <c r="D1654" s="84" t="s">
        <v>26</v>
      </c>
      <c r="E1654" s="84" t="s">
        <v>234</v>
      </c>
      <c r="F1654" s="84"/>
      <c r="G1654" s="87">
        <f>G1655</f>
        <v>160000</v>
      </c>
      <c r="H1654" s="87"/>
      <c r="I1654" s="87"/>
      <c r="J1654" s="177"/>
      <c r="K1654" s="200"/>
      <c r="L1654" s="200"/>
      <c r="M1654" s="200"/>
      <c r="N1654" s="200"/>
      <c r="O1654" s="200"/>
      <c r="P1654" s="200"/>
      <c r="Q1654" s="200"/>
      <c r="R1654" s="200"/>
    </row>
    <row r="1655" spans="1:20" s="18" customFormat="1" ht="25.5">
      <c r="A1655" s="82" t="s">
        <v>169</v>
      </c>
      <c r="B1655" s="149">
        <v>793</v>
      </c>
      <c r="C1655" s="84" t="s">
        <v>26</v>
      </c>
      <c r="D1655" s="84" t="s">
        <v>26</v>
      </c>
      <c r="E1655" s="84" t="s">
        <v>276</v>
      </c>
      <c r="F1655" s="84"/>
      <c r="G1655" s="87">
        <f>G1656</f>
        <v>160000</v>
      </c>
      <c r="H1655" s="87"/>
      <c r="I1655" s="87"/>
      <c r="J1655" s="177"/>
      <c r="K1655" s="200"/>
      <c r="L1655" s="200"/>
      <c r="M1655" s="200"/>
      <c r="N1655" s="200"/>
      <c r="O1655" s="200"/>
      <c r="P1655" s="200"/>
      <c r="Q1655" s="200"/>
      <c r="R1655" s="200"/>
    </row>
    <row r="1656" spans="1:20" s="18" customFormat="1" ht="25.5">
      <c r="A1656" s="82" t="s">
        <v>36</v>
      </c>
      <c r="B1656" s="84" t="s">
        <v>845</v>
      </c>
      <c r="C1656" s="84" t="s">
        <v>26</v>
      </c>
      <c r="D1656" s="84" t="s">
        <v>26</v>
      </c>
      <c r="E1656" s="84" t="s">
        <v>276</v>
      </c>
      <c r="F1656" s="84" t="s">
        <v>37</v>
      </c>
      <c r="G1656" s="87">
        <f>G1657</f>
        <v>160000</v>
      </c>
      <c r="H1656" s="87">
        <f>H1657</f>
        <v>0</v>
      </c>
      <c r="I1656" s="87">
        <f>I1657</f>
        <v>0</v>
      </c>
      <c r="J1656" s="177"/>
      <c r="K1656" s="200"/>
      <c r="L1656" s="200"/>
      <c r="M1656" s="200"/>
      <c r="N1656" s="200"/>
      <c r="O1656" s="200"/>
      <c r="P1656" s="200"/>
      <c r="Q1656" s="200"/>
      <c r="R1656" s="200"/>
    </row>
    <row r="1657" spans="1:20" s="18" customFormat="1" ht="25.5">
      <c r="A1657" s="82" t="s">
        <v>38</v>
      </c>
      <c r="B1657" s="84" t="s">
        <v>845</v>
      </c>
      <c r="C1657" s="84" t="s">
        <v>26</v>
      </c>
      <c r="D1657" s="84" t="s">
        <v>26</v>
      </c>
      <c r="E1657" s="84" t="s">
        <v>276</v>
      </c>
      <c r="F1657" s="84" t="s">
        <v>39</v>
      </c>
      <c r="G1657" s="87">
        <v>160000</v>
      </c>
      <c r="H1657" s="87"/>
      <c r="I1657" s="87"/>
      <c r="J1657" s="177"/>
      <c r="K1657" s="200"/>
      <c r="L1657" s="200"/>
      <c r="M1657" s="200"/>
      <c r="N1657" s="200"/>
      <c r="O1657" s="200"/>
      <c r="P1657" s="200"/>
      <c r="Q1657" s="200"/>
      <c r="R1657" s="200"/>
    </row>
    <row r="1658" spans="1:20" s="18" customFormat="1" ht="18.75" customHeight="1">
      <c r="A1658" s="154" t="s">
        <v>43</v>
      </c>
      <c r="B1658" s="84" t="s">
        <v>845</v>
      </c>
      <c r="C1658" s="84" t="s">
        <v>44</v>
      </c>
      <c r="D1658" s="84"/>
      <c r="E1658" s="84"/>
      <c r="F1658" s="84"/>
      <c r="G1658" s="87">
        <f>G1659</f>
        <v>23085.759999999998</v>
      </c>
      <c r="H1658" s="87"/>
      <c r="I1658" s="87"/>
      <c r="J1658" s="177"/>
      <c r="K1658" s="200"/>
      <c r="L1658" s="200"/>
      <c r="M1658" s="200"/>
      <c r="N1658" s="200"/>
      <c r="O1658" s="200"/>
      <c r="P1658" s="200"/>
      <c r="Q1658" s="200"/>
      <c r="R1658" s="200"/>
    </row>
    <row r="1659" spans="1:20" s="18" customFormat="1" ht="19.5" customHeight="1">
      <c r="A1659" s="82" t="s">
        <v>45</v>
      </c>
      <c r="B1659" s="84" t="s">
        <v>845</v>
      </c>
      <c r="C1659" s="84" t="s">
        <v>44</v>
      </c>
      <c r="D1659" s="84" t="s">
        <v>19</v>
      </c>
      <c r="E1659" s="84"/>
      <c r="F1659" s="84"/>
      <c r="G1659" s="87">
        <f>G1660</f>
        <v>23085.759999999998</v>
      </c>
      <c r="H1659" s="87"/>
      <c r="I1659" s="87"/>
      <c r="J1659" s="177"/>
      <c r="K1659" s="200"/>
      <c r="L1659" s="200"/>
      <c r="M1659" s="200"/>
      <c r="N1659" s="200"/>
      <c r="O1659" s="200"/>
      <c r="P1659" s="200"/>
      <c r="Q1659" s="200"/>
      <c r="R1659" s="200"/>
    </row>
    <row r="1660" spans="1:20" s="18" customFormat="1" ht="30.75" customHeight="1">
      <c r="A1660" s="82" t="s">
        <v>169</v>
      </c>
      <c r="B1660" s="149">
        <v>793</v>
      </c>
      <c r="C1660" s="84" t="s">
        <v>44</v>
      </c>
      <c r="D1660" s="84" t="s">
        <v>19</v>
      </c>
      <c r="E1660" s="84" t="s">
        <v>234</v>
      </c>
      <c r="F1660" s="84"/>
      <c r="G1660" s="87">
        <f>G1661</f>
        <v>23085.759999999998</v>
      </c>
      <c r="H1660" s="87"/>
      <c r="I1660" s="87"/>
      <c r="J1660" s="177"/>
      <c r="K1660" s="200"/>
      <c r="L1660" s="200"/>
      <c r="M1660" s="200"/>
      <c r="N1660" s="200"/>
      <c r="O1660" s="200"/>
      <c r="P1660" s="200"/>
      <c r="Q1660" s="200"/>
      <c r="R1660" s="200"/>
    </row>
    <row r="1661" spans="1:20" s="18" customFormat="1" ht="25.5">
      <c r="A1661" s="82" t="s">
        <v>169</v>
      </c>
      <c r="B1661" s="149">
        <v>793</v>
      </c>
      <c r="C1661" s="84" t="s">
        <v>44</v>
      </c>
      <c r="D1661" s="84" t="s">
        <v>19</v>
      </c>
      <c r="E1661" s="84" t="s">
        <v>276</v>
      </c>
      <c r="F1661" s="84"/>
      <c r="G1661" s="87">
        <f>G1662</f>
        <v>23085.759999999998</v>
      </c>
      <c r="H1661" s="87"/>
      <c r="I1661" s="87"/>
      <c r="J1661" s="177"/>
      <c r="K1661" s="200"/>
      <c r="L1661" s="200"/>
      <c r="M1661" s="200"/>
      <c r="N1661" s="200"/>
      <c r="O1661" s="200"/>
      <c r="P1661" s="200"/>
      <c r="Q1661" s="200"/>
      <c r="R1661" s="200"/>
    </row>
    <row r="1662" spans="1:20" s="18" customFormat="1">
      <c r="A1662" s="82" t="s">
        <v>156</v>
      </c>
      <c r="B1662" s="84" t="s">
        <v>845</v>
      </c>
      <c r="C1662" s="84" t="s">
        <v>44</v>
      </c>
      <c r="D1662" s="84" t="s">
        <v>19</v>
      </c>
      <c r="E1662" s="84" t="s">
        <v>276</v>
      </c>
      <c r="F1662" s="84" t="s">
        <v>157</v>
      </c>
      <c r="G1662" s="87">
        <f>G1663</f>
        <v>23085.759999999998</v>
      </c>
      <c r="H1662" s="87">
        <f>H1663</f>
        <v>0</v>
      </c>
      <c r="I1662" s="87">
        <f>I1663</f>
        <v>0</v>
      </c>
      <c r="J1662" s="177"/>
      <c r="K1662" s="200"/>
      <c r="L1662" s="200"/>
      <c r="M1662" s="200"/>
      <c r="N1662" s="200"/>
      <c r="O1662" s="200"/>
      <c r="P1662" s="200"/>
      <c r="Q1662" s="200"/>
      <c r="R1662" s="200"/>
    </row>
    <row r="1663" spans="1:20" s="18" customFormat="1">
      <c r="A1663" s="82" t="s">
        <v>178</v>
      </c>
      <c r="B1663" s="84" t="s">
        <v>845</v>
      </c>
      <c r="C1663" s="84" t="s">
        <v>44</v>
      </c>
      <c r="D1663" s="84" t="s">
        <v>19</v>
      </c>
      <c r="E1663" s="84" t="s">
        <v>276</v>
      </c>
      <c r="F1663" s="84" t="s">
        <v>179</v>
      </c>
      <c r="G1663" s="87">
        <v>23085.759999999998</v>
      </c>
      <c r="H1663" s="87"/>
      <c r="I1663" s="87"/>
      <c r="J1663" s="177"/>
      <c r="K1663" s="200"/>
      <c r="L1663" s="200"/>
      <c r="M1663" s="200"/>
      <c r="N1663" s="200"/>
      <c r="O1663" s="200"/>
      <c r="P1663" s="200"/>
      <c r="Q1663" s="200"/>
      <c r="R1663" s="200"/>
    </row>
    <row r="1664" spans="1:20">
      <c r="A1664" s="270" t="s">
        <v>145</v>
      </c>
      <c r="B1664" s="275">
        <v>793</v>
      </c>
      <c r="C1664" s="272" t="s">
        <v>69</v>
      </c>
      <c r="D1664" s="272"/>
      <c r="E1664" s="84"/>
      <c r="F1664" s="272"/>
      <c r="G1664" s="269">
        <f>G1665+G1670+G1716</f>
        <v>75842479.310000002</v>
      </c>
      <c r="H1664" s="269">
        <f>H1665+H1670+H1716</f>
        <v>10838033.140000001</v>
      </c>
      <c r="I1664" s="269">
        <f>I1665+I1670+I1716</f>
        <v>36837237.240000002</v>
      </c>
      <c r="J1664" s="191"/>
    </row>
    <row r="1665" spans="1:18">
      <c r="A1665" s="82" t="s">
        <v>146</v>
      </c>
      <c r="B1665" s="149">
        <v>793</v>
      </c>
      <c r="C1665" s="84" t="s">
        <v>69</v>
      </c>
      <c r="D1665" s="84" t="s">
        <v>19</v>
      </c>
      <c r="E1665" s="84"/>
      <c r="F1665" s="84"/>
      <c r="G1665" s="87">
        <f t="shared" ref="G1665:I1668" si="427">G1666</f>
        <v>320208</v>
      </c>
      <c r="H1665" s="87">
        <f t="shared" si="427"/>
        <v>320208</v>
      </c>
      <c r="I1665" s="87">
        <f t="shared" si="427"/>
        <v>320208</v>
      </c>
      <c r="J1665" s="177"/>
    </row>
    <row r="1666" spans="1:18" s="28" customFormat="1" ht="25.5">
      <c r="A1666" s="82" t="s">
        <v>487</v>
      </c>
      <c r="B1666" s="149">
        <v>793</v>
      </c>
      <c r="C1666" s="84" t="s">
        <v>69</v>
      </c>
      <c r="D1666" s="84" t="s">
        <v>19</v>
      </c>
      <c r="E1666" s="84" t="s">
        <v>287</v>
      </c>
      <c r="F1666" s="168"/>
      <c r="G1666" s="87">
        <f t="shared" si="427"/>
        <v>320208</v>
      </c>
      <c r="H1666" s="87">
        <f t="shared" si="427"/>
        <v>320208</v>
      </c>
      <c r="I1666" s="87">
        <f t="shared" si="427"/>
        <v>320208</v>
      </c>
      <c r="J1666" s="177"/>
      <c r="K1666" s="204"/>
      <c r="L1666" s="204"/>
      <c r="M1666" s="204"/>
      <c r="N1666" s="204"/>
      <c r="O1666" s="204"/>
      <c r="P1666" s="204"/>
      <c r="Q1666" s="204"/>
      <c r="R1666" s="204"/>
    </row>
    <row r="1667" spans="1:18" s="28" customFormat="1">
      <c r="A1667" s="82" t="s">
        <v>147</v>
      </c>
      <c r="B1667" s="149">
        <v>793</v>
      </c>
      <c r="C1667" s="84" t="s">
        <v>69</v>
      </c>
      <c r="D1667" s="84" t="s">
        <v>19</v>
      </c>
      <c r="E1667" s="84" t="s">
        <v>291</v>
      </c>
      <c r="F1667" s="168"/>
      <c r="G1667" s="87">
        <f t="shared" si="427"/>
        <v>320208</v>
      </c>
      <c r="H1667" s="87">
        <f t="shared" si="427"/>
        <v>320208</v>
      </c>
      <c r="I1667" s="87">
        <f t="shared" si="427"/>
        <v>320208</v>
      </c>
      <c r="J1667" s="177"/>
      <c r="K1667" s="204"/>
      <c r="L1667" s="204"/>
      <c r="M1667" s="204"/>
      <c r="N1667" s="204"/>
      <c r="O1667" s="204"/>
      <c r="P1667" s="204"/>
      <c r="Q1667" s="204"/>
      <c r="R1667" s="204"/>
    </row>
    <row r="1668" spans="1:18" s="28" customFormat="1">
      <c r="A1668" s="82" t="s">
        <v>148</v>
      </c>
      <c r="B1668" s="149">
        <v>793</v>
      </c>
      <c r="C1668" s="84" t="s">
        <v>69</v>
      </c>
      <c r="D1668" s="84" t="s">
        <v>19</v>
      </c>
      <c r="E1668" s="84" t="s">
        <v>291</v>
      </c>
      <c r="F1668" s="84" t="s">
        <v>149</v>
      </c>
      <c r="G1668" s="87">
        <f t="shared" si="427"/>
        <v>320208</v>
      </c>
      <c r="H1668" s="87">
        <f>H1669</f>
        <v>320208</v>
      </c>
      <c r="I1668" s="87">
        <f t="shared" si="427"/>
        <v>320208</v>
      </c>
      <c r="J1668" s="177"/>
      <c r="K1668" s="204"/>
      <c r="L1668" s="204"/>
      <c r="M1668" s="204"/>
      <c r="N1668" s="204"/>
      <c r="O1668" s="204"/>
      <c r="P1668" s="204"/>
      <c r="Q1668" s="204"/>
      <c r="R1668" s="204"/>
    </row>
    <row r="1669" spans="1:18" s="28" customFormat="1" ht="25.5">
      <c r="A1669" s="82" t="s">
        <v>355</v>
      </c>
      <c r="B1669" s="149">
        <v>793</v>
      </c>
      <c r="C1669" s="84" t="s">
        <v>69</v>
      </c>
      <c r="D1669" s="84" t="s">
        <v>19</v>
      </c>
      <c r="E1669" s="84" t="s">
        <v>291</v>
      </c>
      <c r="F1669" s="84" t="s">
        <v>356</v>
      </c>
      <c r="G1669" s="87">
        <v>320208</v>
      </c>
      <c r="H1669" s="87">
        <v>320208</v>
      </c>
      <c r="I1669" s="87">
        <v>320208</v>
      </c>
      <c r="J1669" s="177"/>
      <c r="K1669" s="204"/>
      <c r="L1669" s="204"/>
      <c r="M1669" s="204"/>
      <c r="N1669" s="204"/>
      <c r="O1669" s="204"/>
      <c r="P1669" s="204"/>
      <c r="Q1669" s="204"/>
      <c r="R1669" s="204"/>
    </row>
    <row r="1670" spans="1:18">
      <c r="A1670" s="82" t="s">
        <v>68</v>
      </c>
      <c r="B1670" s="149">
        <v>793</v>
      </c>
      <c r="C1670" s="84" t="s">
        <v>69</v>
      </c>
      <c r="D1670" s="84" t="s">
        <v>70</v>
      </c>
      <c r="E1670" s="84"/>
      <c r="F1670" s="84"/>
      <c r="G1670" s="87">
        <f>G1696+G1692+G1706+G1671+G1681+G1715+G1685</f>
        <v>34596740.939999998</v>
      </c>
      <c r="H1670" s="87">
        <f>H1696+H1692+H1706+H1671+H1681</f>
        <v>1867174</v>
      </c>
      <c r="I1670" s="87">
        <f>I1696+I1692+I1706+I1671+I1681</f>
        <v>1895221</v>
      </c>
      <c r="J1670" s="177"/>
    </row>
    <row r="1671" spans="1:18" ht="51" customHeight="1">
      <c r="A1671" s="82" t="s">
        <v>831</v>
      </c>
      <c r="B1671" s="149">
        <v>793</v>
      </c>
      <c r="C1671" s="84" t="s">
        <v>69</v>
      </c>
      <c r="D1671" s="84" t="s">
        <v>70</v>
      </c>
      <c r="E1671" s="84" t="s">
        <v>263</v>
      </c>
      <c r="F1671" s="84"/>
      <c r="G1671" s="87">
        <f>G1672+G1675+G1678</f>
        <v>2486977.84</v>
      </c>
      <c r="H1671" s="87">
        <f t="shared" ref="H1671:I1671" si="428">H1672+H1675+H1678</f>
        <v>300000</v>
      </c>
      <c r="I1671" s="87">
        <f t="shared" si="428"/>
        <v>300000</v>
      </c>
      <c r="J1671" s="177"/>
    </row>
    <row r="1672" spans="1:18" ht="28.5" customHeight="1">
      <c r="A1672" s="133" t="s">
        <v>953</v>
      </c>
      <c r="B1672" s="149">
        <v>793</v>
      </c>
      <c r="C1672" s="84" t="s">
        <v>69</v>
      </c>
      <c r="D1672" s="84" t="s">
        <v>70</v>
      </c>
      <c r="E1672" s="84" t="s">
        <v>952</v>
      </c>
      <c r="F1672" s="84"/>
      <c r="G1672" s="87">
        <f>G1673</f>
        <v>2486977.84</v>
      </c>
      <c r="H1672" s="87">
        <f t="shared" ref="H1672:I1672" si="429">H1673</f>
        <v>300000</v>
      </c>
      <c r="I1672" s="87">
        <f t="shared" si="429"/>
        <v>300000</v>
      </c>
      <c r="J1672" s="177"/>
    </row>
    <row r="1673" spans="1:18" ht="21" customHeight="1">
      <c r="A1673" s="82" t="s">
        <v>148</v>
      </c>
      <c r="B1673" s="149">
        <v>793</v>
      </c>
      <c r="C1673" s="84" t="s">
        <v>69</v>
      </c>
      <c r="D1673" s="84" t="s">
        <v>70</v>
      </c>
      <c r="E1673" s="84" t="s">
        <v>952</v>
      </c>
      <c r="F1673" s="84" t="s">
        <v>149</v>
      </c>
      <c r="G1673" s="87">
        <f>G1674</f>
        <v>2486977.84</v>
      </c>
      <c r="H1673" s="87">
        <f t="shared" ref="H1673:I1673" si="430">H1674</f>
        <v>300000</v>
      </c>
      <c r="I1673" s="87">
        <f t="shared" si="430"/>
        <v>300000</v>
      </c>
      <c r="J1673" s="177"/>
    </row>
    <row r="1674" spans="1:18" ht="30.75" customHeight="1">
      <c r="A1674" s="82" t="s">
        <v>150</v>
      </c>
      <c r="B1674" s="149">
        <v>793</v>
      </c>
      <c r="C1674" s="84" t="s">
        <v>69</v>
      </c>
      <c r="D1674" s="84" t="s">
        <v>70</v>
      </c>
      <c r="E1674" s="84" t="s">
        <v>952</v>
      </c>
      <c r="F1674" s="84" t="s">
        <v>151</v>
      </c>
      <c r="G1674" s="87">
        <v>2486977.84</v>
      </c>
      <c r="H1674" s="87">
        <v>300000</v>
      </c>
      <c r="I1674" s="87">
        <v>300000</v>
      </c>
      <c r="J1674" s="177"/>
    </row>
    <row r="1675" spans="1:18" ht="39.75" hidden="1" customHeight="1">
      <c r="A1675" s="133" t="s">
        <v>275</v>
      </c>
      <c r="B1675" s="149">
        <v>793</v>
      </c>
      <c r="C1675" s="84" t="s">
        <v>69</v>
      </c>
      <c r="D1675" s="84" t="s">
        <v>70</v>
      </c>
      <c r="E1675" s="84" t="s">
        <v>274</v>
      </c>
      <c r="F1675" s="84"/>
      <c r="G1675" s="87">
        <f>G1676</f>
        <v>0</v>
      </c>
      <c r="H1675" s="87">
        <f t="shared" ref="H1675:I1675" si="431">H1676</f>
        <v>0</v>
      </c>
      <c r="I1675" s="87">
        <f t="shared" si="431"/>
        <v>0</v>
      </c>
      <c r="J1675" s="177"/>
    </row>
    <row r="1676" spans="1:18" ht="21" hidden="1" customHeight="1">
      <c r="A1676" s="82" t="s">
        <v>148</v>
      </c>
      <c r="B1676" s="149">
        <v>793</v>
      </c>
      <c r="C1676" s="84" t="s">
        <v>69</v>
      </c>
      <c r="D1676" s="84" t="s">
        <v>70</v>
      </c>
      <c r="E1676" s="84" t="s">
        <v>274</v>
      </c>
      <c r="F1676" s="84" t="s">
        <v>149</v>
      </c>
      <c r="G1676" s="87">
        <f>G1677</f>
        <v>0</v>
      </c>
      <c r="H1676" s="87">
        <f t="shared" ref="H1676:I1676" si="432">H1677</f>
        <v>0</v>
      </c>
      <c r="I1676" s="87">
        <f t="shared" si="432"/>
        <v>0</v>
      </c>
      <c r="J1676" s="177"/>
    </row>
    <row r="1677" spans="1:18" ht="30.75" hidden="1" customHeight="1">
      <c r="A1677" s="82" t="s">
        <v>150</v>
      </c>
      <c r="B1677" s="149">
        <v>793</v>
      </c>
      <c r="C1677" s="84" t="s">
        <v>69</v>
      </c>
      <c r="D1677" s="84" t="s">
        <v>70</v>
      </c>
      <c r="E1677" s="84" t="s">
        <v>274</v>
      </c>
      <c r="F1677" s="84" t="s">
        <v>151</v>
      </c>
      <c r="G1677" s="87"/>
      <c r="H1677" s="87"/>
      <c r="I1677" s="87"/>
      <c r="J1677" s="177"/>
    </row>
    <row r="1678" spans="1:18" ht="30.75" hidden="1" customHeight="1">
      <c r="A1678" s="82" t="s">
        <v>453</v>
      </c>
      <c r="B1678" s="149">
        <v>793</v>
      </c>
      <c r="C1678" s="84" t="s">
        <v>69</v>
      </c>
      <c r="D1678" s="84" t="s">
        <v>70</v>
      </c>
      <c r="E1678" s="84" t="s">
        <v>452</v>
      </c>
      <c r="F1678" s="84"/>
      <c r="G1678" s="87">
        <f>G1679</f>
        <v>0</v>
      </c>
      <c r="H1678" s="87">
        <f t="shared" ref="H1678:I1678" si="433">H1679</f>
        <v>0</v>
      </c>
      <c r="I1678" s="87">
        <f t="shared" si="433"/>
        <v>0</v>
      </c>
      <c r="J1678" s="177"/>
    </row>
    <row r="1679" spans="1:18" ht="17.25" hidden="1" customHeight="1">
      <c r="A1679" s="82" t="s">
        <v>63</v>
      </c>
      <c r="B1679" s="149">
        <v>793</v>
      </c>
      <c r="C1679" s="84" t="s">
        <v>69</v>
      </c>
      <c r="D1679" s="84" t="s">
        <v>70</v>
      </c>
      <c r="E1679" s="84" t="s">
        <v>452</v>
      </c>
      <c r="F1679" s="84" t="s">
        <v>64</v>
      </c>
      <c r="G1679" s="87">
        <f>G1680</f>
        <v>0</v>
      </c>
      <c r="H1679" s="87">
        <f t="shared" ref="H1679:I1679" si="434">H1680</f>
        <v>0</v>
      </c>
      <c r="I1679" s="87">
        <f t="shared" si="434"/>
        <v>0</v>
      </c>
      <c r="J1679" s="177"/>
    </row>
    <row r="1680" spans="1:18" ht="23.25" hidden="1" customHeight="1">
      <c r="A1680" s="82" t="s">
        <v>180</v>
      </c>
      <c r="B1680" s="149">
        <v>793</v>
      </c>
      <c r="C1680" s="84" t="s">
        <v>69</v>
      </c>
      <c r="D1680" s="84" t="s">
        <v>70</v>
      </c>
      <c r="E1680" s="84" t="s">
        <v>452</v>
      </c>
      <c r="F1680" s="84" t="s">
        <v>181</v>
      </c>
      <c r="G1680" s="87">
        <f>11000+17010+71990-99000-1000</f>
        <v>0</v>
      </c>
      <c r="H1680" s="87"/>
      <c r="I1680" s="87"/>
      <c r="J1680" s="177"/>
    </row>
    <row r="1681" spans="1:18" ht="27.75" hidden="1" customHeight="1">
      <c r="A1681" s="82" t="s">
        <v>677</v>
      </c>
      <c r="B1681" s="149">
        <v>793</v>
      </c>
      <c r="C1681" s="84" t="s">
        <v>69</v>
      </c>
      <c r="D1681" s="84" t="s">
        <v>70</v>
      </c>
      <c r="E1681" s="84" t="s">
        <v>678</v>
      </c>
      <c r="F1681" s="84"/>
      <c r="G1681" s="87">
        <f>G1682</f>
        <v>0</v>
      </c>
      <c r="H1681" s="87">
        <f t="shared" ref="H1681:I1681" si="435">H1682</f>
        <v>0</v>
      </c>
      <c r="I1681" s="87">
        <f t="shared" si="435"/>
        <v>0</v>
      </c>
      <c r="J1681" s="177"/>
    </row>
    <row r="1682" spans="1:18" ht="28.5" hidden="1" customHeight="1">
      <c r="A1682" s="133" t="s">
        <v>679</v>
      </c>
      <c r="B1682" s="149">
        <v>793</v>
      </c>
      <c r="C1682" s="84" t="s">
        <v>69</v>
      </c>
      <c r="D1682" s="84" t="s">
        <v>70</v>
      </c>
      <c r="E1682" s="84" t="s">
        <v>680</v>
      </c>
      <c r="F1682" s="84"/>
      <c r="G1682" s="87">
        <f>G1683</f>
        <v>0</v>
      </c>
      <c r="H1682" s="87">
        <f t="shared" ref="H1682:I1683" si="436">H1683</f>
        <v>0</v>
      </c>
      <c r="I1682" s="87">
        <f t="shared" si="436"/>
        <v>0</v>
      </c>
      <c r="J1682" s="177"/>
    </row>
    <row r="1683" spans="1:18" ht="21" hidden="1" customHeight="1">
      <c r="A1683" s="82" t="s">
        <v>148</v>
      </c>
      <c r="B1683" s="149">
        <v>793</v>
      </c>
      <c r="C1683" s="84" t="s">
        <v>69</v>
      </c>
      <c r="D1683" s="84" t="s">
        <v>70</v>
      </c>
      <c r="E1683" s="84" t="s">
        <v>680</v>
      </c>
      <c r="F1683" s="84" t="s">
        <v>149</v>
      </c>
      <c r="G1683" s="87">
        <f>G1684</f>
        <v>0</v>
      </c>
      <c r="H1683" s="87">
        <f t="shared" si="436"/>
        <v>0</v>
      </c>
      <c r="I1683" s="87">
        <f t="shared" si="436"/>
        <v>0</v>
      </c>
      <c r="J1683" s="177"/>
    </row>
    <row r="1684" spans="1:18" ht="30.75" hidden="1" customHeight="1">
      <c r="A1684" s="82" t="s">
        <v>150</v>
      </c>
      <c r="B1684" s="149">
        <v>793</v>
      </c>
      <c r="C1684" s="84" t="s">
        <v>69</v>
      </c>
      <c r="D1684" s="84" t="s">
        <v>70</v>
      </c>
      <c r="E1684" s="84" t="s">
        <v>680</v>
      </c>
      <c r="F1684" s="84" t="s">
        <v>151</v>
      </c>
      <c r="G1684" s="87"/>
      <c r="H1684" s="87"/>
      <c r="I1684" s="87"/>
      <c r="J1684" s="177"/>
    </row>
    <row r="1685" spans="1:18" ht="72.75" customHeight="1">
      <c r="A1685" s="154" t="s">
        <v>1111</v>
      </c>
      <c r="B1685" s="149">
        <v>793</v>
      </c>
      <c r="C1685" s="84" t="s">
        <v>69</v>
      </c>
      <c r="D1685" s="84" t="s">
        <v>70</v>
      </c>
      <c r="E1685" s="84" t="s">
        <v>214</v>
      </c>
      <c r="F1685" s="84"/>
      <c r="G1685" s="87">
        <f>G1686+G1689</f>
        <v>30000000</v>
      </c>
      <c r="H1685" s="87">
        <f t="shared" ref="H1685:I1685" si="437">H1686+H1689</f>
        <v>0</v>
      </c>
      <c r="I1685" s="87">
        <f t="shared" si="437"/>
        <v>0</v>
      </c>
      <c r="J1685" s="177"/>
    </row>
    <row r="1686" spans="1:18" ht="87" customHeight="1">
      <c r="A1686" s="82" t="s">
        <v>1059</v>
      </c>
      <c r="B1686" s="149">
        <v>793</v>
      </c>
      <c r="C1686" s="84" t="s">
        <v>69</v>
      </c>
      <c r="D1686" s="84" t="s">
        <v>70</v>
      </c>
      <c r="E1686" s="84" t="s">
        <v>525</v>
      </c>
      <c r="F1686" s="84"/>
      <c r="G1686" s="87">
        <f>G1687</f>
        <v>29400000</v>
      </c>
      <c r="H1686" s="87"/>
      <c r="I1686" s="87"/>
      <c r="J1686" s="177"/>
    </row>
    <row r="1687" spans="1:18" ht="30.75" customHeight="1">
      <c r="A1687" s="82" t="s">
        <v>148</v>
      </c>
      <c r="B1687" s="149">
        <v>793</v>
      </c>
      <c r="C1687" s="84" t="s">
        <v>69</v>
      </c>
      <c r="D1687" s="84" t="s">
        <v>70</v>
      </c>
      <c r="E1687" s="84" t="s">
        <v>525</v>
      </c>
      <c r="F1687" s="84" t="s">
        <v>149</v>
      </c>
      <c r="G1687" s="87">
        <f>G1688</f>
        <v>29400000</v>
      </c>
      <c r="H1687" s="87"/>
      <c r="I1687" s="87"/>
      <c r="J1687" s="177"/>
    </row>
    <row r="1688" spans="1:18" ht="30.75" customHeight="1">
      <c r="A1688" s="82" t="s">
        <v>150</v>
      </c>
      <c r="B1688" s="149">
        <v>793</v>
      </c>
      <c r="C1688" s="84" t="s">
        <v>69</v>
      </c>
      <c r="D1688" s="84" t="s">
        <v>70</v>
      </c>
      <c r="E1688" s="84" t="s">
        <v>525</v>
      </c>
      <c r="F1688" s="84" t="s">
        <v>151</v>
      </c>
      <c r="G1688" s="87">
        <v>29400000</v>
      </c>
      <c r="H1688" s="87"/>
      <c r="I1688" s="87"/>
      <c r="J1688" s="177"/>
    </row>
    <row r="1689" spans="1:18" ht="103.5" customHeight="1">
      <c r="A1689" s="82" t="s">
        <v>1113</v>
      </c>
      <c r="B1689" s="149">
        <v>793</v>
      </c>
      <c r="C1689" s="84" t="s">
        <v>69</v>
      </c>
      <c r="D1689" s="84" t="s">
        <v>70</v>
      </c>
      <c r="E1689" s="84" t="s">
        <v>526</v>
      </c>
      <c r="F1689" s="84"/>
      <c r="G1689" s="87">
        <f>G1690</f>
        <v>600000</v>
      </c>
      <c r="H1689" s="87"/>
      <c r="I1689" s="87"/>
      <c r="J1689" s="177"/>
    </row>
    <row r="1690" spans="1:18" ht="30.75" customHeight="1">
      <c r="A1690" s="82" t="s">
        <v>148</v>
      </c>
      <c r="B1690" s="149">
        <v>793</v>
      </c>
      <c r="C1690" s="84" t="s">
        <v>69</v>
      </c>
      <c r="D1690" s="84" t="s">
        <v>70</v>
      </c>
      <c r="E1690" s="84" t="s">
        <v>526</v>
      </c>
      <c r="F1690" s="84" t="s">
        <v>149</v>
      </c>
      <c r="G1690" s="87">
        <f>G1691</f>
        <v>600000</v>
      </c>
      <c r="H1690" s="87"/>
      <c r="I1690" s="87"/>
      <c r="J1690" s="177"/>
    </row>
    <row r="1691" spans="1:18" ht="30.75" customHeight="1">
      <c r="A1691" s="82" t="s">
        <v>150</v>
      </c>
      <c r="B1691" s="149">
        <v>793</v>
      </c>
      <c r="C1691" s="84" t="s">
        <v>69</v>
      </c>
      <c r="D1691" s="84" t="s">
        <v>70</v>
      </c>
      <c r="E1691" s="84" t="s">
        <v>526</v>
      </c>
      <c r="F1691" s="84" t="s">
        <v>151</v>
      </c>
      <c r="G1691" s="87">
        <v>600000</v>
      </c>
      <c r="H1691" s="87"/>
      <c r="I1691" s="87"/>
      <c r="J1691" s="177"/>
    </row>
    <row r="1692" spans="1:18" s="18" customFormat="1" ht="25.5" hidden="1">
      <c r="A1692" s="135" t="s">
        <v>483</v>
      </c>
      <c r="B1692" s="149">
        <v>793</v>
      </c>
      <c r="C1692" s="84" t="s">
        <v>69</v>
      </c>
      <c r="D1692" s="84" t="s">
        <v>70</v>
      </c>
      <c r="E1692" s="84" t="s">
        <v>220</v>
      </c>
      <c r="F1692" s="84"/>
      <c r="G1692" s="87">
        <f t="shared" ref="G1692:I1694" si="438">G1693</f>
        <v>0</v>
      </c>
      <c r="H1692" s="87">
        <f t="shared" si="438"/>
        <v>0</v>
      </c>
      <c r="I1692" s="87">
        <f t="shared" si="438"/>
        <v>0</v>
      </c>
      <c r="J1692" s="177"/>
      <c r="K1692" s="200"/>
      <c r="L1692" s="200"/>
      <c r="M1692" s="200"/>
      <c r="N1692" s="200"/>
      <c r="O1692" s="200"/>
      <c r="P1692" s="200"/>
      <c r="Q1692" s="200"/>
      <c r="R1692" s="200"/>
    </row>
    <row r="1693" spans="1:18" s="18" customFormat="1" ht="25.5" hidden="1">
      <c r="A1693" s="82" t="s">
        <v>99</v>
      </c>
      <c r="B1693" s="149">
        <v>793</v>
      </c>
      <c r="C1693" s="84" t="s">
        <v>69</v>
      </c>
      <c r="D1693" s="84" t="s">
        <v>70</v>
      </c>
      <c r="E1693" s="84" t="s">
        <v>221</v>
      </c>
      <c r="F1693" s="84"/>
      <c r="G1693" s="87">
        <f t="shared" si="438"/>
        <v>0</v>
      </c>
      <c r="H1693" s="87">
        <f t="shared" si="438"/>
        <v>0</v>
      </c>
      <c r="I1693" s="87">
        <f t="shared" si="438"/>
        <v>0</v>
      </c>
      <c r="J1693" s="177"/>
      <c r="K1693" s="200"/>
      <c r="L1693" s="200"/>
      <c r="M1693" s="200"/>
      <c r="N1693" s="200"/>
      <c r="O1693" s="200"/>
      <c r="P1693" s="200"/>
      <c r="Q1693" s="200"/>
      <c r="R1693" s="200"/>
    </row>
    <row r="1694" spans="1:18" s="18" customFormat="1" ht="10.5" hidden="1" customHeight="1">
      <c r="A1694" s="292" t="s">
        <v>354</v>
      </c>
      <c r="B1694" s="149">
        <v>793</v>
      </c>
      <c r="C1694" s="84" t="s">
        <v>69</v>
      </c>
      <c r="D1694" s="84" t="s">
        <v>70</v>
      </c>
      <c r="E1694" s="84" t="s">
        <v>221</v>
      </c>
      <c r="F1694" s="84" t="s">
        <v>149</v>
      </c>
      <c r="G1694" s="87">
        <f t="shared" si="438"/>
        <v>0</v>
      </c>
      <c r="H1694" s="87">
        <f t="shared" si="438"/>
        <v>0</v>
      </c>
      <c r="I1694" s="87">
        <f t="shared" si="438"/>
        <v>0</v>
      </c>
      <c r="J1694" s="177"/>
      <c r="K1694" s="200"/>
      <c r="L1694" s="200"/>
      <c r="M1694" s="200"/>
      <c r="N1694" s="200"/>
      <c r="O1694" s="200"/>
      <c r="P1694" s="200"/>
      <c r="Q1694" s="200"/>
      <c r="R1694" s="200"/>
    </row>
    <row r="1695" spans="1:18" s="18" customFormat="1" ht="29.25" hidden="1" customHeight="1">
      <c r="A1695" s="82" t="s">
        <v>150</v>
      </c>
      <c r="B1695" s="149">
        <v>793</v>
      </c>
      <c r="C1695" s="84" t="s">
        <v>69</v>
      </c>
      <c r="D1695" s="84" t="s">
        <v>70</v>
      </c>
      <c r="E1695" s="84" t="s">
        <v>221</v>
      </c>
      <c r="F1695" s="84" t="s">
        <v>151</v>
      </c>
      <c r="G1695" s="87">
        <f>1260000+503974.1-1763974.1</f>
        <v>0</v>
      </c>
      <c r="H1695" s="87">
        <f>1260000-1260000</f>
        <v>0</v>
      </c>
      <c r="I1695" s="87">
        <f>1260000-1260000</f>
        <v>0</v>
      </c>
      <c r="J1695" s="177"/>
      <c r="K1695" s="200"/>
      <c r="L1695" s="200"/>
      <c r="M1695" s="200"/>
      <c r="N1695" s="200"/>
      <c r="O1695" s="200"/>
      <c r="P1695" s="200"/>
      <c r="Q1695" s="200"/>
      <c r="R1695" s="200"/>
    </row>
    <row r="1696" spans="1:18" s="28" customFormat="1" ht="27.75" customHeight="1">
      <c r="A1696" s="82" t="s">
        <v>487</v>
      </c>
      <c r="B1696" s="149">
        <v>793</v>
      </c>
      <c r="C1696" s="84" t="s">
        <v>69</v>
      </c>
      <c r="D1696" s="84" t="s">
        <v>70</v>
      </c>
      <c r="E1696" s="84" t="s">
        <v>287</v>
      </c>
      <c r="F1696" s="168"/>
      <c r="G1696" s="87">
        <f>G1697+G1700+G1703</f>
        <v>2044763.1</v>
      </c>
      <c r="H1696" s="87">
        <f t="shared" ref="H1696:I1696" si="439">H1697+H1700+H1703</f>
        <v>1567174</v>
      </c>
      <c r="I1696" s="87">
        <f t="shared" si="439"/>
        <v>1595221</v>
      </c>
      <c r="J1696" s="177"/>
      <c r="K1696" s="204"/>
      <c r="L1696" s="204"/>
      <c r="M1696" s="204"/>
      <c r="N1696" s="204"/>
      <c r="O1696" s="204"/>
      <c r="P1696" s="204"/>
      <c r="Q1696" s="204"/>
      <c r="R1696" s="204"/>
    </row>
    <row r="1697" spans="1:18" s="28" customFormat="1" ht="54" hidden="1" customHeight="1">
      <c r="A1697" s="82" t="s">
        <v>357</v>
      </c>
      <c r="B1697" s="149">
        <v>793</v>
      </c>
      <c r="C1697" s="84" t="s">
        <v>69</v>
      </c>
      <c r="D1697" s="84" t="s">
        <v>70</v>
      </c>
      <c r="E1697" s="84" t="s">
        <v>376</v>
      </c>
      <c r="F1697" s="168"/>
      <c r="G1697" s="87">
        <f t="shared" ref="G1697:I1698" si="440">G1698</f>
        <v>0</v>
      </c>
      <c r="H1697" s="87">
        <f t="shared" si="440"/>
        <v>0</v>
      </c>
      <c r="I1697" s="87">
        <f t="shared" si="440"/>
        <v>0</v>
      </c>
      <c r="J1697" s="177"/>
      <c r="K1697" s="204"/>
      <c r="L1697" s="204"/>
      <c r="M1697" s="204"/>
      <c r="N1697" s="204"/>
      <c r="O1697" s="204"/>
      <c r="P1697" s="204"/>
      <c r="Q1697" s="204"/>
      <c r="R1697" s="204"/>
    </row>
    <row r="1698" spans="1:18" s="28" customFormat="1" ht="16.5" hidden="1" customHeight="1">
      <c r="A1698" s="82" t="s">
        <v>63</v>
      </c>
      <c r="B1698" s="149">
        <v>793</v>
      </c>
      <c r="C1698" s="84" t="s">
        <v>69</v>
      </c>
      <c r="D1698" s="84" t="s">
        <v>70</v>
      </c>
      <c r="E1698" s="84" t="s">
        <v>376</v>
      </c>
      <c r="F1698" s="84" t="s">
        <v>64</v>
      </c>
      <c r="G1698" s="87">
        <f t="shared" si="440"/>
        <v>0</v>
      </c>
      <c r="H1698" s="87">
        <f t="shared" si="440"/>
        <v>0</v>
      </c>
      <c r="I1698" s="87">
        <f t="shared" si="440"/>
        <v>0</v>
      </c>
      <c r="J1698" s="177"/>
      <c r="K1698" s="204"/>
      <c r="L1698" s="204"/>
      <c r="M1698" s="204"/>
      <c r="N1698" s="204"/>
      <c r="O1698" s="204"/>
      <c r="P1698" s="204"/>
      <c r="Q1698" s="204"/>
      <c r="R1698" s="204"/>
    </row>
    <row r="1699" spans="1:18" ht="38.25" hidden="1">
      <c r="A1699" s="82" t="s">
        <v>341</v>
      </c>
      <c r="B1699" s="149">
        <v>793</v>
      </c>
      <c r="C1699" s="84" t="s">
        <v>69</v>
      </c>
      <c r="D1699" s="84" t="s">
        <v>70</v>
      </c>
      <c r="E1699" s="84" t="s">
        <v>376</v>
      </c>
      <c r="F1699" s="84" t="s">
        <v>342</v>
      </c>
      <c r="G1699" s="87"/>
      <c r="H1699" s="87"/>
      <c r="I1699" s="87"/>
      <c r="J1699" s="177"/>
    </row>
    <row r="1700" spans="1:18" ht="25.5" customHeight="1">
      <c r="A1700" s="82" t="s">
        <v>664</v>
      </c>
      <c r="B1700" s="149">
        <v>793</v>
      </c>
      <c r="C1700" s="84" t="s">
        <v>69</v>
      </c>
      <c r="D1700" s="84" t="s">
        <v>70</v>
      </c>
      <c r="E1700" s="84" t="s">
        <v>687</v>
      </c>
      <c r="F1700" s="84"/>
      <c r="G1700" s="87">
        <f t="shared" ref="G1700:I1701" si="441">G1701</f>
        <v>280789</v>
      </c>
      <c r="H1700" s="87">
        <f t="shared" si="441"/>
        <v>307174</v>
      </c>
      <c r="I1700" s="87">
        <f t="shared" si="441"/>
        <v>335221</v>
      </c>
      <c r="J1700" s="177"/>
    </row>
    <row r="1701" spans="1:18" ht="15.75" customHeight="1">
      <c r="A1701" s="82" t="s">
        <v>359</v>
      </c>
      <c r="B1701" s="149">
        <v>793</v>
      </c>
      <c r="C1701" s="84" t="s">
        <v>69</v>
      </c>
      <c r="D1701" s="84" t="s">
        <v>70</v>
      </c>
      <c r="E1701" s="84" t="s">
        <v>687</v>
      </c>
      <c r="F1701" s="84" t="s">
        <v>149</v>
      </c>
      <c r="G1701" s="87">
        <f t="shared" si="441"/>
        <v>280789</v>
      </c>
      <c r="H1701" s="87">
        <f t="shared" si="441"/>
        <v>307174</v>
      </c>
      <c r="I1701" s="87">
        <f t="shared" si="441"/>
        <v>335221</v>
      </c>
      <c r="J1701" s="177"/>
    </row>
    <row r="1702" spans="1:18" ht="36" customHeight="1">
      <c r="A1702" s="82" t="s">
        <v>673</v>
      </c>
      <c r="B1702" s="149">
        <v>793</v>
      </c>
      <c r="C1702" s="84" t="s">
        <v>69</v>
      </c>
      <c r="D1702" s="84" t="s">
        <v>70</v>
      </c>
      <c r="E1702" s="84" t="s">
        <v>687</v>
      </c>
      <c r="F1702" s="84" t="s">
        <v>672</v>
      </c>
      <c r="G1702" s="87">
        <v>280789</v>
      </c>
      <c r="H1702" s="87">
        <v>307174</v>
      </c>
      <c r="I1702" s="87">
        <v>335221</v>
      </c>
      <c r="J1702" s="177"/>
    </row>
    <row r="1703" spans="1:18" s="18" customFormat="1">
      <c r="A1703" s="82" t="s">
        <v>1065</v>
      </c>
      <c r="B1703" s="149">
        <v>793</v>
      </c>
      <c r="C1703" s="84" t="s">
        <v>69</v>
      </c>
      <c r="D1703" s="84" t="s">
        <v>70</v>
      </c>
      <c r="E1703" s="84" t="s">
        <v>1064</v>
      </c>
      <c r="F1703" s="84"/>
      <c r="G1703" s="87">
        <f t="shared" ref="G1703:I1703" si="442">G1704</f>
        <v>1763974.1</v>
      </c>
      <c r="H1703" s="87">
        <f t="shared" si="442"/>
        <v>1260000</v>
      </c>
      <c r="I1703" s="87">
        <f t="shared" si="442"/>
        <v>1260000</v>
      </c>
      <c r="J1703" s="177"/>
      <c r="K1703" s="200"/>
      <c r="L1703" s="200"/>
      <c r="M1703" s="200"/>
      <c r="N1703" s="200"/>
      <c r="O1703" s="200"/>
      <c r="P1703" s="200"/>
      <c r="Q1703" s="200"/>
      <c r="R1703" s="200"/>
    </row>
    <row r="1704" spans="1:18" s="18" customFormat="1" ht="10.5" customHeight="1">
      <c r="A1704" s="292" t="s">
        <v>354</v>
      </c>
      <c r="B1704" s="149">
        <v>793</v>
      </c>
      <c r="C1704" s="84" t="s">
        <v>69</v>
      </c>
      <c r="D1704" s="84" t="s">
        <v>70</v>
      </c>
      <c r="E1704" s="84" t="s">
        <v>1064</v>
      </c>
      <c r="F1704" s="84" t="s">
        <v>149</v>
      </c>
      <c r="G1704" s="87">
        <v>1763974.1</v>
      </c>
      <c r="H1704" s="87">
        <v>1260000</v>
      </c>
      <c r="I1704" s="87">
        <v>1260000</v>
      </c>
      <c r="J1704" s="177"/>
      <c r="K1704" s="200"/>
      <c r="L1704" s="200"/>
      <c r="M1704" s="200"/>
      <c r="N1704" s="200"/>
      <c r="O1704" s="200"/>
      <c r="P1704" s="200"/>
      <c r="Q1704" s="200"/>
      <c r="R1704" s="200"/>
    </row>
    <row r="1705" spans="1:18" s="18" customFormat="1" ht="29.25" customHeight="1">
      <c r="A1705" s="82" t="s">
        <v>150</v>
      </c>
      <c r="B1705" s="149">
        <v>793</v>
      </c>
      <c r="C1705" s="84" t="s">
        <v>69</v>
      </c>
      <c r="D1705" s="84" t="s">
        <v>70</v>
      </c>
      <c r="E1705" s="84" t="s">
        <v>1064</v>
      </c>
      <c r="F1705" s="84" t="s">
        <v>151</v>
      </c>
      <c r="G1705" s="87">
        <f>G1704</f>
        <v>1763974.1</v>
      </c>
      <c r="H1705" s="87">
        <f t="shared" ref="H1705:I1705" si="443">H1704</f>
        <v>1260000</v>
      </c>
      <c r="I1705" s="87">
        <f t="shared" si="443"/>
        <v>1260000</v>
      </c>
      <c r="J1705" s="177"/>
      <c r="K1705" s="200"/>
      <c r="L1705" s="200"/>
      <c r="M1705" s="200"/>
      <c r="N1705" s="200"/>
      <c r="O1705" s="200"/>
      <c r="P1705" s="200"/>
      <c r="Q1705" s="200"/>
      <c r="R1705" s="200"/>
    </row>
    <row r="1706" spans="1:18" ht="26.25" customHeight="1">
      <c r="A1706" s="82" t="s">
        <v>169</v>
      </c>
      <c r="B1706" s="149">
        <v>793</v>
      </c>
      <c r="C1706" s="84" t="s">
        <v>69</v>
      </c>
      <c r="D1706" s="84" t="s">
        <v>70</v>
      </c>
      <c r="E1706" s="84" t="s">
        <v>234</v>
      </c>
      <c r="F1706" s="84"/>
      <c r="G1706" s="87">
        <f>G1707</f>
        <v>65000</v>
      </c>
      <c r="H1706" s="87">
        <f>H1707</f>
        <v>0</v>
      </c>
      <c r="I1706" s="87">
        <f>I1707</f>
        <v>0</v>
      </c>
      <c r="J1706" s="177"/>
    </row>
    <row r="1707" spans="1:18" ht="29.25" customHeight="1">
      <c r="A1707" s="82" t="s">
        <v>169</v>
      </c>
      <c r="B1707" s="149">
        <v>793</v>
      </c>
      <c r="C1707" s="84" t="s">
        <v>69</v>
      </c>
      <c r="D1707" s="84" t="s">
        <v>70</v>
      </c>
      <c r="E1707" s="84" t="s">
        <v>276</v>
      </c>
      <c r="F1707" s="84"/>
      <c r="G1707" s="87">
        <f>G1709</f>
        <v>65000</v>
      </c>
      <c r="H1707" s="87">
        <f>H1709</f>
        <v>0</v>
      </c>
      <c r="I1707" s="87">
        <f>I1709</f>
        <v>0</v>
      </c>
      <c r="J1707" s="177"/>
    </row>
    <row r="1708" spans="1:18" ht="25.5" customHeight="1">
      <c r="A1708" s="82" t="s">
        <v>359</v>
      </c>
      <c r="B1708" s="149">
        <v>793</v>
      </c>
      <c r="C1708" s="84" t="s">
        <v>69</v>
      </c>
      <c r="D1708" s="84" t="s">
        <v>70</v>
      </c>
      <c r="E1708" s="84" t="s">
        <v>276</v>
      </c>
      <c r="F1708" s="84" t="s">
        <v>149</v>
      </c>
      <c r="G1708" s="87">
        <f>G1709</f>
        <v>65000</v>
      </c>
      <c r="H1708" s="87">
        <f>H1709</f>
        <v>0</v>
      </c>
      <c r="I1708" s="87">
        <f>I1709</f>
        <v>0</v>
      </c>
      <c r="J1708" s="177"/>
    </row>
    <row r="1709" spans="1:18" ht="30.75" customHeight="1">
      <c r="A1709" s="82" t="s">
        <v>152</v>
      </c>
      <c r="B1709" s="149">
        <v>793</v>
      </c>
      <c r="C1709" s="84" t="s">
        <v>69</v>
      </c>
      <c r="D1709" s="84" t="s">
        <v>70</v>
      </c>
      <c r="E1709" s="84" t="s">
        <v>276</v>
      </c>
      <c r="F1709" s="84" t="s">
        <v>151</v>
      </c>
      <c r="G1709" s="87">
        <v>65000</v>
      </c>
      <c r="H1709" s="87">
        <v>0</v>
      </c>
      <c r="I1709" s="87">
        <v>0</v>
      </c>
      <c r="J1709" s="177"/>
    </row>
    <row r="1710" spans="1:18" s="28" customFormat="1" ht="24.75" hidden="1" customHeight="1">
      <c r="A1710" s="139" t="s">
        <v>169</v>
      </c>
      <c r="B1710" s="149">
        <v>793</v>
      </c>
      <c r="C1710" s="84" t="s">
        <v>69</v>
      </c>
      <c r="D1710" s="84" t="s">
        <v>70</v>
      </c>
      <c r="E1710" s="84" t="s">
        <v>234</v>
      </c>
      <c r="F1710" s="168"/>
      <c r="G1710" s="87">
        <f t="shared" ref="G1710:I1710" si="444">G1711</f>
        <v>0</v>
      </c>
      <c r="H1710" s="87">
        <f t="shared" si="444"/>
        <v>0</v>
      </c>
      <c r="I1710" s="87">
        <f t="shared" si="444"/>
        <v>0</v>
      </c>
      <c r="J1710" s="177"/>
      <c r="K1710" s="204"/>
      <c r="L1710" s="204"/>
      <c r="M1710" s="204"/>
      <c r="N1710" s="204"/>
      <c r="O1710" s="204"/>
      <c r="P1710" s="204"/>
      <c r="Q1710" s="204"/>
      <c r="R1710" s="204"/>
    </row>
    <row r="1711" spans="1:18" ht="25.5" hidden="1">
      <c r="A1711" s="139" t="s">
        <v>169</v>
      </c>
      <c r="B1711" s="149">
        <v>793</v>
      </c>
      <c r="C1711" s="84" t="s">
        <v>69</v>
      </c>
      <c r="D1711" s="84" t="s">
        <v>70</v>
      </c>
      <c r="E1711" s="84" t="s">
        <v>276</v>
      </c>
      <c r="F1711" s="84"/>
      <c r="G1711" s="87">
        <f>G1712+G1714</f>
        <v>0</v>
      </c>
      <c r="H1711" s="87">
        <f>H1712+H1714</f>
        <v>0</v>
      </c>
      <c r="I1711" s="87">
        <f>I1712+I1714</f>
        <v>0</v>
      </c>
      <c r="J1711" s="177"/>
    </row>
    <row r="1712" spans="1:18" hidden="1">
      <c r="A1712" s="82"/>
      <c r="B1712" s="149">
        <v>793</v>
      </c>
      <c r="C1712" s="84" t="s">
        <v>69</v>
      </c>
      <c r="D1712" s="84" t="s">
        <v>70</v>
      </c>
      <c r="E1712" s="84" t="s">
        <v>276</v>
      </c>
      <c r="F1712" s="84"/>
      <c r="G1712" s="87"/>
      <c r="H1712" s="87"/>
      <c r="I1712" s="87"/>
      <c r="J1712" s="177"/>
    </row>
    <row r="1713" spans="1:18" ht="30.75" hidden="1" customHeight="1">
      <c r="A1713" s="82"/>
      <c r="B1713" s="149">
        <v>793</v>
      </c>
      <c r="C1713" s="84" t="s">
        <v>69</v>
      </c>
      <c r="D1713" s="84" t="s">
        <v>70</v>
      </c>
      <c r="E1713" s="84" t="s">
        <v>276</v>
      </c>
      <c r="F1713" s="84"/>
      <c r="G1713" s="87"/>
      <c r="H1713" s="87"/>
      <c r="I1713" s="87"/>
      <c r="J1713" s="177"/>
    </row>
    <row r="1714" spans="1:18" ht="24" hidden="1" customHeight="1">
      <c r="A1714" s="292" t="s">
        <v>148</v>
      </c>
      <c r="B1714" s="149">
        <v>793</v>
      </c>
      <c r="C1714" s="84" t="s">
        <v>69</v>
      </c>
      <c r="D1714" s="84" t="s">
        <v>70</v>
      </c>
      <c r="E1714" s="84" t="s">
        <v>276</v>
      </c>
      <c r="F1714" s="84" t="s">
        <v>149</v>
      </c>
      <c r="G1714" s="87">
        <f>G1715</f>
        <v>0</v>
      </c>
      <c r="H1714" s="87">
        <f>H1715</f>
        <v>0</v>
      </c>
      <c r="I1714" s="87">
        <f>I1715</f>
        <v>0</v>
      </c>
      <c r="J1714" s="177"/>
    </row>
    <row r="1715" spans="1:18" ht="18" hidden="1" customHeight="1">
      <c r="A1715" s="82" t="s">
        <v>150</v>
      </c>
      <c r="B1715" s="149">
        <v>793</v>
      </c>
      <c r="C1715" s="84" t="s">
        <v>69</v>
      </c>
      <c r="D1715" s="84" t="s">
        <v>70</v>
      </c>
      <c r="E1715" s="84" t="s">
        <v>276</v>
      </c>
      <c r="F1715" s="84" t="s">
        <v>151</v>
      </c>
      <c r="G1715" s="87"/>
      <c r="H1715" s="87"/>
      <c r="I1715" s="87"/>
      <c r="J1715" s="177"/>
    </row>
    <row r="1716" spans="1:18">
      <c r="A1716" s="135" t="s">
        <v>153</v>
      </c>
      <c r="B1716" s="149">
        <v>793</v>
      </c>
      <c r="C1716" s="84" t="s">
        <v>69</v>
      </c>
      <c r="D1716" s="84" t="s">
        <v>54</v>
      </c>
      <c r="E1716" s="84"/>
      <c r="F1716" s="84"/>
      <c r="G1716" s="87">
        <f>G1722+G1718</f>
        <v>40925530.369999997</v>
      </c>
      <c r="H1716" s="87">
        <f t="shared" ref="H1716:I1716" si="445">H1722+H1718</f>
        <v>8650651.1400000006</v>
      </c>
      <c r="I1716" s="87">
        <f t="shared" si="445"/>
        <v>34621808.240000002</v>
      </c>
      <c r="J1716" s="177"/>
    </row>
    <row r="1717" spans="1:18" s="32" customFormat="1" ht="12.75" hidden="1" customHeight="1">
      <c r="A1717" s="270"/>
      <c r="B1717" s="149"/>
      <c r="C1717" s="272"/>
      <c r="D1717" s="84"/>
      <c r="E1717" s="84"/>
      <c r="F1717" s="84"/>
      <c r="G1717" s="87"/>
      <c r="H1717" s="87"/>
      <c r="I1717" s="87"/>
      <c r="J1717" s="177"/>
      <c r="K1717" s="203"/>
      <c r="L1717" s="203"/>
      <c r="M1717" s="203"/>
      <c r="N1717" s="203"/>
      <c r="O1717" s="203"/>
      <c r="P1717" s="203"/>
      <c r="Q1717" s="203"/>
      <c r="R1717" s="203"/>
    </row>
    <row r="1718" spans="1:18" s="32" customFormat="1" ht="30.75" customHeight="1">
      <c r="A1718" s="293" t="s">
        <v>471</v>
      </c>
      <c r="B1718" s="149">
        <v>793</v>
      </c>
      <c r="C1718" s="84" t="s">
        <v>69</v>
      </c>
      <c r="D1718" s="84" t="s">
        <v>54</v>
      </c>
      <c r="E1718" s="84" t="s">
        <v>205</v>
      </c>
      <c r="F1718" s="84"/>
      <c r="G1718" s="87">
        <f>G1719+G356+G353</f>
        <v>3685500</v>
      </c>
      <c r="H1718" s="87">
        <f>H1719+H356</f>
        <v>2225475</v>
      </c>
      <c r="I1718" s="87">
        <f>I1719+I356</f>
        <v>2225475</v>
      </c>
      <c r="J1718" s="177"/>
      <c r="K1718" s="203"/>
      <c r="L1718" s="203"/>
      <c r="M1718" s="203"/>
      <c r="N1718" s="203"/>
      <c r="O1718" s="203"/>
      <c r="P1718" s="203"/>
      <c r="Q1718" s="203"/>
      <c r="R1718" s="203"/>
    </row>
    <row r="1719" spans="1:18" ht="33" customHeight="1">
      <c r="A1719" s="82" t="s">
        <v>185</v>
      </c>
      <c r="B1719" s="149">
        <v>793</v>
      </c>
      <c r="C1719" s="84" t="s">
        <v>69</v>
      </c>
      <c r="D1719" s="84" t="s">
        <v>54</v>
      </c>
      <c r="E1719" s="84" t="s">
        <v>411</v>
      </c>
      <c r="F1719" s="84"/>
      <c r="G1719" s="87">
        <f t="shared" ref="G1719:I1720" si="446">G1720</f>
        <v>3685500</v>
      </c>
      <c r="H1719" s="87">
        <f t="shared" si="446"/>
        <v>2225475</v>
      </c>
      <c r="I1719" s="87">
        <f t="shared" si="446"/>
        <v>2225475</v>
      </c>
      <c r="J1719" s="177"/>
    </row>
    <row r="1720" spans="1:18" ht="33" customHeight="1">
      <c r="A1720" s="82" t="s">
        <v>148</v>
      </c>
      <c r="B1720" s="149">
        <v>793</v>
      </c>
      <c r="C1720" s="84" t="s">
        <v>69</v>
      </c>
      <c r="D1720" s="84" t="s">
        <v>54</v>
      </c>
      <c r="E1720" s="84" t="s">
        <v>411</v>
      </c>
      <c r="F1720" s="84" t="s">
        <v>149</v>
      </c>
      <c r="G1720" s="87">
        <f t="shared" si="446"/>
        <v>3685500</v>
      </c>
      <c r="H1720" s="87">
        <f t="shared" si="446"/>
        <v>2225475</v>
      </c>
      <c r="I1720" s="87">
        <f t="shared" si="446"/>
        <v>2225475</v>
      </c>
      <c r="J1720" s="177"/>
    </row>
    <row r="1721" spans="1:18" ht="33" customHeight="1">
      <c r="A1721" s="82" t="s">
        <v>150</v>
      </c>
      <c r="B1721" s="149">
        <v>793</v>
      </c>
      <c r="C1721" s="84" t="s">
        <v>69</v>
      </c>
      <c r="D1721" s="84" t="s">
        <v>54</v>
      </c>
      <c r="E1721" s="84" t="s">
        <v>411</v>
      </c>
      <c r="F1721" s="84" t="s">
        <v>151</v>
      </c>
      <c r="G1721" s="87">
        <f>5699991.57-2014491.57</f>
        <v>3685500</v>
      </c>
      <c r="H1721" s="87">
        <v>2225475</v>
      </c>
      <c r="I1721" s="87">
        <v>2225475</v>
      </c>
      <c r="J1721" s="177"/>
    </row>
    <row r="1722" spans="1:18" s="46" customFormat="1" ht="25.5">
      <c r="A1722" s="82" t="s">
        <v>487</v>
      </c>
      <c r="B1722" s="149">
        <v>793</v>
      </c>
      <c r="C1722" s="84" t="s">
        <v>69</v>
      </c>
      <c r="D1722" s="84" t="s">
        <v>54</v>
      </c>
      <c r="E1722" s="84" t="s">
        <v>287</v>
      </c>
      <c r="F1722" s="84"/>
      <c r="G1722" s="87">
        <f>G1723+G1732+G1726+G1729</f>
        <v>37240030.369999997</v>
      </c>
      <c r="H1722" s="87">
        <f>H1723+H1732+H1726</f>
        <v>6425176.1399999997</v>
      </c>
      <c r="I1722" s="87">
        <f>I1723+I1732+I1726</f>
        <v>32396333.240000002</v>
      </c>
      <c r="J1722" s="177"/>
      <c r="K1722" s="222"/>
      <c r="L1722" s="222"/>
      <c r="M1722" s="222"/>
      <c r="N1722" s="222"/>
      <c r="O1722" s="222"/>
      <c r="P1722" s="222"/>
      <c r="Q1722" s="222"/>
      <c r="R1722" s="222"/>
    </row>
    <row r="1723" spans="1:18" ht="58.5" customHeight="1">
      <c r="A1723" s="142" t="s">
        <v>289</v>
      </c>
      <c r="B1723" s="149">
        <v>793</v>
      </c>
      <c r="C1723" s="84" t="s">
        <v>69</v>
      </c>
      <c r="D1723" s="84" t="s">
        <v>54</v>
      </c>
      <c r="E1723" s="84" t="s">
        <v>288</v>
      </c>
      <c r="F1723" s="84"/>
      <c r="G1723" s="87">
        <f>G1724</f>
        <v>5925317.3300000001</v>
      </c>
      <c r="H1723" s="87">
        <f t="shared" ref="H1723:I1723" si="447">H1724</f>
        <v>6237176.1399999997</v>
      </c>
      <c r="I1723" s="87">
        <f t="shared" si="447"/>
        <v>6237176.1399999997</v>
      </c>
      <c r="J1723" s="177"/>
    </row>
    <row r="1724" spans="1:18" ht="38.25">
      <c r="A1724" s="82" t="s">
        <v>348</v>
      </c>
      <c r="B1724" s="149">
        <v>793</v>
      </c>
      <c r="C1724" s="84" t="s">
        <v>69</v>
      </c>
      <c r="D1724" s="84" t="s">
        <v>54</v>
      </c>
      <c r="E1724" s="84" t="s">
        <v>288</v>
      </c>
      <c r="F1724" s="84" t="s">
        <v>349</v>
      </c>
      <c r="G1724" s="87">
        <f>G1725</f>
        <v>5925317.3300000001</v>
      </c>
      <c r="H1724" s="87">
        <f>H1725</f>
        <v>6237176.1399999997</v>
      </c>
      <c r="I1724" s="87">
        <f>I1725</f>
        <v>6237176.1399999997</v>
      </c>
      <c r="J1724" s="177"/>
    </row>
    <row r="1725" spans="1:18">
      <c r="A1725" s="82" t="s">
        <v>350</v>
      </c>
      <c r="B1725" s="149">
        <v>793</v>
      </c>
      <c r="C1725" s="84" t="s">
        <v>69</v>
      </c>
      <c r="D1725" s="84" t="s">
        <v>54</v>
      </c>
      <c r="E1725" s="84" t="s">
        <v>288</v>
      </c>
      <c r="F1725" s="84" t="s">
        <v>351</v>
      </c>
      <c r="G1725" s="87">
        <v>5925317.3300000001</v>
      </c>
      <c r="H1725" s="87">
        <v>6237176.1399999997</v>
      </c>
      <c r="I1725" s="87">
        <v>6237176.1399999997</v>
      </c>
      <c r="J1725" s="177"/>
    </row>
    <row r="1726" spans="1:18" ht="55.5" customHeight="1">
      <c r="A1726" s="142" t="s">
        <v>290</v>
      </c>
      <c r="B1726" s="149">
        <v>793</v>
      </c>
      <c r="C1726" s="84" t="s">
        <v>69</v>
      </c>
      <c r="D1726" s="84" t="s">
        <v>54</v>
      </c>
      <c r="E1726" s="84" t="s">
        <v>374</v>
      </c>
      <c r="F1726" s="84"/>
      <c r="G1726" s="87">
        <f t="shared" ref="G1726:I1730" si="448">G1727</f>
        <v>24177843.039999999</v>
      </c>
      <c r="H1726" s="87">
        <f t="shared" si="448"/>
        <v>0</v>
      </c>
      <c r="I1726" s="87">
        <f t="shared" si="448"/>
        <v>25971157.100000001</v>
      </c>
      <c r="J1726" s="177"/>
    </row>
    <row r="1727" spans="1:18" ht="38.25">
      <c r="A1727" s="82" t="s">
        <v>348</v>
      </c>
      <c r="B1727" s="149">
        <v>793</v>
      </c>
      <c r="C1727" s="84" t="s">
        <v>69</v>
      </c>
      <c r="D1727" s="84" t="s">
        <v>54</v>
      </c>
      <c r="E1727" s="84" t="s">
        <v>374</v>
      </c>
      <c r="F1727" s="84" t="s">
        <v>349</v>
      </c>
      <c r="G1727" s="87">
        <f t="shared" si="448"/>
        <v>24177843.039999999</v>
      </c>
      <c r="H1727" s="87">
        <f t="shared" si="448"/>
        <v>0</v>
      </c>
      <c r="I1727" s="87">
        <f t="shared" si="448"/>
        <v>25971157.100000001</v>
      </c>
      <c r="J1727" s="177"/>
    </row>
    <row r="1728" spans="1:18">
      <c r="A1728" s="82" t="s">
        <v>350</v>
      </c>
      <c r="B1728" s="149">
        <v>793</v>
      </c>
      <c r="C1728" s="84" t="s">
        <v>69</v>
      </c>
      <c r="D1728" s="84" t="s">
        <v>54</v>
      </c>
      <c r="E1728" s="84" t="s">
        <v>374</v>
      </c>
      <c r="F1728" s="84" t="s">
        <v>351</v>
      </c>
      <c r="G1728" s="87">
        <v>24177843.039999999</v>
      </c>
      <c r="H1728" s="87">
        <v>0</v>
      </c>
      <c r="I1728" s="87">
        <v>25971157.100000001</v>
      </c>
      <c r="J1728" s="177"/>
    </row>
    <row r="1729" spans="1:18" ht="81" customHeight="1">
      <c r="A1729" s="142" t="s">
        <v>1056</v>
      </c>
      <c r="B1729" s="149">
        <v>793</v>
      </c>
      <c r="C1729" s="84" t="s">
        <v>69</v>
      </c>
      <c r="D1729" s="84" t="s">
        <v>54</v>
      </c>
      <c r="E1729" s="84" t="s">
        <v>1048</v>
      </c>
      <c r="F1729" s="84"/>
      <c r="G1729" s="87">
        <f t="shared" si="448"/>
        <v>6948870</v>
      </c>
      <c r="H1729" s="87">
        <f t="shared" si="448"/>
        <v>0</v>
      </c>
      <c r="I1729" s="87">
        <f t="shared" si="448"/>
        <v>25971157.100000001</v>
      </c>
      <c r="J1729" s="177"/>
    </row>
    <row r="1730" spans="1:18" ht="38.25">
      <c r="A1730" s="82" t="s">
        <v>348</v>
      </c>
      <c r="B1730" s="149">
        <v>793</v>
      </c>
      <c r="C1730" s="84" t="s">
        <v>69</v>
      </c>
      <c r="D1730" s="84" t="s">
        <v>54</v>
      </c>
      <c r="E1730" s="84" t="s">
        <v>1048</v>
      </c>
      <c r="F1730" s="84" t="s">
        <v>349</v>
      </c>
      <c r="G1730" s="87">
        <f t="shared" si="448"/>
        <v>6948870</v>
      </c>
      <c r="H1730" s="87">
        <f t="shared" si="448"/>
        <v>0</v>
      </c>
      <c r="I1730" s="87">
        <f t="shared" si="448"/>
        <v>25971157.100000001</v>
      </c>
      <c r="J1730" s="177"/>
    </row>
    <row r="1731" spans="1:18">
      <c r="A1731" s="82" t="s">
        <v>350</v>
      </c>
      <c r="B1731" s="149">
        <v>793</v>
      </c>
      <c r="C1731" s="84" t="s">
        <v>69</v>
      </c>
      <c r="D1731" s="84" t="s">
        <v>54</v>
      </c>
      <c r="E1731" s="84" t="s">
        <v>1048</v>
      </c>
      <c r="F1731" s="84" t="s">
        <v>351</v>
      </c>
      <c r="G1731" s="87">
        <v>6948870</v>
      </c>
      <c r="H1731" s="87">
        <v>0</v>
      </c>
      <c r="I1731" s="87">
        <v>25971157.100000001</v>
      </c>
      <c r="J1731" s="177"/>
    </row>
    <row r="1732" spans="1:18" s="18" customFormat="1" ht="25.5">
      <c r="A1732" s="82" t="s">
        <v>360</v>
      </c>
      <c r="B1732" s="149">
        <v>793</v>
      </c>
      <c r="C1732" s="84" t="s">
        <v>69</v>
      </c>
      <c r="D1732" s="84" t="s">
        <v>54</v>
      </c>
      <c r="E1732" s="84" t="s">
        <v>292</v>
      </c>
      <c r="F1732" s="84"/>
      <c r="G1732" s="87">
        <f t="shared" ref="G1732:I1733" si="449">G1733</f>
        <v>188000</v>
      </c>
      <c r="H1732" s="87">
        <f t="shared" si="449"/>
        <v>188000</v>
      </c>
      <c r="I1732" s="87">
        <f t="shared" si="449"/>
        <v>188000</v>
      </c>
      <c r="J1732" s="177"/>
      <c r="K1732" s="200"/>
      <c r="L1732" s="200"/>
      <c r="M1732" s="200"/>
      <c r="N1732" s="200"/>
      <c r="O1732" s="200"/>
      <c r="P1732" s="200"/>
      <c r="Q1732" s="200"/>
      <c r="R1732" s="200"/>
    </row>
    <row r="1733" spans="1:18" s="18" customFormat="1" ht="25.5">
      <c r="A1733" s="82" t="s">
        <v>358</v>
      </c>
      <c r="B1733" s="149">
        <v>793</v>
      </c>
      <c r="C1733" s="84" t="s">
        <v>69</v>
      </c>
      <c r="D1733" s="84" t="s">
        <v>54</v>
      </c>
      <c r="E1733" s="84" t="s">
        <v>292</v>
      </c>
      <c r="F1733" s="84" t="s">
        <v>149</v>
      </c>
      <c r="G1733" s="87">
        <f t="shared" si="449"/>
        <v>188000</v>
      </c>
      <c r="H1733" s="87">
        <f t="shared" si="449"/>
        <v>188000</v>
      </c>
      <c r="I1733" s="87">
        <f t="shared" si="449"/>
        <v>188000</v>
      </c>
      <c r="J1733" s="177"/>
      <c r="K1733" s="200"/>
      <c r="L1733" s="200"/>
      <c r="M1733" s="200"/>
      <c r="N1733" s="200"/>
      <c r="O1733" s="200"/>
      <c r="P1733" s="200"/>
      <c r="Q1733" s="200"/>
      <c r="R1733" s="200"/>
    </row>
    <row r="1734" spans="1:18" s="18" customFormat="1" ht="25.5">
      <c r="A1734" s="82" t="s">
        <v>355</v>
      </c>
      <c r="B1734" s="149">
        <v>793</v>
      </c>
      <c r="C1734" s="84" t="s">
        <v>69</v>
      </c>
      <c r="D1734" s="84" t="s">
        <v>54</v>
      </c>
      <c r="E1734" s="84" t="s">
        <v>292</v>
      </c>
      <c r="F1734" s="84" t="s">
        <v>356</v>
      </c>
      <c r="G1734" s="87">
        <v>188000</v>
      </c>
      <c r="H1734" s="87">
        <v>188000</v>
      </c>
      <c r="I1734" s="87">
        <v>188000</v>
      </c>
      <c r="J1734" s="177"/>
      <c r="K1734" s="200"/>
      <c r="L1734" s="200"/>
      <c r="M1734" s="200"/>
      <c r="N1734" s="200"/>
      <c r="O1734" s="200"/>
      <c r="P1734" s="200"/>
      <c r="Q1734" s="200"/>
      <c r="R1734" s="200"/>
    </row>
    <row r="1735" spans="1:18" s="32" customFormat="1" ht="17.25" customHeight="1">
      <c r="A1735" s="277" t="s">
        <v>361</v>
      </c>
      <c r="B1735" s="155">
        <v>793</v>
      </c>
      <c r="C1735" s="156" t="s">
        <v>72</v>
      </c>
      <c r="D1735" s="156"/>
      <c r="E1735" s="156"/>
      <c r="F1735" s="156"/>
      <c r="G1735" s="157">
        <f>G1751+G1736</f>
        <v>441360</v>
      </c>
      <c r="H1735" s="157">
        <f>H1751+H1736</f>
        <v>445360</v>
      </c>
      <c r="I1735" s="157">
        <f>I1751+I1736</f>
        <v>445360</v>
      </c>
      <c r="J1735" s="196"/>
      <c r="K1735" s="203"/>
      <c r="L1735" s="203"/>
      <c r="M1735" s="203"/>
      <c r="N1735" s="203"/>
      <c r="O1735" s="203"/>
      <c r="P1735" s="203"/>
      <c r="Q1735" s="203"/>
      <c r="R1735" s="203"/>
    </row>
    <row r="1736" spans="1:18" s="32" customFormat="1" ht="17.25" hidden="1" customHeight="1">
      <c r="A1736" s="278" t="s">
        <v>496</v>
      </c>
      <c r="B1736" s="149">
        <v>757</v>
      </c>
      <c r="C1736" s="84" t="s">
        <v>72</v>
      </c>
      <c r="D1736" s="84" t="s">
        <v>19</v>
      </c>
      <c r="E1736" s="156"/>
      <c r="F1736" s="156"/>
      <c r="G1736" s="157">
        <f>G1737+G1747</f>
        <v>0</v>
      </c>
      <c r="H1736" s="157">
        <f>H1737+H1747</f>
        <v>0</v>
      </c>
      <c r="I1736" s="157">
        <f>I1737+I1747</f>
        <v>0</v>
      </c>
      <c r="J1736" s="196"/>
      <c r="K1736" s="203"/>
      <c r="L1736" s="203"/>
      <c r="M1736" s="203"/>
      <c r="N1736" s="203"/>
      <c r="O1736" s="203"/>
      <c r="P1736" s="203"/>
      <c r="Q1736" s="203"/>
      <c r="R1736" s="203"/>
    </row>
    <row r="1737" spans="1:18" ht="27.75" hidden="1" customHeight="1">
      <c r="A1737" s="139" t="s">
        <v>485</v>
      </c>
      <c r="B1737" s="149">
        <v>757</v>
      </c>
      <c r="C1737" s="84" t="s">
        <v>72</v>
      </c>
      <c r="D1737" s="84" t="s">
        <v>19</v>
      </c>
      <c r="E1737" s="84" t="s">
        <v>195</v>
      </c>
      <c r="F1737" s="84"/>
      <c r="G1737" s="87">
        <f>G1739+G1742+G1744</f>
        <v>0</v>
      </c>
      <c r="H1737" s="87">
        <f>H1739+H1742+H1744</f>
        <v>0</v>
      </c>
      <c r="I1737" s="87">
        <f>I1739+I1742+I1744</f>
        <v>0</v>
      </c>
      <c r="J1737" s="177"/>
    </row>
    <row r="1738" spans="1:18" ht="19.5" hidden="1" customHeight="1">
      <c r="A1738" s="82" t="s">
        <v>32</v>
      </c>
      <c r="B1738" s="149">
        <v>757</v>
      </c>
      <c r="C1738" s="84" t="s">
        <v>72</v>
      </c>
      <c r="D1738" s="84" t="s">
        <v>19</v>
      </c>
      <c r="E1738" s="84" t="s">
        <v>40</v>
      </c>
      <c r="F1738" s="84" t="s">
        <v>33</v>
      </c>
      <c r="G1738" s="87"/>
      <c r="H1738" s="87"/>
      <c r="I1738" s="87"/>
      <c r="J1738" s="177"/>
    </row>
    <row r="1739" spans="1:18" ht="39" hidden="1" customHeight="1">
      <c r="A1739" s="82" t="s">
        <v>112</v>
      </c>
      <c r="B1739" s="149">
        <v>757</v>
      </c>
      <c r="C1739" s="84" t="s">
        <v>72</v>
      </c>
      <c r="D1739" s="84" t="s">
        <v>19</v>
      </c>
      <c r="E1739" s="84" t="s">
        <v>196</v>
      </c>
      <c r="F1739" s="84"/>
      <c r="G1739" s="87">
        <f>G1740</f>
        <v>0</v>
      </c>
      <c r="H1739" s="87">
        <f t="shared" ref="H1739:I1739" si="450">H1740</f>
        <v>0</v>
      </c>
      <c r="I1739" s="87">
        <f t="shared" si="450"/>
        <v>0</v>
      </c>
      <c r="J1739" s="177"/>
    </row>
    <row r="1740" spans="1:18" ht="25.5" hidden="1">
      <c r="A1740" s="82" t="s">
        <v>30</v>
      </c>
      <c r="B1740" s="149">
        <v>757</v>
      </c>
      <c r="C1740" s="84" t="s">
        <v>72</v>
      </c>
      <c r="D1740" s="84" t="s">
        <v>19</v>
      </c>
      <c r="E1740" s="84" t="s">
        <v>196</v>
      </c>
      <c r="F1740" s="84" t="s">
        <v>31</v>
      </c>
      <c r="G1740" s="87">
        <f>G1741</f>
        <v>0</v>
      </c>
      <c r="H1740" s="87">
        <f>H1741</f>
        <v>0</v>
      </c>
      <c r="I1740" s="87">
        <f>I1741</f>
        <v>0</v>
      </c>
      <c r="J1740" s="177"/>
    </row>
    <row r="1741" spans="1:18" ht="19.5" hidden="1" customHeight="1">
      <c r="A1741" s="82" t="s">
        <v>32</v>
      </c>
      <c r="B1741" s="149">
        <v>757</v>
      </c>
      <c r="C1741" s="84" t="s">
        <v>72</v>
      </c>
      <c r="D1741" s="84" t="s">
        <v>19</v>
      </c>
      <c r="E1741" s="84" t="s">
        <v>196</v>
      </c>
      <c r="F1741" s="84" t="s">
        <v>33</v>
      </c>
      <c r="G1741" s="87"/>
      <c r="H1741" s="87"/>
      <c r="I1741" s="87"/>
      <c r="J1741" s="177"/>
    </row>
    <row r="1742" spans="1:18" s="32" customFormat="1" ht="25.5" hidden="1" customHeight="1">
      <c r="A1742" s="82" t="s">
        <v>30</v>
      </c>
      <c r="B1742" s="149">
        <v>757</v>
      </c>
      <c r="C1742" s="84" t="s">
        <v>72</v>
      </c>
      <c r="D1742" s="84" t="s">
        <v>19</v>
      </c>
      <c r="E1742" s="84" t="s">
        <v>547</v>
      </c>
      <c r="F1742" s="84" t="s">
        <v>31</v>
      </c>
      <c r="G1742" s="87">
        <f>G1743</f>
        <v>0</v>
      </c>
      <c r="H1742" s="87">
        <v>0</v>
      </c>
      <c r="I1742" s="87">
        <v>0</v>
      </c>
      <c r="J1742" s="177"/>
      <c r="K1742" s="203"/>
      <c r="L1742" s="203"/>
      <c r="M1742" s="203"/>
      <c r="N1742" s="203"/>
      <c r="O1742" s="203"/>
      <c r="P1742" s="203"/>
      <c r="Q1742" s="203"/>
      <c r="R1742" s="203"/>
    </row>
    <row r="1743" spans="1:18" s="32" customFormat="1" ht="17.25" hidden="1" customHeight="1">
      <c r="A1743" s="82" t="s">
        <v>32</v>
      </c>
      <c r="B1743" s="149">
        <v>757</v>
      </c>
      <c r="C1743" s="84" t="s">
        <v>72</v>
      </c>
      <c r="D1743" s="84" t="s">
        <v>19</v>
      </c>
      <c r="E1743" s="84" t="s">
        <v>547</v>
      </c>
      <c r="F1743" s="84" t="s">
        <v>33</v>
      </c>
      <c r="G1743" s="87"/>
      <c r="H1743" s="87">
        <v>0</v>
      </c>
      <c r="I1743" s="87">
        <v>0</v>
      </c>
      <c r="J1743" s="177"/>
      <c r="K1743" s="203"/>
      <c r="L1743" s="203"/>
      <c r="M1743" s="203"/>
      <c r="N1743" s="203"/>
      <c r="O1743" s="203"/>
      <c r="P1743" s="203"/>
      <c r="Q1743" s="203"/>
      <c r="R1743" s="203"/>
    </row>
    <row r="1744" spans="1:18" s="32" customFormat="1" ht="65.25" hidden="1" customHeight="1">
      <c r="A1744" s="82" t="s">
        <v>616</v>
      </c>
      <c r="B1744" s="149">
        <v>757</v>
      </c>
      <c r="C1744" s="84" t="s">
        <v>72</v>
      </c>
      <c r="D1744" s="84" t="s">
        <v>19</v>
      </c>
      <c r="E1744" s="84" t="s">
        <v>615</v>
      </c>
      <c r="F1744" s="84"/>
      <c r="G1744" s="87">
        <f>G1745</f>
        <v>0</v>
      </c>
      <c r="H1744" s="87">
        <f t="shared" ref="H1744:I1744" si="451">H1745</f>
        <v>0</v>
      </c>
      <c r="I1744" s="87">
        <f t="shared" si="451"/>
        <v>0</v>
      </c>
      <c r="J1744" s="177"/>
      <c r="K1744" s="203"/>
      <c r="L1744" s="203"/>
      <c r="M1744" s="203"/>
      <c r="N1744" s="203"/>
      <c r="O1744" s="203"/>
      <c r="P1744" s="203"/>
      <c r="Q1744" s="203"/>
      <c r="R1744" s="203"/>
    </row>
    <row r="1745" spans="1:18" s="32" customFormat="1" ht="25.5" hidden="1" customHeight="1">
      <c r="A1745" s="82" t="s">
        <v>30</v>
      </c>
      <c r="B1745" s="149">
        <v>757</v>
      </c>
      <c r="C1745" s="84" t="s">
        <v>72</v>
      </c>
      <c r="D1745" s="84" t="s">
        <v>19</v>
      </c>
      <c r="E1745" s="84" t="s">
        <v>615</v>
      </c>
      <c r="F1745" s="84" t="s">
        <v>31</v>
      </c>
      <c r="G1745" s="87">
        <f>G1746</f>
        <v>0</v>
      </c>
      <c r="H1745" s="87">
        <v>0</v>
      </c>
      <c r="I1745" s="87">
        <v>0</v>
      </c>
      <c r="J1745" s="177"/>
      <c r="K1745" s="203"/>
      <c r="L1745" s="203"/>
      <c r="M1745" s="203"/>
      <c r="N1745" s="203"/>
      <c r="O1745" s="203"/>
      <c r="P1745" s="203"/>
      <c r="Q1745" s="203"/>
      <c r="R1745" s="203"/>
    </row>
    <row r="1746" spans="1:18" s="32" customFormat="1" ht="17.25" hidden="1" customHeight="1">
      <c r="A1746" s="82" t="s">
        <v>32</v>
      </c>
      <c r="B1746" s="149">
        <v>757</v>
      </c>
      <c r="C1746" s="84" t="s">
        <v>72</v>
      </c>
      <c r="D1746" s="84" t="s">
        <v>19</v>
      </c>
      <c r="E1746" s="84" t="s">
        <v>615</v>
      </c>
      <c r="F1746" s="84" t="s">
        <v>33</v>
      </c>
      <c r="G1746" s="87"/>
      <c r="H1746" s="87">
        <v>0</v>
      </c>
      <c r="I1746" s="87">
        <v>0</v>
      </c>
      <c r="J1746" s="177"/>
      <c r="K1746" s="203"/>
      <c r="L1746" s="203"/>
      <c r="M1746" s="203"/>
      <c r="N1746" s="203"/>
      <c r="O1746" s="203"/>
      <c r="P1746" s="203"/>
      <c r="Q1746" s="203"/>
      <c r="R1746" s="203"/>
    </row>
    <row r="1747" spans="1:18" s="18" customFormat="1" ht="25.5" hidden="1">
      <c r="A1747" s="82" t="s">
        <v>475</v>
      </c>
      <c r="B1747" s="149">
        <v>757</v>
      </c>
      <c r="C1747" s="84" t="s">
        <v>72</v>
      </c>
      <c r="D1747" s="84" t="s">
        <v>19</v>
      </c>
      <c r="E1747" s="84" t="s">
        <v>263</v>
      </c>
      <c r="F1747" s="84"/>
      <c r="G1747" s="87">
        <f>G1748</f>
        <v>0</v>
      </c>
      <c r="H1747" s="87">
        <f t="shared" ref="H1747:I1749" si="452">H1748</f>
        <v>0</v>
      </c>
      <c r="I1747" s="87">
        <f t="shared" si="452"/>
        <v>0</v>
      </c>
      <c r="J1747" s="177"/>
      <c r="K1747" s="200"/>
      <c r="L1747" s="200"/>
      <c r="M1747" s="200"/>
      <c r="N1747" s="200"/>
      <c r="O1747" s="200"/>
      <c r="P1747" s="200"/>
      <c r="Q1747" s="200"/>
      <c r="R1747" s="200"/>
    </row>
    <row r="1748" spans="1:18" s="18" customFormat="1" ht="25.5" hidden="1">
      <c r="A1748" s="82" t="s">
        <v>474</v>
      </c>
      <c r="B1748" s="149">
        <v>757</v>
      </c>
      <c r="C1748" s="84" t="s">
        <v>72</v>
      </c>
      <c r="D1748" s="84" t="s">
        <v>19</v>
      </c>
      <c r="E1748" s="84" t="s">
        <v>446</v>
      </c>
      <c r="F1748" s="84"/>
      <c r="G1748" s="87">
        <f>G1749</f>
        <v>0</v>
      </c>
      <c r="H1748" s="87">
        <f t="shared" si="452"/>
        <v>0</v>
      </c>
      <c r="I1748" s="87">
        <f t="shared" si="452"/>
        <v>0</v>
      </c>
      <c r="J1748" s="177"/>
      <c r="K1748" s="200"/>
      <c r="L1748" s="200"/>
      <c r="M1748" s="200"/>
      <c r="N1748" s="200"/>
      <c r="O1748" s="200"/>
      <c r="P1748" s="200"/>
      <c r="Q1748" s="200"/>
      <c r="R1748" s="200"/>
    </row>
    <row r="1749" spans="1:18" s="18" customFormat="1" ht="25.5" hidden="1">
      <c r="A1749" s="82" t="s">
        <v>96</v>
      </c>
      <c r="B1749" s="149">
        <v>757</v>
      </c>
      <c r="C1749" s="84" t="s">
        <v>72</v>
      </c>
      <c r="D1749" s="84" t="s">
        <v>19</v>
      </c>
      <c r="E1749" s="84" t="s">
        <v>446</v>
      </c>
      <c r="F1749" s="84" t="s">
        <v>349</v>
      </c>
      <c r="G1749" s="87">
        <f>G1750</f>
        <v>0</v>
      </c>
      <c r="H1749" s="87">
        <f t="shared" si="452"/>
        <v>0</v>
      </c>
      <c r="I1749" s="87">
        <f t="shared" si="452"/>
        <v>0</v>
      </c>
      <c r="J1749" s="177"/>
      <c r="K1749" s="200"/>
      <c r="L1749" s="200"/>
      <c r="M1749" s="200"/>
      <c r="N1749" s="200"/>
      <c r="O1749" s="200"/>
      <c r="P1749" s="200"/>
      <c r="Q1749" s="200"/>
      <c r="R1749" s="200"/>
    </row>
    <row r="1750" spans="1:18" s="18" customFormat="1" ht="89.25" hidden="1">
      <c r="A1750" s="133" t="s">
        <v>421</v>
      </c>
      <c r="B1750" s="149">
        <v>757</v>
      </c>
      <c r="C1750" s="84" t="s">
        <v>72</v>
      </c>
      <c r="D1750" s="84" t="s">
        <v>19</v>
      </c>
      <c r="E1750" s="84" t="s">
        <v>446</v>
      </c>
      <c r="F1750" s="84" t="s">
        <v>420</v>
      </c>
      <c r="G1750" s="87">
        <f>50000-50000</f>
        <v>0</v>
      </c>
      <c r="H1750" s="87"/>
      <c r="I1750" s="87"/>
      <c r="J1750" s="177"/>
      <c r="K1750" s="200"/>
      <c r="L1750" s="200"/>
      <c r="M1750" s="200"/>
      <c r="N1750" s="200"/>
      <c r="O1750" s="200"/>
      <c r="P1750" s="200"/>
      <c r="Q1750" s="200"/>
      <c r="R1750" s="200"/>
    </row>
    <row r="1751" spans="1:18" s="33" customFormat="1" ht="15" customHeight="1">
      <c r="A1751" s="82" t="s">
        <v>71</v>
      </c>
      <c r="B1751" s="149">
        <v>793</v>
      </c>
      <c r="C1751" s="84" t="s">
        <v>72</v>
      </c>
      <c r="D1751" s="84" t="s">
        <v>28</v>
      </c>
      <c r="E1751" s="168"/>
      <c r="F1751" s="168"/>
      <c r="G1751" s="93">
        <f>G1752</f>
        <v>441360</v>
      </c>
      <c r="H1751" s="93">
        <f>H1752+H1325</f>
        <v>445360</v>
      </c>
      <c r="I1751" s="93">
        <f>I1752+I1325</f>
        <v>445360</v>
      </c>
      <c r="J1751" s="195"/>
      <c r="K1751" s="211"/>
      <c r="L1751" s="211"/>
      <c r="M1751" s="211"/>
      <c r="N1751" s="211"/>
      <c r="O1751" s="211"/>
      <c r="P1751" s="211"/>
      <c r="Q1751" s="211"/>
      <c r="R1751" s="211"/>
    </row>
    <row r="1752" spans="1:18" s="28" customFormat="1" ht="28.5" customHeight="1">
      <c r="A1752" s="139" t="s">
        <v>485</v>
      </c>
      <c r="B1752" s="149">
        <v>793</v>
      </c>
      <c r="C1752" s="84" t="s">
        <v>72</v>
      </c>
      <c r="D1752" s="84" t="s">
        <v>28</v>
      </c>
      <c r="E1752" s="84" t="s">
        <v>195</v>
      </c>
      <c r="F1752" s="84"/>
      <c r="G1752" s="87">
        <f>G1753+G1756+G1759</f>
        <v>441360</v>
      </c>
      <c r="H1752" s="87">
        <f t="shared" ref="H1752:I1752" si="453">H1753+H1756+H1759</f>
        <v>445360</v>
      </c>
      <c r="I1752" s="87">
        <f t="shared" si="453"/>
        <v>445360</v>
      </c>
      <c r="J1752" s="177"/>
      <c r="K1752" s="204"/>
      <c r="L1752" s="204"/>
      <c r="M1752" s="204"/>
      <c r="N1752" s="204"/>
      <c r="O1752" s="204"/>
      <c r="P1752" s="204"/>
      <c r="Q1752" s="204"/>
      <c r="R1752" s="204"/>
    </row>
    <row r="1753" spans="1:18" s="28" customFormat="1" ht="27.75" customHeight="1">
      <c r="A1753" s="139" t="s">
        <v>73</v>
      </c>
      <c r="B1753" s="149">
        <v>793</v>
      </c>
      <c r="C1753" s="84" t="s">
        <v>72</v>
      </c>
      <c r="D1753" s="84" t="s">
        <v>28</v>
      </c>
      <c r="E1753" s="84" t="s">
        <v>206</v>
      </c>
      <c r="F1753" s="84"/>
      <c r="G1753" s="87">
        <f>G1754</f>
        <v>441360</v>
      </c>
      <c r="H1753" s="87">
        <f t="shared" ref="H1753:I1753" si="454">H1754</f>
        <v>445360</v>
      </c>
      <c r="I1753" s="87">
        <f t="shared" si="454"/>
        <v>445360</v>
      </c>
      <c r="J1753" s="177"/>
      <c r="K1753" s="204"/>
      <c r="L1753" s="204"/>
      <c r="M1753" s="204"/>
      <c r="N1753" s="204"/>
      <c r="O1753" s="204"/>
      <c r="P1753" s="204"/>
      <c r="Q1753" s="204"/>
      <c r="R1753" s="204"/>
    </row>
    <row r="1754" spans="1:18" s="32" customFormat="1" ht="28.5" customHeight="1">
      <c r="A1754" s="82" t="s">
        <v>36</v>
      </c>
      <c r="B1754" s="149">
        <v>793</v>
      </c>
      <c r="C1754" s="84" t="s">
        <v>72</v>
      </c>
      <c r="D1754" s="84" t="s">
        <v>28</v>
      </c>
      <c r="E1754" s="84" t="s">
        <v>206</v>
      </c>
      <c r="F1754" s="84" t="s">
        <v>37</v>
      </c>
      <c r="G1754" s="87">
        <f>G1755</f>
        <v>441360</v>
      </c>
      <c r="H1754" s="87">
        <f>H1755</f>
        <v>445360</v>
      </c>
      <c r="I1754" s="87">
        <f>I1755</f>
        <v>445360</v>
      </c>
      <c r="J1754" s="177"/>
      <c r="K1754" s="203"/>
      <c r="L1754" s="203"/>
      <c r="M1754" s="203"/>
      <c r="N1754" s="203"/>
      <c r="O1754" s="203"/>
      <c r="P1754" s="203"/>
      <c r="Q1754" s="203"/>
      <c r="R1754" s="203"/>
    </row>
    <row r="1755" spans="1:18" s="32" customFormat="1" ht="25.5">
      <c r="A1755" s="82" t="s">
        <v>38</v>
      </c>
      <c r="B1755" s="149">
        <v>793</v>
      </c>
      <c r="C1755" s="84" t="s">
        <v>72</v>
      </c>
      <c r="D1755" s="84" t="s">
        <v>28</v>
      </c>
      <c r="E1755" s="84" t="s">
        <v>206</v>
      </c>
      <c r="F1755" s="84" t="s">
        <v>39</v>
      </c>
      <c r="G1755" s="87">
        <f>445360-20000+16000</f>
        <v>441360</v>
      </c>
      <c r="H1755" s="87">
        <v>445360</v>
      </c>
      <c r="I1755" s="87">
        <v>445360</v>
      </c>
      <c r="J1755" s="177"/>
      <c r="K1755" s="205"/>
      <c r="L1755" s="203"/>
      <c r="M1755" s="203"/>
      <c r="N1755" s="203"/>
      <c r="O1755" s="203"/>
      <c r="P1755" s="203"/>
      <c r="Q1755" s="203"/>
      <c r="R1755" s="203"/>
    </row>
    <row r="1756" spans="1:18" s="28" customFormat="1" ht="51" hidden="1" customHeight="1">
      <c r="A1756" s="139"/>
      <c r="B1756" s="149"/>
      <c r="C1756" s="84"/>
      <c r="D1756" s="84"/>
      <c r="E1756" s="84"/>
      <c r="F1756" s="84"/>
      <c r="G1756" s="87"/>
      <c r="H1756" s="87"/>
      <c r="I1756" s="87"/>
      <c r="J1756" s="177"/>
      <c r="K1756" s="204"/>
      <c r="L1756" s="204"/>
      <c r="M1756" s="204"/>
      <c r="N1756" s="204"/>
      <c r="O1756" s="204"/>
      <c r="P1756" s="204"/>
      <c r="Q1756" s="204"/>
      <c r="R1756" s="204"/>
    </row>
    <row r="1757" spans="1:18" s="32" customFormat="1" ht="28.5" hidden="1" customHeight="1">
      <c r="A1757" s="82"/>
      <c r="B1757" s="149"/>
      <c r="C1757" s="84"/>
      <c r="D1757" s="84"/>
      <c r="E1757" s="84"/>
      <c r="F1757" s="84"/>
      <c r="G1757" s="87"/>
      <c r="H1757" s="87"/>
      <c r="I1757" s="87"/>
      <c r="J1757" s="177"/>
      <c r="K1757" s="203"/>
      <c r="L1757" s="203"/>
      <c r="M1757" s="203"/>
      <c r="N1757" s="203"/>
      <c r="O1757" s="203"/>
      <c r="P1757" s="203"/>
      <c r="Q1757" s="203"/>
      <c r="R1757" s="203"/>
    </row>
    <row r="1758" spans="1:18" s="32" customFormat="1" hidden="1">
      <c r="A1758" s="82"/>
      <c r="B1758" s="149"/>
      <c r="C1758" s="84"/>
      <c r="D1758" s="84"/>
      <c r="E1758" s="84"/>
      <c r="F1758" s="84"/>
      <c r="G1758" s="87"/>
      <c r="H1758" s="87"/>
      <c r="I1758" s="87"/>
      <c r="J1758" s="177"/>
      <c r="K1758" s="205"/>
      <c r="L1758" s="203"/>
      <c r="M1758" s="203"/>
      <c r="N1758" s="203"/>
      <c r="O1758" s="203"/>
      <c r="P1758" s="203"/>
      <c r="Q1758" s="203"/>
      <c r="R1758" s="203"/>
    </row>
    <row r="1759" spans="1:18" s="28" customFormat="1" ht="51" hidden="1" customHeight="1">
      <c r="A1759" s="139"/>
      <c r="B1759" s="149"/>
      <c r="C1759" s="84"/>
      <c r="D1759" s="84"/>
      <c r="E1759" s="84"/>
      <c r="F1759" s="84"/>
      <c r="G1759" s="87"/>
      <c r="H1759" s="87"/>
      <c r="I1759" s="87"/>
      <c r="J1759" s="177"/>
      <c r="K1759" s="204"/>
      <c r="L1759" s="204"/>
      <c r="M1759" s="204"/>
      <c r="N1759" s="204"/>
      <c r="O1759" s="204"/>
      <c r="P1759" s="204"/>
      <c r="Q1759" s="204"/>
      <c r="R1759" s="204"/>
    </row>
    <row r="1760" spans="1:18" s="32" customFormat="1" ht="28.5" hidden="1" customHeight="1">
      <c r="A1760" s="82"/>
      <c r="B1760" s="149"/>
      <c r="C1760" s="84"/>
      <c r="D1760" s="84"/>
      <c r="E1760" s="84"/>
      <c r="F1760" s="84"/>
      <c r="G1760" s="87"/>
      <c r="H1760" s="87"/>
      <c r="I1760" s="87"/>
      <c r="J1760" s="177"/>
      <c r="K1760" s="203"/>
      <c r="L1760" s="203"/>
      <c r="M1760" s="203"/>
      <c r="N1760" s="203"/>
      <c r="O1760" s="203"/>
      <c r="P1760" s="203"/>
      <c r="Q1760" s="203"/>
      <c r="R1760" s="203"/>
    </row>
    <row r="1761" spans="1:18" s="32" customFormat="1" hidden="1">
      <c r="A1761" s="82"/>
      <c r="B1761" s="149"/>
      <c r="C1761" s="84"/>
      <c r="D1761" s="84"/>
      <c r="E1761" s="84"/>
      <c r="F1761" s="84"/>
      <c r="G1761" s="87"/>
      <c r="H1761" s="87"/>
      <c r="I1761" s="87"/>
      <c r="J1761" s="177"/>
      <c r="K1761" s="205"/>
      <c r="L1761" s="203"/>
      <c r="M1761" s="203"/>
      <c r="N1761" s="203"/>
      <c r="O1761" s="203"/>
      <c r="P1761" s="203"/>
      <c r="Q1761" s="203"/>
      <c r="R1761" s="203"/>
    </row>
    <row r="1762" spans="1:18" ht="25.5">
      <c r="A1762" s="134" t="s">
        <v>301</v>
      </c>
      <c r="B1762" s="275">
        <v>793</v>
      </c>
      <c r="C1762" s="272" t="s">
        <v>23</v>
      </c>
      <c r="D1762" s="272"/>
      <c r="E1762" s="272"/>
      <c r="F1762" s="272"/>
      <c r="G1762" s="269">
        <f t="shared" ref="G1762:G1767" si="455">G1763</f>
        <v>5130000</v>
      </c>
      <c r="H1762" s="269">
        <f t="shared" ref="H1762:I1767" si="456">H1763</f>
        <v>5130000</v>
      </c>
      <c r="I1762" s="269">
        <f t="shared" si="456"/>
        <v>5130000</v>
      </c>
      <c r="J1762" s="191"/>
    </row>
    <row r="1763" spans="1:18" ht="28.5" customHeight="1">
      <c r="A1763" s="135" t="s">
        <v>302</v>
      </c>
      <c r="B1763" s="149">
        <v>793</v>
      </c>
      <c r="C1763" s="84" t="s">
        <v>23</v>
      </c>
      <c r="D1763" s="84" t="s">
        <v>19</v>
      </c>
      <c r="E1763" s="156"/>
      <c r="F1763" s="156"/>
      <c r="G1763" s="87">
        <f t="shared" si="455"/>
        <v>5130000</v>
      </c>
      <c r="H1763" s="87">
        <f t="shared" si="456"/>
        <v>5130000</v>
      </c>
      <c r="I1763" s="87">
        <f t="shared" si="456"/>
        <v>5130000</v>
      </c>
      <c r="J1763" s="177"/>
    </row>
    <row r="1764" spans="1:18" s="28" customFormat="1" ht="38.25">
      <c r="A1764" s="82" t="s">
        <v>443</v>
      </c>
      <c r="B1764" s="149">
        <v>793</v>
      </c>
      <c r="C1764" s="84" t="s">
        <v>23</v>
      </c>
      <c r="D1764" s="84" t="s">
        <v>19</v>
      </c>
      <c r="E1764" s="84" t="s">
        <v>230</v>
      </c>
      <c r="F1764" s="168"/>
      <c r="G1764" s="87">
        <f t="shared" si="455"/>
        <v>5130000</v>
      </c>
      <c r="H1764" s="87">
        <f t="shared" si="456"/>
        <v>5130000</v>
      </c>
      <c r="I1764" s="87">
        <f t="shared" si="456"/>
        <v>5130000</v>
      </c>
      <c r="J1764" s="177"/>
      <c r="K1764" s="204"/>
      <c r="L1764" s="204"/>
      <c r="M1764" s="204"/>
      <c r="N1764" s="204"/>
      <c r="O1764" s="204"/>
      <c r="P1764" s="204"/>
      <c r="Q1764" s="204"/>
      <c r="R1764" s="204"/>
    </row>
    <row r="1765" spans="1:18" s="28" customFormat="1" ht="25.5">
      <c r="A1765" s="82" t="s">
        <v>303</v>
      </c>
      <c r="B1765" s="149">
        <v>793</v>
      </c>
      <c r="C1765" s="84" t="s">
        <v>23</v>
      </c>
      <c r="D1765" s="84" t="s">
        <v>19</v>
      </c>
      <c r="E1765" s="84" t="s">
        <v>236</v>
      </c>
      <c r="F1765" s="168"/>
      <c r="G1765" s="87">
        <f t="shared" si="455"/>
        <v>5130000</v>
      </c>
      <c r="H1765" s="87">
        <f t="shared" si="456"/>
        <v>5130000</v>
      </c>
      <c r="I1765" s="87">
        <f t="shared" si="456"/>
        <v>5130000</v>
      </c>
      <c r="J1765" s="177"/>
      <c r="K1765" s="204"/>
      <c r="L1765" s="204"/>
      <c r="M1765" s="204"/>
      <c r="N1765" s="204"/>
      <c r="O1765" s="204"/>
      <c r="P1765" s="204"/>
      <c r="Q1765" s="204"/>
      <c r="R1765" s="204"/>
    </row>
    <row r="1766" spans="1:18">
      <c r="A1766" s="82" t="s">
        <v>304</v>
      </c>
      <c r="B1766" s="149">
        <v>793</v>
      </c>
      <c r="C1766" s="84" t="s">
        <v>23</v>
      </c>
      <c r="D1766" s="84" t="s">
        <v>19</v>
      </c>
      <c r="E1766" s="84" t="s">
        <v>237</v>
      </c>
      <c r="F1766" s="84"/>
      <c r="G1766" s="87">
        <f t="shared" si="455"/>
        <v>5130000</v>
      </c>
      <c r="H1766" s="87">
        <f t="shared" si="456"/>
        <v>5130000</v>
      </c>
      <c r="I1766" s="87">
        <f t="shared" si="456"/>
        <v>5130000</v>
      </c>
      <c r="J1766" s="177"/>
    </row>
    <row r="1767" spans="1:18" ht="25.5">
      <c r="A1767" s="82" t="s">
        <v>305</v>
      </c>
      <c r="B1767" s="149">
        <v>793</v>
      </c>
      <c r="C1767" s="84" t="s">
        <v>23</v>
      </c>
      <c r="D1767" s="84" t="s">
        <v>19</v>
      </c>
      <c r="E1767" s="84" t="s">
        <v>237</v>
      </c>
      <c r="F1767" s="84" t="s">
        <v>306</v>
      </c>
      <c r="G1767" s="87">
        <f t="shared" si="455"/>
        <v>5130000</v>
      </c>
      <c r="H1767" s="87">
        <f t="shared" si="456"/>
        <v>5130000</v>
      </c>
      <c r="I1767" s="87">
        <f t="shared" si="456"/>
        <v>5130000</v>
      </c>
      <c r="J1767" s="177"/>
    </row>
    <row r="1768" spans="1:18">
      <c r="A1768" s="82" t="s">
        <v>307</v>
      </c>
      <c r="B1768" s="149">
        <v>793</v>
      </c>
      <c r="C1768" s="84" t="s">
        <v>23</v>
      </c>
      <c r="D1768" s="84" t="s">
        <v>19</v>
      </c>
      <c r="E1768" s="84" t="s">
        <v>237</v>
      </c>
      <c r="F1768" s="84" t="s">
        <v>308</v>
      </c>
      <c r="G1768" s="87">
        <v>5130000</v>
      </c>
      <c r="H1768" s="87">
        <v>5130000</v>
      </c>
      <c r="I1768" s="87">
        <v>5130000</v>
      </c>
      <c r="J1768" s="177"/>
    </row>
    <row r="1769" spans="1:18" s="124" customFormat="1">
      <c r="A1769" s="287" t="s">
        <v>74</v>
      </c>
      <c r="B1769" s="275"/>
      <c r="C1769" s="162"/>
      <c r="D1769" s="162"/>
      <c r="E1769" s="162"/>
      <c r="F1769" s="162"/>
      <c r="G1769" s="96">
        <f>G1116++G1263+G1344+G1664+G1432+G1762+G1452+G1637+G1735+G1613+G1658</f>
        <v>302543045.35000002</v>
      </c>
      <c r="H1769" s="96">
        <f>H1116++H1263+H1344+H1664+H1432+H1762+H1452+H1637+H1735+H1613</f>
        <v>140154816.69</v>
      </c>
      <c r="I1769" s="96">
        <f>I1116++I1263+I1344+I1664+I1432+I1762+I1452+I1637+I1735+I1613</f>
        <v>363688966.15999997</v>
      </c>
      <c r="J1769" s="192"/>
      <c r="K1769" s="208"/>
      <c r="L1769" s="208"/>
      <c r="M1769" s="207"/>
      <c r="N1769" s="207"/>
      <c r="O1769" s="207"/>
      <c r="P1769" s="207"/>
      <c r="Q1769" s="208"/>
      <c r="R1769" s="207"/>
    </row>
    <row r="1770" spans="1:18" s="124" customFormat="1" hidden="1">
      <c r="A1770" s="287"/>
      <c r="B1770" s="275"/>
      <c r="C1770" s="162"/>
      <c r="D1770" s="162"/>
      <c r="E1770" s="162"/>
      <c r="F1770" s="162"/>
      <c r="G1770" s="96"/>
      <c r="H1770" s="96"/>
      <c r="I1770" s="96"/>
      <c r="J1770" s="192"/>
      <c r="K1770" s="208"/>
      <c r="L1770" s="208"/>
      <c r="M1770" s="207"/>
      <c r="N1770" s="207"/>
      <c r="O1770" s="207"/>
      <c r="P1770" s="207"/>
      <c r="Q1770" s="208"/>
      <c r="R1770" s="207"/>
    </row>
    <row r="1771" spans="1:18" s="124" customFormat="1" hidden="1">
      <c r="A1771" s="287"/>
      <c r="B1771" s="275"/>
      <c r="C1771" s="162"/>
      <c r="D1771" s="162"/>
      <c r="E1771" s="162"/>
      <c r="F1771" s="162"/>
      <c r="G1771" s="96"/>
      <c r="H1771" s="96"/>
      <c r="I1771" s="96"/>
      <c r="J1771" s="192"/>
      <c r="K1771" s="208"/>
      <c r="L1771" s="208"/>
      <c r="M1771" s="207"/>
      <c r="N1771" s="207"/>
      <c r="O1771" s="207"/>
      <c r="P1771" s="208"/>
      <c r="Q1771" s="208"/>
      <c r="R1771" s="207"/>
    </row>
    <row r="1772" spans="1:18" s="124" customFormat="1" hidden="1">
      <c r="A1772" s="287"/>
      <c r="B1772" s="275"/>
      <c r="C1772" s="162"/>
      <c r="D1772" s="162"/>
      <c r="E1772" s="162"/>
      <c r="F1772" s="162"/>
      <c r="G1772" s="96"/>
      <c r="H1772" s="96"/>
      <c r="I1772" s="96"/>
      <c r="J1772" s="192"/>
      <c r="K1772" s="208"/>
      <c r="L1772" s="208"/>
      <c r="M1772" s="207"/>
      <c r="N1772" s="207"/>
      <c r="O1772" s="207"/>
      <c r="P1772" s="208"/>
      <c r="Q1772" s="208"/>
      <c r="R1772" s="207"/>
    </row>
    <row r="1773" spans="1:18" s="124" customFormat="1" hidden="1">
      <c r="A1773" s="287"/>
      <c r="B1773" s="275"/>
      <c r="C1773" s="162"/>
      <c r="D1773" s="162"/>
      <c r="E1773" s="162"/>
      <c r="F1773" s="162"/>
      <c r="G1773" s="96"/>
      <c r="H1773" s="96"/>
      <c r="I1773" s="96"/>
      <c r="J1773" s="192"/>
      <c r="K1773" s="208"/>
      <c r="L1773" s="208"/>
      <c r="M1773" s="207"/>
      <c r="N1773" s="207"/>
      <c r="O1773" s="207"/>
      <c r="P1773" s="207"/>
      <c r="Q1773" s="208"/>
      <c r="R1773" s="207"/>
    </row>
    <row r="1774" spans="1:18" s="124" customFormat="1" hidden="1">
      <c r="A1774" s="287"/>
      <c r="B1774" s="275"/>
      <c r="C1774" s="162"/>
      <c r="D1774" s="162"/>
      <c r="E1774" s="162"/>
      <c r="F1774" s="162"/>
      <c r="G1774" s="96"/>
      <c r="H1774" s="96"/>
      <c r="I1774" s="96"/>
      <c r="J1774" s="192"/>
      <c r="K1774" s="208"/>
      <c r="L1774" s="208"/>
      <c r="M1774" s="207"/>
      <c r="N1774" s="207"/>
      <c r="O1774" s="207"/>
      <c r="P1774" s="207"/>
      <c r="Q1774" s="208"/>
      <c r="R1774" s="207"/>
    </row>
    <row r="1775" spans="1:18" s="124" customFormat="1" hidden="1">
      <c r="A1775" s="287"/>
      <c r="B1775" s="275"/>
      <c r="C1775" s="162"/>
      <c r="D1775" s="162"/>
      <c r="E1775" s="162"/>
      <c r="F1775" s="162"/>
      <c r="G1775" s="96"/>
      <c r="H1775" s="96"/>
      <c r="I1775" s="96"/>
      <c r="J1775" s="192"/>
      <c r="K1775" s="208"/>
      <c r="L1775" s="208"/>
      <c r="M1775" s="207"/>
      <c r="N1775" s="207"/>
      <c r="O1775" s="207"/>
      <c r="P1775" s="207"/>
      <c r="Q1775" s="208"/>
      <c r="R1775" s="207"/>
    </row>
    <row r="1776" spans="1:18" s="124" customFormat="1" hidden="1">
      <c r="A1776" s="287"/>
      <c r="B1776" s="275"/>
      <c r="C1776" s="162"/>
      <c r="D1776" s="162"/>
      <c r="E1776" s="162"/>
      <c r="F1776" s="162"/>
      <c r="G1776" s="96"/>
      <c r="H1776" s="96"/>
      <c r="I1776" s="96"/>
      <c r="J1776" s="192"/>
      <c r="K1776" s="208"/>
      <c r="L1776" s="208"/>
      <c r="M1776" s="207"/>
      <c r="N1776" s="207"/>
      <c r="O1776" s="207"/>
      <c r="P1776" s="207"/>
      <c r="Q1776" s="208"/>
      <c r="R1776" s="207"/>
    </row>
    <row r="1777" spans="1:18" s="124" customFormat="1" hidden="1">
      <c r="A1777" s="287"/>
      <c r="B1777" s="275"/>
      <c r="C1777" s="162"/>
      <c r="D1777" s="162"/>
      <c r="E1777" s="162"/>
      <c r="F1777" s="162"/>
      <c r="G1777" s="294"/>
      <c r="H1777" s="96"/>
      <c r="I1777" s="96"/>
      <c r="J1777" s="192"/>
      <c r="K1777" s="208"/>
      <c r="L1777" s="208"/>
      <c r="M1777" s="207"/>
      <c r="N1777" s="207"/>
      <c r="O1777" s="207"/>
      <c r="P1777" s="207"/>
      <c r="Q1777" s="208"/>
      <c r="R1777" s="207"/>
    </row>
    <row r="1778" spans="1:18" s="124" customFormat="1" hidden="1">
      <c r="A1778" s="287"/>
      <c r="B1778" s="275"/>
      <c r="C1778" s="162"/>
      <c r="D1778" s="162"/>
      <c r="E1778" s="162"/>
      <c r="F1778" s="162"/>
      <c r="G1778" s="96"/>
      <c r="H1778" s="96"/>
      <c r="I1778" s="96"/>
      <c r="J1778" s="192"/>
      <c r="K1778" s="208"/>
      <c r="L1778" s="208"/>
      <c r="M1778" s="207"/>
      <c r="N1778" s="207"/>
      <c r="O1778" s="207"/>
      <c r="P1778" s="207"/>
      <c r="Q1778" s="208"/>
      <c r="R1778" s="207"/>
    </row>
    <row r="1779" spans="1:18" s="90" customFormat="1" ht="25.5">
      <c r="A1779" s="279" t="s">
        <v>991</v>
      </c>
      <c r="B1779" s="267">
        <v>794</v>
      </c>
      <c r="C1779" s="295"/>
      <c r="D1779" s="295"/>
      <c r="E1779" s="295"/>
      <c r="F1779" s="295"/>
      <c r="G1779" s="282"/>
      <c r="H1779" s="282"/>
      <c r="I1779" s="282"/>
      <c r="J1779" s="197"/>
      <c r="K1779" s="209"/>
      <c r="L1779" s="186"/>
      <c r="M1779" s="186"/>
      <c r="N1779" s="186"/>
      <c r="O1779" s="186"/>
      <c r="P1779" s="186"/>
      <c r="Q1779" s="209"/>
      <c r="R1779" s="186"/>
    </row>
    <row r="1780" spans="1:18">
      <c r="A1780" s="296" t="s">
        <v>18</v>
      </c>
      <c r="B1780" s="275">
        <v>794</v>
      </c>
      <c r="C1780" s="272" t="s">
        <v>19</v>
      </c>
      <c r="D1780" s="272"/>
      <c r="E1780" s="272"/>
      <c r="F1780" s="272"/>
      <c r="G1780" s="269">
        <f>G1781+G2210</f>
        <v>3254488.71</v>
      </c>
      <c r="H1780" s="269">
        <f>H1781+H2210</f>
        <v>3280281.71</v>
      </c>
      <c r="I1780" s="269">
        <f>I1781+I2210</f>
        <v>3306331.71</v>
      </c>
      <c r="J1780" s="191"/>
    </row>
    <row r="1781" spans="1:18" ht="38.25">
      <c r="A1781" s="82" t="s">
        <v>362</v>
      </c>
      <c r="B1781" s="149">
        <v>794</v>
      </c>
      <c r="C1781" s="84" t="s">
        <v>19</v>
      </c>
      <c r="D1781" s="84" t="s">
        <v>70</v>
      </c>
      <c r="E1781" s="84"/>
      <c r="F1781" s="84"/>
      <c r="G1781" s="87">
        <f>G1782</f>
        <v>3254488.71</v>
      </c>
      <c r="H1781" s="87">
        <f>H1782</f>
        <v>3280281.71</v>
      </c>
      <c r="I1781" s="87">
        <f>I1782</f>
        <v>3306331.71</v>
      </c>
      <c r="J1781" s="177"/>
      <c r="K1781" s="209"/>
      <c r="L1781" s="209"/>
    </row>
    <row r="1782" spans="1:18" s="46" customFormat="1">
      <c r="A1782" s="82" t="s">
        <v>363</v>
      </c>
      <c r="B1782" s="149">
        <v>794</v>
      </c>
      <c r="C1782" s="84" t="s">
        <v>19</v>
      </c>
      <c r="D1782" s="84" t="s">
        <v>70</v>
      </c>
      <c r="E1782" s="84" t="s">
        <v>264</v>
      </c>
      <c r="F1782" s="84"/>
      <c r="G1782" s="87">
        <f>G1783+G1787+G1791</f>
        <v>3254488.71</v>
      </c>
      <c r="H1782" s="87">
        <f>H1783+H1787+H1791</f>
        <v>3280281.71</v>
      </c>
      <c r="I1782" s="87">
        <f>I1783+I1787+I1791</f>
        <v>3306331.71</v>
      </c>
      <c r="J1782" s="177"/>
      <c r="K1782" s="222"/>
      <c r="L1782" s="222"/>
      <c r="M1782" s="222"/>
      <c r="N1782" s="222"/>
      <c r="O1782" s="222"/>
      <c r="P1782" s="222"/>
      <c r="Q1782" s="222"/>
      <c r="R1782" s="222"/>
    </row>
    <row r="1783" spans="1:18" s="33" customFormat="1" ht="25.5">
      <c r="A1783" s="82" t="s">
        <v>364</v>
      </c>
      <c r="B1783" s="149">
        <v>794</v>
      </c>
      <c r="C1783" s="84" t="s">
        <v>19</v>
      </c>
      <c r="D1783" s="84" t="s">
        <v>70</v>
      </c>
      <c r="E1783" s="84" t="s">
        <v>265</v>
      </c>
      <c r="F1783" s="168"/>
      <c r="G1783" s="87">
        <f t="shared" ref="G1783:I1785" si="457">G1784</f>
        <v>1176097</v>
      </c>
      <c r="H1783" s="87">
        <f t="shared" si="457"/>
        <v>1187858</v>
      </c>
      <c r="I1783" s="87">
        <f t="shared" si="457"/>
        <v>1199736</v>
      </c>
      <c r="J1783" s="177"/>
      <c r="K1783" s="211"/>
      <c r="L1783" s="211"/>
      <c r="M1783" s="211"/>
      <c r="N1783" s="211"/>
      <c r="O1783" s="211"/>
      <c r="P1783" s="211"/>
      <c r="Q1783" s="211"/>
      <c r="R1783" s="211"/>
    </row>
    <row r="1784" spans="1:18" s="33" customFormat="1" ht="25.5">
      <c r="A1784" s="82" t="s">
        <v>76</v>
      </c>
      <c r="B1784" s="149">
        <v>794</v>
      </c>
      <c r="C1784" s="84" t="s">
        <v>19</v>
      </c>
      <c r="D1784" s="84" t="s">
        <v>70</v>
      </c>
      <c r="E1784" s="84" t="s">
        <v>266</v>
      </c>
      <c r="F1784" s="84"/>
      <c r="G1784" s="87">
        <f t="shared" si="457"/>
        <v>1176097</v>
      </c>
      <c r="H1784" s="87">
        <f t="shared" si="457"/>
        <v>1187858</v>
      </c>
      <c r="I1784" s="87">
        <f t="shared" si="457"/>
        <v>1199736</v>
      </c>
      <c r="J1784" s="177"/>
      <c r="K1784" s="211"/>
      <c r="L1784" s="211"/>
      <c r="M1784" s="211"/>
      <c r="N1784" s="211"/>
      <c r="O1784" s="211"/>
      <c r="P1784" s="211"/>
      <c r="Q1784" s="211"/>
      <c r="R1784" s="211"/>
    </row>
    <row r="1785" spans="1:18" s="33" customFormat="1" ht="63.75">
      <c r="A1785" s="146" t="s">
        <v>55</v>
      </c>
      <c r="B1785" s="149">
        <v>794</v>
      </c>
      <c r="C1785" s="84" t="s">
        <v>19</v>
      </c>
      <c r="D1785" s="84" t="s">
        <v>70</v>
      </c>
      <c r="E1785" s="84" t="s">
        <v>266</v>
      </c>
      <c r="F1785" s="84" t="s">
        <v>58</v>
      </c>
      <c r="G1785" s="87">
        <f t="shared" si="457"/>
        <v>1176097</v>
      </c>
      <c r="H1785" s="87">
        <f t="shared" si="457"/>
        <v>1187858</v>
      </c>
      <c r="I1785" s="87">
        <f t="shared" si="457"/>
        <v>1199736</v>
      </c>
      <c r="J1785" s="177"/>
      <c r="K1785" s="211"/>
      <c r="L1785" s="211"/>
      <c r="M1785" s="211"/>
      <c r="N1785" s="211"/>
      <c r="O1785" s="211"/>
      <c r="P1785" s="211"/>
      <c r="Q1785" s="211"/>
      <c r="R1785" s="211"/>
    </row>
    <row r="1786" spans="1:18" ht="25.5">
      <c r="A1786" s="146" t="s">
        <v>56</v>
      </c>
      <c r="B1786" s="149">
        <v>794</v>
      </c>
      <c r="C1786" s="84" t="s">
        <v>19</v>
      </c>
      <c r="D1786" s="84" t="s">
        <v>70</v>
      </c>
      <c r="E1786" s="84" t="s">
        <v>266</v>
      </c>
      <c r="F1786" s="84" t="s">
        <v>59</v>
      </c>
      <c r="G1786" s="87">
        <v>1176097</v>
      </c>
      <c r="H1786" s="87">
        <f>912333+275525</f>
        <v>1187858</v>
      </c>
      <c r="I1786" s="87">
        <f>921456+278280</f>
        <v>1199736</v>
      </c>
      <c r="J1786" s="177"/>
    </row>
    <row r="1787" spans="1:18" s="33" customFormat="1" ht="25.5">
      <c r="A1787" s="82" t="s">
        <v>365</v>
      </c>
      <c r="B1787" s="149">
        <v>794</v>
      </c>
      <c r="C1787" s="84" t="s">
        <v>19</v>
      </c>
      <c r="D1787" s="84" t="s">
        <v>70</v>
      </c>
      <c r="E1787" s="84" t="s">
        <v>267</v>
      </c>
      <c r="F1787" s="168"/>
      <c r="G1787" s="87">
        <f t="shared" ref="G1787:I1789" si="458">G1788</f>
        <v>505512</v>
      </c>
      <c r="H1787" s="87">
        <f t="shared" si="458"/>
        <v>505512</v>
      </c>
      <c r="I1787" s="87">
        <f t="shared" si="458"/>
        <v>505512</v>
      </c>
      <c r="J1787" s="177"/>
      <c r="K1787" s="211"/>
      <c r="L1787" s="211"/>
      <c r="M1787" s="211"/>
      <c r="N1787" s="211"/>
      <c r="O1787" s="211"/>
      <c r="P1787" s="211"/>
      <c r="Q1787" s="211"/>
      <c r="R1787" s="211"/>
    </row>
    <row r="1788" spans="1:18" s="33" customFormat="1" ht="25.5">
      <c r="A1788" s="82" t="s">
        <v>76</v>
      </c>
      <c r="B1788" s="149">
        <v>794</v>
      </c>
      <c r="C1788" s="84" t="s">
        <v>19</v>
      </c>
      <c r="D1788" s="84" t="s">
        <v>70</v>
      </c>
      <c r="E1788" s="84" t="s">
        <v>268</v>
      </c>
      <c r="F1788" s="84"/>
      <c r="G1788" s="87">
        <f t="shared" si="458"/>
        <v>505512</v>
      </c>
      <c r="H1788" s="87">
        <f t="shared" si="458"/>
        <v>505512</v>
      </c>
      <c r="I1788" s="87">
        <f t="shared" si="458"/>
        <v>505512</v>
      </c>
      <c r="J1788" s="177"/>
      <c r="K1788" s="211"/>
      <c r="L1788" s="211"/>
      <c r="M1788" s="211"/>
      <c r="N1788" s="211"/>
      <c r="O1788" s="211"/>
      <c r="P1788" s="211"/>
      <c r="Q1788" s="211"/>
      <c r="R1788" s="211"/>
    </row>
    <row r="1789" spans="1:18" s="33" customFormat="1" ht="63.75">
      <c r="A1789" s="146" t="s">
        <v>55</v>
      </c>
      <c r="B1789" s="149">
        <v>794</v>
      </c>
      <c r="C1789" s="84" t="s">
        <v>19</v>
      </c>
      <c r="D1789" s="84" t="s">
        <v>70</v>
      </c>
      <c r="E1789" s="84" t="s">
        <v>268</v>
      </c>
      <c r="F1789" s="84" t="s">
        <v>58</v>
      </c>
      <c r="G1789" s="87">
        <f t="shared" si="458"/>
        <v>505512</v>
      </c>
      <c r="H1789" s="87">
        <f t="shared" si="458"/>
        <v>505512</v>
      </c>
      <c r="I1789" s="87">
        <f t="shared" si="458"/>
        <v>505512</v>
      </c>
      <c r="J1789" s="177"/>
      <c r="K1789" s="221"/>
      <c r="L1789" s="211"/>
      <c r="M1789" s="211"/>
      <c r="N1789" s="211"/>
      <c r="O1789" s="211"/>
      <c r="P1789" s="211"/>
      <c r="Q1789" s="211"/>
      <c r="R1789" s="211"/>
    </row>
    <row r="1790" spans="1:18" s="33" customFormat="1" ht="25.5">
      <c r="A1790" s="146" t="s">
        <v>56</v>
      </c>
      <c r="B1790" s="149">
        <v>794</v>
      </c>
      <c r="C1790" s="84" t="s">
        <v>19</v>
      </c>
      <c r="D1790" s="84" t="s">
        <v>70</v>
      </c>
      <c r="E1790" s="84" t="s">
        <v>268</v>
      </c>
      <c r="F1790" s="84" t="s">
        <v>59</v>
      </c>
      <c r="G1790" s="87">
        <f>505512</f>
        <v>505512</v>
      </c>
      <c r="H1790" s="87">
        <f>505512</f>
        <v>505512</v>
      </c>
      <c r="I1790" s="87">
        <f>505512</f>
        <v>505512</v>
      </c>
      <c r="J1790" s="177"/>
      <c r="K1790" s="211"/>
      <c r="L1790" s="211"/>
      <c r="M1790" s="221"/>
      <c r="N1790" s="211"/>
      <c r="O1790" s="211"/>
      <c r="P1790" s="211"/>
      <c r="Q1790" s="211"/>
      <c r="R1790" s="211"/>
    </row>
    <row r="1791" spans="1:18" ht="25.5">
      <c r="A1791" s="146" t="s">
        <v>366</v>
      </c>
      <c r="B1791" s="149">
        <v>794</v>
      </c>
      <c r="C1791" s="84" t="s">
        <v>19</v>
      </c>
      <c r="D1791" s="84" t="s">
        <v>70</v>
      </c>
      <c r="E1791" s="84" t="s">
        <v>269</v>
      </c>
      <c r="F1791" s="84"/>
      <c r="G1791" s="87">
        <f>G1792</f>
        <v>1572879.71</v>
      </c>
      <c r="H1791" s="87">
        <f>H1792</f>
        <v>1586911.71</v>
      </c>
      <c r="I1791" s="87">
        <f>I1792</f>
        <v>1601083.71</v>
      </c>
      <c r="J1791" s="177"/>
      <c r="Q1791" s="211"/>
    </row>
    <row r="1792" spans="1:18" s="33" customFormat="1" ht="25.5">
      <c r="A1792" s="82" t="s">
        <v>76</v>
      </c>
      <c r="B1792" s="149">
        <v>794</v>
      </c>
      <c r="C1792" s="84" t="s">
        <v>19</v>
      </c>
      <c r="D1792" s="84" t="s">
        <v>70</v>
      </c>
      <c r="E1792" s="84" t="s">
        <v>270</v>
      </c>
      <c r="F1792" s="168"/>
      <c r="G1792" s="87">
        <f>G1793+G1795</f>
        <v>1572879.71</v>
      </c>
      <c r="H1792" s="87">
        <f t="shared" ref="H1792:I1792" si="459">H1793+H1795</f>
        <v>1586911.71</v>
      </c>
      <c r="I1792" s="87">
        <f t="shared" si="459"/>
        <v>1601083.71</v>
      </c>
      <c r="J1792" s="177"/>
      <c r="K1792" s="211"/>
      <c r="L1792" s="211"/>
      <c r="M1792" s="211"/>
      <c r="N1792" s="211"/>
      <c r="O1792" s="211"/>
      <c r="P1792" s="211"/>
      <c r="Q1792" s="211"/>
      <c r="R1792" s="211"/>
    </row>
    <row r="1793" spans="1:18" ht="63.75">
      <c r="A1793" s="146" t="s">
        <v>55</v>
      </c>
      <c r="B1793" s="149">
        <v>794</v>
      </c>
      <c r="C1793" s="84" t="s">
        <v>19</v>
      </c>
      <c r="D1793" s="84" t="s">
        <v>70</v>
      </c>
      <c r="E1793" s="84" t="s">
        <v>270</v>
      </c>
      <c r="F1793" s="84" t="s">
        <v>58</v>
      </c>
      <c r="G1793" s="87">
        <f>G1794</f>
        <v>1218379.71</v>
      </c>
      <c r="H1793" s="87">
        <f>H1794</f>
        <v>1232411.71</v>
      </c>
      <c r="I1793" s="87">
        <f>I1794</f>
        <v>1246583.71</v>
      </c>
      <c r="J1793" s="177"/>
      <c r="Q1793" s="211"/>
    </row>
    <row r="1794" spans="1:18" ht="25.5">
      <c r="A1794" s="146" t="s">
        <v>56</v>
      </c>
      <c r="B1794" s="149">
        <v>794</v>
      </c>
      <c r="C1794" s="84" t="s">
        <v>19</v>
      </c>
      <c r="D1794" s="84" t="s">
        <v>70</v>
      </c>
      <c r="E1794" s="84" t="s">
        <v>270</v>
      </c>
      <c r="F1794" s="84" t="s">
        <v>59</v>
      </c>
      <c r="G1794" s="87">
        <f>1569173-350793.29</f>
        <v>1218379.71</v>
      </c>
      <c r="H1794" s="87">
        <f>166000+1088483+328722-350793.29</f>
        <v>1232411.71</v>
      </c>
      <c r="I1794" s="87">
        <f>166000+1099368+332009-350793.29</f>
        <v>1246583.71</v>
      </c>
      <c r="J1794" s="177"/>
      <c r="Q1794" s="211"/>
    </row>
    <row r="1795" spans="1:18" ht="25.5">
      <c r="A1795" s="82" t="s">
        <v>36</v>
      </c>
      <c r="B1795" s="149">
        <v>794</v>
      </c>
      <c r="C1795" s="84" t="s">
        <v>19</v>
      </c>
      <c r="D1795" s="84" t="s">
        <v>70</v>
      </c>
      <c r="E1795" s="84" t="s">
        <v>270</v>
      </c>
      <c r="F1795" s="84" t="s">
        <v>37</v>
      </c>
      <c r="G1795" s="87">
        <f>G1796</f>
        <v>354500</v>
      </c>
      <c r="H1795" s="87">
        <f>H1796</f>
        <v>354500</v>
      </c>
      <c r="I1795" s="87">
        <f>I1796</f>
        <v>354500</v>
      </c>
      <c r="J1795" s="177"/>
      <c r="Q1795" s="211"/>
    </row>
    <row r="1796" spans="1:18" ht="25.5">
      <c r="A1796" s="82" t="s">
        <v>38</v>
      </c>
      <c r="B1796" s="149">
        <v>794</v>
      </c>
      <c r="C1796" s="84" t="s">
        <v>19</v>
      </c>
      <c r="D1796" s="84" t="s">
        <v>70</v>
      </c>
      <c r="E1796" s="84" t="s">
        <v>270</v>
      </c>
      <c r="F1796" s="84" t="s">
        <v>39</v>
      </c>
      <c r="G1796" s="87">
        <v>354500</v>
      </c>
      <c r="H1796" s="87">
        <v>354500</v>
      </c>
      <c r="I1796" s="87">
        <v>354500</v>
      </c>
      <c r="J1796" s="177"/>
      <c r="Q1796" s="211"/>
    </row>
    <row r="1797" spans="1:18" s="124" customFormat="1">
      <c r="A1797" s="287" t="s">
        <v>74</v>
      </c>
      <c r="B1797" s="275"/>
      <c r="C1797" s="162"/>
      <c r="D1797" s="162"/>
      <c r="E1797" s="162"/>
      <c r="F1797" s="162"/>
      <c r="G1797" s="96">
        <f>G1780</f>
        <v>3254488.71</v>
      </c>
      <c r="H1797" s="96">
        <f t="shared" ref="H1797:I1797" si="460">H1780</f>
        <v>3280281.71</v>
      </c>
      <c r="I1797" s="96">
        <f t="shared" si="460"/>
        <v>3306331.71</v>
      </c>
      <c r="J1797" s="192"/>
      <c r="K1797" s="207"/>
      <c r="L1797" s="207"/>
      <c r="M1797" s="207"/>
      <c r="N1797" s="207"/>
      <c r="O1797" s="207"/>
      <c r="P1797" s="207"/>
      <c r="Q1797" s="207"/>
      <c r="R1797" s="207"/>
    </row>
    <row r="1798" spans="1:18" s="124" customFormat="1" ht="38.25" hidden="1">
      <c r="A1798" s="279" t="s">
        <v>402</v>
      </c>
      <c r="B1798" s="275">
        <v>795</v>
      </c>
      <c r="C1798" s="162"/>
      <c r="D1798" s="162"/>
      <c r="E1798" s="162"/>
      <c r="F1798" s="162"/>
      <c r="G1798" s="96"/>
      <c r="H1798" s="96"/>
      <c r="I1798" s="96"/>
      <c r="J1798" s="192"/>
      <c r="K1798" s="207"/>
      <c r="L1798" s="207"/>
      <c r="M1798" s="207"/>
      <c r="N1798" s="207"/>
      <c r="O1798" s="207"/>
      <c r="P1798" s="207"/>
      <c r="Q1798" s="207"/>
      <c r="R1798" s="207"/>
    </row>
    <row r="1799" spans="1:18" hidden="1">
      <c r="A1799" s="277" t="s">
        <v>18</v>
      </c>
      <c r="B1799" s="275">
        <v>795</v>
      </c>
      <c r="C1799" s="272" t="s">
        <v>19</v>
      </c>
      <c r="D1799" s="272"/>
      <c r="E1799" s="272"/>
      <c r="F1799" s="272"/>
      <c r="G1799" s="269">
        <f>G1800</f>
        <v>0</v>
      </c>
      <c r="H1799" s="269">
        <f t="shared" ref="H1799:I1799" si="461">H1800</f>
        <v>0</v>
      </c>
      <c r="I1799" s="269">
        <f t="shared" si="461"/>
        <v>0</v>
      </c>
      <c r="J1799" s="191"/>
      <c r="K1799" s="207"/>
      <c r="L1799" s="207"/>
    </row>
    <row r="1800" spans="1:18" hidden="1">
      <c r="A1800" s="137" t="s">
        <v>22</v>
      </c>
      <c r="B1800" s="149">
        <v>795</v>
      </c>
      <c r="C1800" s="84" t="s">
        <v>19</v>
      </c>
      <c r="D1800" s="84" t="s">
        <v>23</v>
      </c>
      <c r="E1800" s="84"/>
      <c r="F1800" s="84"/>
      <c r="G1800" s="87">
        <f>G1801</f>
        <v>0</v>
      </c>
      <c r="H1800" s="87">
        <f t="shared" ref="H1800:I1800" si="462">H1801</f>
        <v>0</v>
      </c>
      <c r="I1800" s="87">
        <f t="shared" si="462"/>
        <v>0</v>
      </c>
      <c r="J1800" s="177"/>
      <c r="K1800" s="207"/>
      <c r="L1800" s="207"/>
    </row>
    <row r="1801" spans="1:18" ht="25.5" hidden="1" customHeight="1">
      <c r="A1801" s="82" t="s">
        <v>164</v>
      </c>
      <c r="B1801" s="83">
        <v>795</v>
      </c>
      <c r="C1801" s="84" t="s">
        <v>19</v>
      </c>
      <c r="D1801" s="84" t="s">
        <v>23</v>
      </c>
      <c r="E1801" s="84" t="s">
        <v>210</v>
      </c>
      <c r="F1801" s="84"/>
      <c r="G1801" s="87">
        <f t="shared" ref="G1801:I1802" si="463">G1802</f>
        <v>0</v>
      </c>
      <c r="H1801" s="87">
        <f t="shared" si="463"/>
        <v>0</v>
      </c>
      <c r="I1801" s="87">
        <f t="shared" si="463"/>
        <v>0</v>
      </c>
      <c r="J1801" s="177"/>
      <c r="K1801" s="207"/>
      <c r="L1801" s="207"/>
    </row>
    <row r="1802" spans="1:18" ht="27" hidden="1" customHeight="1">
      <c r="A1802" s="82" t="s">
        <v>406</v>
      </c>
      <c r="B1802" s="83">
        <v>795</v>
      </c>
      <c r="C1802" s="84" t="s">
        <v>19</v>
      </c>
      <c r="D1802" s="84" t="s">
        <v>23</v>
      </c>
      <c r="E1802" s="84" t="s">
        <v>405</v>
      </c>
      <c r="F1802" s="84"/>
      <c r="G1802" s="87">
        <f t="shared" si="463"/>
        <v>0</v>
      </c>
      <c r="H1802" s="87">
        <f t="shared" si="463"/>
        <v>0</v>
      </c>
      <c r="I1802" s="87">
        <f t="shared" si="463"/>
        <v>0</v>
      </c>
      <c r="J1802" s="177"/>
      <c r="K1802" s="207"/>
      <c r="L1802" s="207"/>
    </row>
    <row r="1803" spans="1:18" ht="19.5" hidden="1" customHeight="1">
      <c r="A1803" s="82" t="s">
        <v>63</v>
      </c>
      <c r="B1803" s="83">
        <v>795</v>
      </c>
      <c r="C1803" s="84" t="s">
        <v>19</v>
      </c>
      <c r="D1803" s="84" t="s">
        <v>23</v>
      </c>
      <c r="E1803" s="84" t="s">
        <v>405</v>
      </c>
      <c r="F1803" s="84" t="s">
        <v>64</v>
      </c>
      <c r="G1803" s="87">
        <f>G1804</f>
        <v>0</v>
      </c>
      <c r="H1803" s="87">
        <v>0</v>
      </c>
      <c r="I1803" s="87">
        <v>0</v>
      </c>
      <c r="J1803" s="177"/>
      <c r="K1803" s="207"/>
      <c r="L1803" s="207"/>
    </row>
    <row r="1804" spans="1:18" ht="18.75" hidden="1" customHeight="1">
      <c r="A1804" s="82" t="s">
        <v>329</v>
      </c>
      <c r="B1804" s="83">
        <v>795</v>
      </c>
      <c r="C1804" s="84" t="s">
        <v>19</v>
      </c>
      <c r="D1804" s="84" t="s">
        <v>23</v>
      </c>
      <c r="E1804" s="84" t="s">
        <v>405</v>
      </c>
      <c r="F1804" s="84" t="s">
        <v>328</v>
      </c>
      <c r="G1804" s="87"/>
      <c r="H1804" s="87">
        <v>0</v>
      </c>
      <c r="I1804" s="87">
        <v>0</v>
      </c>
      <c r="J1804" s="177"/>
      <c r="K1804" s="207"/>
      <c r="L1804" s="207"/>
    </row>
    <row r="1805" spans="1:18" s="22" customFormat="1" hidden="1">
      <c r="A1805" s="270" t="s">
        <v>86</v>
      </c>
      <c r="B1805" s="275">
        <v>795</v>
      </c>
      <c r="C1805" s="162" t="s">
        <v>54</v>
      </c>
      <c r="D1805" s="162"/>
      <c r="E1805" s="162"/>
      <c r="F1805" s="162"/>
      <c r="G1805" s="96">
        <f>G1891+G1806</f>
        <v>0</v>
      </c>
      <c r="H1805" s="96">
        <f>H1891+H1806</f>
        <v>0</v>
      </c>
      <c r="I1805" s="96">
        <f>I1891+I1806</f>
        <v>0</v>
      </c>
      <c r="J1805" s="192"/>
      <c r="K1805" s="207"/>
      <c r="L1805" s="207"/>
      <c r="M1805" s="207"/>
      <c r="N1805" s="207"/>
      <c r="O1805" s="207"/>
      <c r="P1805" s="207"/>
      <c r="Q1805" s="207"/>
      <c r="R1805" s="207"/>
    </row>
    <row r="1806" spans="1:18" s="3" customFormat="1" hidden="1">
      <c r="A1806" s="297" t="s">
        <v>172</v>
      </c>
      <c r="B1806" s="275">
        <v>795</v>
      </c>
      <c r="C1806" s="156" t="s">
        <v>54</v>
      </c>
      <c r="D1806" s="156" t="s">
        <v>123</v>
      </c>
      <c r="E1806" s="156"/>
      <c r="F1806" s="156"/>
      <c r="G1806" s="157">
        <f>G1807+G1875+G1882+G1885</f>
        <v>0</v>
      </c>
      <c r="H1806" s="157">
        <f>H1807+H1875+H1879</f>
        <v>0</v>
      </c>
      <c r="I1806" s="157">
        <f>I1807+I1875</f>
        <v>0</v>
      </c>
      <c r="J1806" s="196"/>
      <c r="K1806" s="207"/>
      <c r="L1806" s="207"/>
      <c r="M1806" s="199"/>
      <c r="N1806" s="199"/>
      <c r="O1806" s="199"/>
      <c r="P1806" s="199"/>
      <c r="Q1806" s="199"/>
      <c r="R1806" s="199"/>
    </row>
    <row r="1807" spans="1:18" s="18" customFormat="1" ht="27" hidden="1" customHeight="1">
      <c r="A1807" s="82" t="s">
        <v>490</v>
      </c>
      <c r="B1807" s="83">
        <v>795</v>
      </c>
      <c r="C1807" s="84" t="s">
        <v>54</v>
      </c>
      <c r="D1807" s="84" t="s">
        <v>123</v>
      </c>
      <c r="E1807" s="84" t="s">
        <v>235</v>
      </c>
      <c r="F1807" s="84"/>
      <c r="G1807" s="87">
        <f>G1808+G1836+G1863+G1857</f>
        <v>0</v>
      </c>
      <c r="H1807" s="87">
        <f t="shared" ref="H1807:I1807" si="464">H1808+H1836+H1863+H1857</f>
        <v>0</v>
      </c>
      <c r="I1807" s="87">
        <f t="shared" si="464"/>
        <v>0</v>
      </c>
      <c r="J1807" s="177"/>
      <c r="K1807" s="196"/>
      <c r="L1807" s="196"/>
      <c r="M1807" s="177"/>
      <c r="N1807" s="177"/>
      <c r="O1807" s="177"/>
      <c r="P1807" s="200"/>
      <c r="Q1807" s="215"/>
      <c r="R1807" s="200"/>
    </row>
    <row r="1808" spans="1:18" s="18" customFormat="1" ht="75" hidden="1" customHeight="1">
      <c r="A1808" s="133" t="s">
        <v>390</v>
      </c>
      <c r="B1808" s="83">
        <v>795</v>
      </c>
      <c r="C1808" s="84" t="s">
        <v>54</v>
      </c>
      <c r="D1808" s="84" t="s">
        <v>123</v>
      </c>
      <c r="E1808" s="84" t="s">
        <v>101</v>
      </c>
      <c r="F1808" s="84"/>
      <c r="G1808" s="87">
        <f>G1812+G1815+G1826+G1821+G1818+G1833+G1809</f>
        <v>0</v>
      </c>
      <c r="H1808" s="87">
        <f t="shared" ref="H1808" si="465">H1812+H1815+H1826+H1821+H1818+H1833+H1809</f>
        <v>0</v>
      </c>
      <c r="I1808" s="87">
        <f>I1812+I1815+I1826+I1821+I1818+I1833+I1809</f>
        <v>0</v>
      </c>
      <c r="J1808" s="177"/>
      <c r="K1808" s="202"/>
      <c r="L1808" s="202"/>
      <c r="M1808" s="200"/>
      <c r="N1808" s="200"/>
      <c r="O1808" s="200"/>
      <c r="P1808" s="200"/>
      <c r="Q1808" s="215"/>
      <c r="R1808" s="200"/>
    </row>
    <row r="1809" spans="1:18" s="18" customFormat="1" ht="76.5" hidden="1" customHeight="1">
      <c r="A1809" s="133" t="s">
        <v>669</v>
      </c>
      <c r="B1809" s="83">
        <v>795</v>
      </c>
      <c r="C1809" s="84" t="s">
        <v>54</v>
      </c>
      <c r="D1809" s="84" t="s">
        <v>123</v>
      </c>
      <c r="E1809" s="84" t="s">
        <v>668</v>
      </c>
      <c r="F1809" s="84"/>
      <c r="G1809" s="87">
        <f t="shared" ref="G1809:I1810" si="466">G1810</f>
        <v>0</v>
      </c>
      <c r="H1809" s="87">
        <f t="shared" si="466"/>
        <v>0</v>
      </c>
      <c r="I1809" s="87">
        <f t="shared" si="466"/>
        <v>0</v>
      </c>
      <c r="J1809" s="177"/>
      <c r="K1809" s="202"/>
      <c r="L1809" s="202"/>
      <c r="M1809" s="200"/>
      <c r="N1809" s="200"/>
      <c r="O1809" s="200"/>
      <c r="P1809" s="200"/>
      <c r="Q1809" s="200"/>
      <c r="R1809" s="200"/>
    </row>
    <row r="1810" spans="1:18" s="18" customFormat="1" ht="15" hidden="1" customHeight="1">
      <c r="A1810" s="82" t="s">
        <v>324</v>
      </c>
      <c r="B1810" s="83">
        <v>795</v>
      </c>
      <c r="C1810" s="84" t="s">
        <v>54</v>
      </c>
      <c r="D1810" s="84" t="s">
        <v>123</v>
      </c>
      <c r="E1810" s="84" t="s">
        <v>668</v>
      </c>
      <c r="F1810" s="84" t="s">
        <v>37</v>
      </c>
      <c r="G1810" s="87">
        <f t="shared" si="466"/>
        <v>0</v>
      </c>
      <c r="H1810" s="87">
        <f t="shared" si="466"/>
        <v>0</v>
      </c>
      <c r="I1810" s="87">
        <f t="shared" si="466"/>
        <v>0</v>
      </c>
      <c r="J1810" s="177"/>
      <c r="K1810" s="202"/>
      <c r="L1810" s="202"/>
      <c r="M1810" s="200"/>
      <c r="N1810" s="200"/>
      <c r="O1810" s="200"/>
      <c r="P1810" s="200"/>
      <c r="Q1810" s="200"/>
      <c r="R1810" s="200"/>
    </row>
    <row r="1811" spans="1:18" s="18" customFormat="1" ht="32.25" hidden="1" customHeight="1">
      <c r="A1811" s="82" t="s">
        <v>38</v>
      </c>
      <c r="B1811" s="83">
        <v>795</v>
      </c>
      <c r="C1811" s="84" t="s">
        <v>54</v>
      </c>
      <c r="D1811" s="84" t="s">
        <v>123</v>
      </c>
      <c r="E1811" s="84" t="s">
        <v>668</v>
      </c>
      <c r="F1811" s="84" t="s">
        <v>39</v>
      </c>
      <c r="G1811" s="87"/>
      <c r="H1811" s="87"/>
      <c r="I1811" s="87"/>
      <c r="J1811" s="177"/>
      <c r="K1811" s="202"/>
      <c r="L1811" s="202"/>
      <c r="M1811" s="200"/>
      <c r="N1811" s="200"/>
      <c r="O1811" s="200"/>
      <c r="P1811" s="200"/>
      <c r="Q1811" s="200"/>
      <c r="R1811" s="200"/>
    </row>
    <row r="1812" spans="1:18" s="18" customFormat="1" ht="41.25" hidden="1" customHeight="1">
      <c r="A1812" s="133" t="s">
        <v>391</v>
      </c>
      <c r="B1812" s="83">
        <v>795</v>
      </c>
      <c r="C1812" s="84" t="s">
        <v>54</v>
      </c>
      <c r="D1812" s="84" t="s">
        <v>123</v>
      </c>
      <c r="E1812" s="84" t="s">
        <v>102</v>
      </c>
      <c r="F1812" s="84"/>
      <c r="G1812" s="87">
        <f t="shared" ref="G1812:I1813" si="467">G1813</f>
        <v>0</v>
      </c>
      <c r="H1812" s="87">
        <f t="shared" si="467"/>
        <v>0</v>
      </c>
      <c r="I1812" s="87">
        <f t="shared" si="467"/>
        <v>0</v>
      </c>
      <c r="J1812" s="177"/>
      <c r="K1812" s="202"/>
      <c r="L1812" s="202"/>
      <c r="M1812" s="200"/>
      <c r="N1812" s="200"/>
      <c r="O1812" s="200"/>
      <c r="P1812" s="200"/>
      <c r="Q1812" s="200"/>
      <c r="R1812" s="200"/>
    </row>
    <row r="1813" spans="1:18" s="18" customFormat="1" ht="15" hidden="1" customHeight="1">
      <c r="A1813" s="82" t="s">
        <v>324</v>
      </c>
      <c r="B1813" s="83">
        <v>795</v>
      </c>
      <c r="C1813" s="84" t="s">
        <v>54</v>
      </c>
      <c r="D1813" s="84" t="s">
        <v>123</v>
      </c>
      <c r="E1813" s="84" t="s">
        <v>102</v>
      </c>
      <c r="F1813" s="84" t="s">
        <v>37</v>
      </c>
      <c r="G1813" s="87">
        <f t="shared" si="467"/>
        <v>0</v>
      </c>
      <c r="H1813" s="87">
        <f t="shared" si="467"/>
        <v>0</v>
      </c>
      <c r="I1813" s="87">
        <f t="shared" si="467"/>
        <v>0</v>
      </c>
      <c r="J1813" s="177"/>
      <c r="K1813" s="202"/>
      <c r="L1813" s="202"/>
      <c r="M1813" s="200"/>
      <c r="N1813" s="200"/>
      <c r="O1813" s="200"/>
      <c r="P1813" s="200"/>
      <c r="Q1813" s="200"/>
      <c r="R1813" s="200"/>
    </row>
    <row r="1814" spans="1:18" s="18" customFormat="1" ht="32.25" hidden="1" customHeight="1">
      <c r="A1814" s="82" t="s">
        <v>38</v>
      </c>
      <c r="B1814" s="83">
        <v>795</v>
      </c>
      <c r="C1814" s="84" t="s">
        <v>54</v>
      </c>
      <c r="D1814" s="84" t="s">
        <v>123</v>
      </c>
      <c r="E1814" s="84" t="s">
        <v>102</v>
      </c>
      <c r="F1814" s="84" t="s">
        <v>39</v>
      </c>
      <c r="G1814" s="87"/>
      <c r="H1814" s="87"/>
      <c r="I1814" s="87"/>
      <c r="J1814" s="177"/>
      <c r="K1814" s="202"/>
      <c r="L1814" s="202"/>
      <c r="M1814" s="200"/>
      <c r="N1814" s="200"/>
      <c r="O1814" s="200"/>
      <c r="P1814" s="200"/>
      <c r="Q1814" s="200"/>
      <c r="R1814" s="200"/>
    </row>
    <row r="1815" spans="1:18" ht="63" hidden="1" customHeight="1">
      <c r="A1815" s="133" t="s">
        <v>390</v>
      </c>
      <c r="B1815" s="83">
        <v>795</v>
      </c>
      <c r="C1815" s="84" t="s">
        <v>54</v>
      </c>
      <c r="D1815" s="84" t="s">
        <v>123</v>
      </c>
      <c r="E1815" s="84" t="s">
        <v>132</v>
      </c>
      <c r="F1815" s="84"/>
      <c r="G1815" s="87">
        <f>G1816</f>
        <v>0</v>
      </c>
      <c r="H1815" s="87">
        <f t="shared" ref="H1815:I1815" si="468">H1816</f>
        <v>0</v>
      </c>
      <c r="I1815" s="87">
        <f t="shared" si="468"/>
        <v>0</v>
      </c>
      <c r="J1815" s="177"/>
      <c r="K1815" s="207"/>
      <c r="L1815" s="207"/>
      <c r="M1815" s="209"/>
    </row>
    <row r="1816" spans="1:18" ht="15" hidden="1" customHeight="1">
      <c r="A1816" s="82" t="s">
        <v>156</v>
      </c>
      <c r="B1816" s="83">
        <v>795</v>
      </c>
      <c r="C1816" s="84" t="s">
        <v>54</v>
      </c>
      <c r="D1816" s="84" t="s">
        <v>123</v>
      </c>
      <c r="E1816" s="84" t="s">
        <v>130</v>
      </c>
      <c r="F1816" s="84" t="s">
        <v>157</v>
      </c>
      <c r="G1816" s="87">
        <f>G1817</f>
        <v>0</v>
      </c>
      <c r="H1816" s="87">
        <f>H1817</f>
        <v>0</v>
      </c>
      <c r="I1816" s="87">
        <f>I1817</f>
        <v>0</v>
      </c>
      <c r="J1816" s="177"/>
      <c r="K1816" s="207"/>
      <c r="L1816" s="207"/>
    </row>
    <row r="1817" spans="1:18" ht="15" hidden="1" customHeight="1">
      <c r="A1817" s="82" t="s">
        <v>178</v>
      </c>
      <c r="B1817" s="83">
        <v>795</v>
      </c>
      <c r="C1817" s="84" t="s">
        <v>54</v>
      </c>
      <c r="D1817" s="84" t="s">
        <v>123</v>
      </c>
      <c r="E1817" s="84" t="s">
        <v>130</v>
      </c>
      <c r="F1817" s="84" t="s">
        <v>179</v>
      </c>
      <c r="G1817" s="87"/>
      <c r="H1817" s="87"/>
      <c r="I1817" s="87"/>
      <c r="J1817" s="177"/>
      <c r="K1817" s="207"/>
      <c r="L1817" s="207"/>
    </row>
    <row r="1818" spans="1:18" ht="81.75" hidden="1" customHeight="1">
      <c r="A1818" s="133" t="s">
        <v>422</v>
      </c>
      <c r="B1818" s="83">
        <v>795</v>
      </c>
      <c r="C1818" s="84" t="s">
        <v>54</v>
      </c>
      <c r="D1818" s="84" t="s">
        <v>123</v>
      </c>
      <c r="E1818" s="84" t="s">
        <v>133</v>
      </c>
      <c r="F1818" s="84"/>
      <c r="G1818" s="87">
        <f>G1819</f>
        <v>0</v>
      </c>
      <c r="H1818" s="87">
        <v>0</v>
      </c>
      <c r="I1818" s="87">
        <v>0</v>
      </c>
      <c r="J1818" s="177"/>
      <c r="K1818" s="207"/>
      <c r="L1818" s="207"/>
    </row>
    <row r="1819" spans="1:18" ht="24" hidden="1" customHeight="1">
      <c r="A1819" s="82" t="s">
        <v>324</v>
      </c>
      <c r="B1819" s="83">
        <v>795</v>
      </c>
      <c r="C1819" s="84" t="s">
        <v>54</v>
      </c>
      <c r="D1819" s="84" t="s">
        <v>123</v>
      </c>
      <c r="E1819" s="84" t="s">
        <v>131</v>
      </c>
      <c r="F1819" s="84" t="s">
        <v>37</v>
      </c>
      <c r="G1819" s="87">
        <f>G1820</f>
        <v>0</v>
      </c>
      <c r="H1819" s="87">
        <v>0</v>
      </c>
      <c r="I1819" s="87">
        <v>0</v>
      </c>
      <c r="J1819" s="177"/>
      <c r="K1819" s="207"/>
      <c r="L1819" s="207"/>
    </row>
    <row r="1820" spans="1:18" ht="41.25" hidden="1" customHeight="1">
      <c r="A1820" s="82" t="s">
        <v>38</v>
      </c>
      <c r="B1820" s="83">
        <v>795</v>
      </c>
      <c r="C1820" s="84" t="s">
        <v>54</v>
      </c>
      <c r="D1820" s="84" t="s">
        <v>123</v>
      </c>
      <c r="E1820" s="84" t="s">
        <v>131</v>
      </c>
      <c r="F1820" s="84" t="s">
        <v>39</v>
      </c>
      <c r="G1820" s="87"/>
      <c r="H1820" s="87">
        <v>0</v>
      </c>
      <c r="I1820" s="87">
        <v>0</v>
      </c>
      <c r="J1820" s="177"/>
      <c r="K1820" s="207"/>
      <c r="L1820" s="207"/>
    </row>
    <row r="1821" spans="1:18" ht="78" hidden="1" customHeight="1">
      <c r="A1821" s="133" t="s">
        <v>531</v>
      </c>
      <c r="B1821" s="83">
        <v>795</v>
      </c>
      <c r="C1821" s="84" t="s">
        <v>54</v>
      </c>
      <c r="D1821" s="84" t="s">
        <v>123</v>
      </c>
      <c r="E1821" s="84" t="s">
        <v>530</v>
      </c>
      <c r="F1821" s="84"/>
      <c r="G1821" s="87">
        <f>G1822+G1824</f>
        <v>0</v>
      </c>
      <c r="H1821" s="87">
        <v>0</v>
      </c>
      <c r="I1821" s="87">
        <v>0</v>
      </c>
      <c r="J1821" s="177"/>
      <c r="K1821" s="207"/>
      <c r="L1821" s="207"/>
    </row>
    <row r="1822" spans="1:18" ht="18" hidden="1" customHeight="1">
      <c r="A1822" s="82" t="s">
        <v>324</v>
      </c>
      <c r="B1822" s="83">
        <v>795</v>
      </c>
      <c r="C1822" s="84" t="s">
        <v>54</v>
      </c>
      <c r="D1822" s="84" t="s">
        <v>123</v>
      </c>
      <c r="E1822" s="84" t="s">
        <v>529</v>
      </c>
      <c r="F1822" s="84" t="s">
        <v>37</v>
      </c>
      <c r="G1822" s="87">
        <f>G1823</f>
        <v>0</v>
      </c>
      <c r="H1822" s="87">
        <v>0</v>
      </c>
      <c r="I1822" s="87">
        <v>0</v>
      </c>
      <c r="J1822" s="177"/>
      <c r="K1822" s="207"/>
      <c r="L1822" s="207"/>
    </row>
    <row r="1823" spans="1:18" ht="27.75" hidden="1" customHeight="1">
      <c r="A1823" s="82" t="s">
        <v>38</v>
      </c>
      <c r="B1823" s="83">
        <v>795</v>
      </c>
      <c r="C1823" s="84" t="s">
        <v>54</v>
      </c>
      <c r="D1823" s="84" t="s">
        <v>123</v>
      </c>
      <c r="E1823" s="84" t="s">
        <v>529</v>
      </c>
      <c r="F1823" s="84" t="s">
        <v>39</v>
      </c>
      <c r="G1823" s="87"/>
      <c r="H1823" s="87">
        <v>0</v>
      </c>
      <c r="I1823" s="87">
        <v>0</v>
      </c>
      <c r="J1823" s="177"/>
      <c r="K1823" s="207"/>
      <c r="L1823" s="207"/>
    </row>
    <row r="1824" spans="1:18" ht="36.75" hidden="1" customHeight="1">
      <c r="A1824" s="82" t="s">
        <v>96</v>
      </c>
      <c r="B1824" s="83">
        <v>795</v>
      </c>
      <c r="C1824" s="84" t="s">
        <v>54</v>
      </c>
      <c r="D1824" s="84" t="s">
        <v>123</v>
      </c>
      <c r="E1824" s="84" t="s">
        <v>529</v>
      </c>
      <c r="F1824" s="84" t="s">
        <v>349</v>
      </c>
      <c r="G1824" s="87">
        <f>G1825</f>
        <v>0</v>
      </c>
      <c r="H1824" s="87">
        <v>0</v>
      </c>
      <c r="I1824" s="87">
        <v>0</v>
      </c>
      <c r="J1824" s="177"/>
      <c r="K1824" s="207"/>
      <c r="L1824" s="207"/>
    </row>
    <row r="1825" spans="1:18" ht="27.75" hidden="1" customHeight="1">
      <c r="A1825" s="82" t="s">
        <v>350</v>
      </c>
      <c r="B1825" s="83">
        <v>795</v>
      </c>
      <c r="C1825" s="84" t="s">
        <v>54</v>
      </c>
      <c r="D1825" s="84" t="s">
        <v>123</v>
      </c>
      <c r="E1825" s="84" t="s">
        <v>529</v>
      </c>
      <c r="F1825" s="84" t="s">
        <v>351</v>
      </c>
      <c r="G1825" s="87"/>
      <c r="H1825" s="87"/>
      <c r="I1825" s="87"/>
      <c r="J1825" s="177"/>
      <c r="K1825" s="207"/>
      <c r="L1825" s="207"/>
    </row>
    <row r="1826" spans="1:18" s="18" customFormat="1" ht="62.25" hidden="1" customHeight="1">
      <c r="A1826" s="82" t="s">
        <v>528</v>
      </c>
      <c r="B1826" s="83">
        <v>795</v>
      </c>
      <c r="C1826" s="84" t="s">
        <v>54</v>
      </c>
      <c r="D1826" s="84" t="s">
        <v>123</v>
      </c>
      <c r="E1826" s="84" t="s">
        <v>187</v>
      </c>
      <c r="F1826" s="84"/>
      <c r="G1826" s="87">
        <f>G1827+G1831+G1830</f>
        <v>0</v>
      </c>
      <c r="H1826" s="87">
        <v>0</v>
      </c>
      <c r="I1826" s="87">
        <v>0</v>
      </c>
      <c r="J1826" s="177"/>
      <c r="K1826" s="202"/>
      <c r="L1826" s="202"/>
      <c r="M1826" s="200"/>
      <c r="N1826" s="200"/>
      <c r="O1826" s="200"/>
      <c r="P1826" s="200"/>
      <c r="Q1826" s="200"/>
      <c r="R1826" s="200"/>
    </row>
    <row r="1827" spans="1:18" s="18" customFormat="1" ht="32.25" hidden="1" customHeight="1">
      <c r="A1827" s="82" t="s">
        <v>324</v>
      </c>
      <c r="B1827" s="83">
        <v>795</v>
      </c>
      <c r="C1827" s="84" t="s">
        <v>54</v>
      </c>
      <c r="D1827" s="84" t="s">
        <v>123</v>
      </c>
      <c r="E1827" s="84" t="s">
        <v>187</v>
      </c>
      <c r="F1827" s="84" t="s">
        <v>37</v>
      </c>
      <c r="G1827" s="87">
        <f>G1828</f>
        <v>0</v>
      </c>
      <c r="H1827" s="87">
        <v>0</v>
      </c>
      <c r="I1827" s="87">
        <v>0</v>
      </c>
      <c r="J1827" s="177"/>
      <c r="K1827" s="202"/>
      <c r="L1827" s="202"/>
      <c r="M1827" s="200"/>
      <c r="N1827" s="200"/>
      <c r="O1827" s="200"/>
      <c r="P1827" s="200"/>
      <c r="Q1827" s="200"/>
      <c r="R1827" s="200"/>
    </row>
    <row r="1828" spans="1:18" s="18" customFormat="1" ht="32.25" hidden="1" customHeight="1">
      <c r="A1828" s="82" t="s">
        <v>38</v>
      </c>
      <c r="B1828" s="83">
        <v>795</v>
      </c>
      <c r="C1828" s="84" t="s">
        <v>54</v>
      </c>
      <c r="D1828" s="84" t="s">
        <v>123</v>
      </c>
      <c r="E1828" s="84" t="s">
        <v>187</v>
      </c>
      <c r="F1828" s="84" t="s">
        <v>39</v>
      </c>
      <c r="G1828" s="87"/>
      <c r="H1828" s="87">
        <v>0</v>
      </c>
      <c r="I1828" s="87">
        <v>0</v>
      </c>
      <c r="J1828" s="177"/>
      <c r="K1828" s="202"/>
      <c r="L1828" s="202"/>
      <c r="M1828" s="200"/>
      <c r="N1828" s="200"/>
      <c r="O1828" s="200"/>
      <c r="P1828" s="200"/>
      <c r="Q1828" s="200"/>
      <c r="R1828" s="200"/>
    </row>
    <row r="1829" spans="1:18" ht="18" hidden="1" customHeight="1">
      <c r="A1829" s="82" t="s">
        <v>324</v>
      </c>
      <c r="B1829" s="83">
        <v>795</v>
      </c>
      <c r="C1829" s="84" t="s">
        <v>54</v>
      </c>
      <c r="D1829" s="84" t="s">
        <v>123</v>
      </c>
      <c r="E1829" s="84" t="s">
        <v>187</v>
      </c>
      <c r="F1829" s="84" t="s">
        <v>37</v>
      </c>
      <c r="G1829" s="87">
        <f>G1830</f>
        <v>0</v>
      </c>
      <c r="H1829" s="87">
        <v>0</v>
      </c>
      <c r="I1829" s="87">
        <v>0</v>
      </c>
      <c r="J1829" s="177"/>
      <c r="K1829" s="207"/>
      <c r="L1829" s="207"/>
    </row>
    <row r="1830" spans="1:18" ht="29.25" hidden="1" customHeight="1">
      <c r="A1830" s="82" t="s">
        <v>38</v>
      </c>
      <c r="B1830" s="83">
        <v>795</v>
      </c>
      <c r="C1830" s="84" t="s">
        <v>54</v>
      </c>
      <c r="D1830" s="84" t="s">
        <v>123</v>
      </c>
      <c r="E1830" s="84" t="s">
        <v>187</v>
      </c>
      <c r="F1830" s="84" t="s">
        <v>39</v>
      </c>
      <c r="G1830" s="87"/>
      <c r="H1830" s="87"/>
      <c r="I1830" s="87"/>
      <c r="J1830" s="177"/>
      <c r="K1830" s="207"/>
      <c r="L1830" s="207"/>
    </row>
    <row r="1831" spans="1:18" ht="18" hidden="1" customHeight="1">
      <c r="A1831" s="82" t="s">
        <v>156</v>
      </c>
      <c r="B1831" s="83">
        <v>795</v>
      </c>
      <c r="C1831" s="84" t="s">
        <v>54</v>
      </c>
      <c r="D1831" s="84" t="s">
        <v>123</v>
      </c>
      <c r="E1831" s="84" t="s">
        <v>187</v>
      </c>
      <c r="F1831" s="84" t="s">
        <v>157</v>
      </c>
      <c r="G1831" s="87">
        <f>G1832</f>
        <v>0</v>
      </c>
      <c r="H1831" s="87">
        <v>0</v>
      </c>
      <c r="I1831" s="87">
        <v>0</v>
      </c>
      <c r="J1831" s="177"/>
      <c r="K1831" s="207"/>
      <c r="L1831" s="207"/>
    </row>
    <row r="1832" spans="1:18" ht="15" hidden="1" customHeight="1">
      <c r="A1832" s="82" t="s">
        <v>178</v>
      </c>
      <c r="B1832" s="83">
        <v>795</v>
      </c>
      <c r="C1832" s="84" t="s">
        <v>54</v>
      </c>
      <c r="D1832" s="84" t="s">
        <v>123</v>
      </c>
      <c r="E1832" s="84" t="s">
        <v>187</v>
      </c>
      <c r="F1832" s="84" t="s">
        <v>179</v>
      </c>
      <c r="G1832" s="87"/>
      <c r="H1832" s="87"/>
      <c r="I1832" s="87"/>
      <c r="J1832" s="177"/>
      <c r="K1832" s="207"/>
      <c r="L1832" s="207"/>
    </row>
    <row r="1833" spans="1:18" ht="78" hidden="1" customHeight="1">
      <c r="A1833" s="133" t="s">
        <v>658</v>
      </c>
      <c r="B1833" s="83">
        <v>795</v>
      </c>
      <c r="C1833" s="84" t="s">
        <v>54</v>
      </c>
      <c r="D1833" s="84" t="s">
        <v>123</v>
      </c>
      <c r="E1833" s="84" t="s">
        <v>660</v>
      </c>
      <c r="F1833" s="84"/>
      <c r="G1833" s="87">
        <f>G1834</f>
        <v>0</v>
      </c>
      <c r="H1833" s="87">
        <v>0</v>
      </c>
      <c r="I1833" s="87">
        <v>0</v>
      </c>
      <c r="J1833" s="177"/>
      <c r="K1833" s="207"/>
      <c r="L1833" s="207"/>
    </row>
    <row r="1834" spans="1:18" ht="18" hidden="1" customHeight="1">
      <c r="A1834" s="82" t="s">
        <v>156</v>
      </c>
      <c r="B1834" s="83">
        <v>795</v>
      </c>
      <c r="C1834" s="84" t="s">
        <v>54</v>
      </c>
      <c r="D1834" s="84" t="s">
        <v>123</v>
      </c>
      <c r="E1834" s="84" t="s">
        <v>660</v>
      </c>
      <c r="F1834" s="84" t="s">
        <v>157</v>
      </c>
      <c r="G1834" s="87">
        <f>G1835</f>
        <v>0</v>
      </c>
      <c r="H1834" s="87">
        <v>0</v>
      </c>
      <c r="I1834" s="87">
        <v>0</v>
      </c>
      <c r="J1834" s="177"/>
      <c r="K1834" s="207"/>
      <c r="L1834" s="207"/>
    </row>
    <row r="1835" spans="1:18" ht="27.75" hidden="1" customHeight="1">
      <c r="A1835" s="82" t="s">
        <v>178</v>
      </c>
      <c r="B1835" s="83">
        <v>795</v>
      </c>
      <c r="C1835" s="84" t="s">
        <v>54</v>
      </c>
      <c r="D1835" s="84" t="s">
        <v>123</v>
      </c>
      <c r="E1835" s="84" t="s">
        <v>660</v>
      </c>
      <c r="F1835" s="84" t="s">
        <v>179</v>
      </c>
      <c r="G1835" s="87"/>
      <c r="H1835" s="87">
        <v>0</v>
      </c>
      <c r="I1835" s="87">
        <v>0</v>
      </c>
      <c r="J1835" s="177"/>
      <c r="K1835" s="207"/>
      <c r="L1835" s="207"/>
    </row>
    <row r="1836" spans="1:18" ht="63.75" hidden="1" customHeight="1">
      <c r="A1836" s="82" t="s">
        <v>392</v>
      </c>
      <c r="B1836" s="83">
        <v>795</v>
      </c>
      <c r="C1836" s="84" t="s">
        <v>54</v>
      </c>
      <c r="D1836" s="84" t="s">
        <v>123</v>
      </c>
      <c r="E1836" s="84" t="s">
        <v>105</v>
      </c>
      <c r="F1836" s="84"/>
      <c r="G1836" s="87">
        <f>G1837+G1844+G1854+G1860+G1851</f>
        <v>0</v>
      </c>
      <c r="H1836" s="87">
        <f t="shared" ref="H1836:I1836" si="469">H1837+H1844+H1854</f>
        <v>0</v>
      </c>
      <c r="I1836" s="87">
        <f t="shared" si="469"/>
        <v>0</v>
      </c>
      <c r="J1836" s="177"/>
      <c r="K1836" s="207"/>
      <c r="L1836" s="207"/>
      <c r="M1836" s="209"/>
    </row>
    <row r="1837" spans="1:18" ht="48.75" hidden="1" customHeight="1">
      <c r="A1837" s="82" t="s">
        <v>393</v>
      </c>
      <c r="B1837" s="83">
        <v>795</v>
      </c>
      <c r="C1837" s="84" t="s">
        <v>54</v>
      </c>
      <c r="D1837" s="84" t="s">
        <v>123</v>
      </c>
      <c r="E1837" s="84" t="s">
        <v>106</v>
      </c>
      <c r="F1837" s="84"/>
      <c r="G1837" s="87">
        <f>G1838+G1840+G1842</f>
        <v>0</v>
      </c>
      <c r="H1837" s="87">
        <f t="shared" ref="H1837:I1837" si="470">H1838+H1840+H1842</f>
        <v>0</v>
      </c>
      <c r="I1837" s="87">
        <f t="shared" si="470"/>
        <v>0</v>
      </c>
      <c r="J1837" s="177"/>
      <c r="K1837" s="207"/>
      <c r="L1837" s="207"/>
      <c r="M1837" s="209"/>
    </row>
    <row r="1838" spans="1:18" s="18" customFormat="1" ht="15.75" hidden="1" customHeight="1">
      <c r="A1838" s="82" t="s">
        <v>63</v>
      </c>
      <c r="B1838" s="83">
        <v>795</v>
      </c>
      <c r="C1838" s="84" t="s">
        <v>54</v>
      </c>
      <c r="D1838" s="84" t="s">
        <v>123</v>
      </c>
      <c r="E1838" s="84" t="s">
        <v>106</v>
      </c>
      <c r="F1838" s="84" t="s">
        <v>64</v>
      </c>
      <c r="G1838" s="87">
        <f>G1839</f>
        <v>0</v>
      </c>
      <c r="H1838" s="298">
        <v>0</v>
      </c>
      <c r="I1838" s="298">
        <v>0</v>
      </c>
      <c r="J1838" s="201"/>
      <c r="K1838" s="223"/>
      <c r="L1838" s="202"/>
      <c r="M1838" s="200"/>
      <c r="N1838" s="200"/>
      <c r="O1838" s="200"/>
      <c r="P1838" s="200"/>
      <c r="Q1838" s="200"/>
      <c r="R1838" s="200"/>
    </row>
    <row r="1839" spans="1:18" s="18" customFormat="1" ht="15.75" hidden="1" customHeight="1">
      <c r="A1839" s="82" t="s">
        <v>180</v>
      </c>
      <c r="B1839" s="83">
        <v>795</v>
      </c>
      <c r="C1839" s="84" t="s">
        <v>54</v>
      </c>
      <c r="D1839" s="84" t="s">
        <v>123</v>
      </c>
      <c r="E1839" s="84" t="s">
        <v>106</v>
      </c>
      <c r="F1839" s="84" t="s">
        <v>181</v>
      </c>
      <c r="G1839" s="87">
        <f>5198269.13-268287.5-423091+149078.6-4655969.23</f>
        <v>0</v>
      </c>
      <c r="H1839" s="298">
        <v>0</v>
      </c>
      <c r="I1839" s="298">
        <v>0</v>
      </c>
      <c r="J1839" s="201"/>
      <c r="K1839" s="223"/>
      <c r="L1839" s="202"/>
      <c r="M1839" s="200"/>
      <c r="N1839" s="200"/>
      <c r="O1839" s="200"/>
      <c r="P1839" s="200"/>
      <c r="Q1839" s="200"/>
      <c r="R1839" s="200"/>
    </row>
    <row r="1840" spans="1:18" ht="22.5" hidden="1" customHeight="1">
      <c r="A1840" s="82" t="s">
        <v>156</v>
      </c>
      <c r="B1840" s="83">
        <v>795</v>
      </c>
      <c r="C1840" s="84" t="s">
        <v>54</v>
      </c>
      <c r="D1840" s="84" t="s">
        <v>123</v>
      </c>
      <c r="E1840" s="84" t="s">
        <v>106</v>
      </c>
      <c r="F1840" s="84" t="s">
        <v>157</v>
      </c>
      <c r="G1840" s="87">
        <f>G1841</f>
        <v>0</v>
      </c>
      <c r="H1840" s="87">
        <f>H1841</f>
        <v>0</v>
      </c>
      <c r="I1840" s="87">
        <f>I1841</f>
        <v>0</v>
      </c>
      <c r="J1840" s="177"/>
      <c r="K1840" s="207"/>
      <c r="L1840" s="207"/>
    </row>
    <row r="1841" spans="1:18" ht="16.5" hidden="1" customHeight="1">
      <c r="A1841" s="82" t="s">
        <v>178</v>
      </c>
      <c r="B1841" s="83">
        <v>795</v>
      </c>
      <c r="C1841" s="84" t="s">
        <v>54</v>
      </c>
      <c r="D1841" s="84" t="s">
        <v>123</v>
      </c>
      <c r="E1841" s="84" t="s">
        <v>106</v>
      </c>
      <c r="F1841" s="84" t="s">
        <v>179</v>
      </c>
      <c r="G1841" s="87"/>
      <c r="H1841" s="87"/>
      <c r="I1841" s="87"/>
      <c r="J1841" s="177"/>
      <c r="K1841" s="207"/>
      <c r="L1841" s="207"/>
    </row>
    <row r="1842" spans="1:18" ht="22.5" hidden="1" customHeight="1">
      <c r="A1842" s="82" t="s">
        <v>324</v>
      </c>
      <c r="B1842" s="83">
        <v>795</v>
      </c>
      <c r="C1842" s="84" t="s">
        <v>54</v>
      </c>
      <c r="D1842" s="84" t="s">
        <v>123</v>
      </c>
      <c r="E1842" s="84" t="s">
        <v>106</v>
      </c>
      <c r="F1842" s="84" t="s">
        <v>37</v>
      </c>
      <c r="G1842" s="87">
        <f>G1843</f>
        <v>0</v>
      </c>
      <c r="H1842" s="87">
        <f>H1843</f>
        <v>0</v>
      </c>
      <c r="I1842" s="87">
        <f>I1843</f>
        <v>0</v>
      </c>
      <c r="J1842" s="177"/>
      <c r="K1842" s="207"/>
      <c r="L1842" s="207"/>
    </row>
    <row r="1843" spans="1:18" ht="30.75" hidden="1" customHeight="1">
      <c r="A1843" s="82" t="s">
        <v>38</v>
      </c>
      <c r="B1843" s="83">
        <v>795</v>
      </c>
      <c r="C1843" s="84" t="s">
        <v>54</v>
      </c>
      <c r="D1843" s="84" t="s">
        <v>123</v>
      </c>
      <c r="E1843" s="84" t="s">
        <v>106</v>
      </c>
      <c r="F1843" s="84" t="s">
        <v>39</v>
      </c>
      <c r="G1843" s="87"/>
      <c r="H1843" s="87"/>
      <c r="I1843" s="87"/>
      <c r="J1843" s="177"/>
      <c r="K1843" s="207"/>
      <c r="L1843" s="207"/>
    </row>
    <row r="1844" spans="1:18" s="18" customFormat="1" ht="65.25" hidden="1" customHeight="1">
      <c r="A1844" s="82" t="s">
        <v>527</v>
      </c>
      <c r="B1844" s="83">
        <v>795</v>
      </c>
      <c r="C1844" s="84" t="s">
        <v>54</v>
      </c>
      <c r="D1844" s="84" t="s">
        <v>123</v>
      </c>
      <c r="E1844" s="84" t="s">
        <v>46</v>
      </c>
      <c r="F1844" s="84"/>
      <c r="G1844" s="87">
        <f>G1845+G1849+G1847</f>
        <v>0</v>
      </c>
      <c r="H1844" s="87">
        <v>0</v>
      </c>
      <c r="I1844" s="87">
        <v>0</v>
      </c>
      <c r="J1844" s="177"/>
      <c r="K1844" s="223"/>
      <c r="L1844" s="202"/>
      <c r="M1844" s="200"/>
      <c r="N1844" s="200"/>
      <c r="O1844" s="200"/>
      <c r="P1844" s="200"/>
      <c r="Q1844" s="200"/>
      <c r="R1844" s="200"/>
    </row>
    <row r="1845" spans="1:18" s="18" customFormat="1" ht="32.25" hidden="1" customHeight="1">
      <c r="A1845" s="82" t="s">
        <v>324</v>
      </c>
      <c r="B1845" s="83">
        <v>795</v>
      </c>
      <c r="C1845" s="84" t="s">
        <v>54</v>
      </c>
      <c r="D1845" s="84" t="s">
        <v>123</v>
      </c>
      <c r="E1845" s="84" t="s">
        <v>46</v>
      </c>
      <c r="F1845" s="84" t="s">
        <v>37</v>
      </c>
      <c r="G1845" s="87">
        <f>G1846</f>
        <v>0</v>
      </c>
      <c r="H1845" s="87">
        <v>0</v>
      </c>
      <c r="I1845" s="87">
        <v>0</v>
      </c>
      <c r="J1845" s="177"/>
      <c r="K1845" s="223"/>
      <c r="L1845" s="202"/>
      <c r="M1845" s="200"/>
      <c r="N1845" s="200"/>
      <c r="O1845" s="200"/>
      <c r="P1845" s="200"/>
      <c r="Q1845" s="200"/>
      <c r="R1845" s="200"/>
    </row>
    <row r="1846" spans="1:18" s="18" customFormat="1" ht="15.75" hidden="1" customHeight="1">
      <c r="A1846" s="82" t="s">
        <v>38</v>
      </c>
      <c r="B1846" s="83">
        <v>795</v>
      </c>
      <c r="C1846" s="84" t="s">
        <v>54</v>
      </c>
      <c r="D1846" s="84" t="s">
        <v>123</v>
      </c>
      <c r="E1846" s="84" t="s">
        <v>46</v>
      </c>
      <c r="F1846" s="84" t="s">
        <v>39</v>
      </c>
      <c r="G1846" s="87"/>
      <c r="H1846" s="87">
        <v>0</v>
      </c>
      <c r="I1846" s="87">
        <v>0</v>
      </c>
      <c r="J1846" s="177"/>
      <c r="K1846" s="223"/>
      <c r="L1846" s="202"/>
      <c r="M1846" s="200"/>
      <c r="N1846" s="200"/>
      <c r="O1846" s="200"/>
      <c r="P1846" s="200"/>
      <c r="Q1846" s="200"/>
      <c r="R1846" s="200"/>
    </row>
    <row r="1847" spans="1:18" ht="22.5" hidden="1" customHeight="1">
      <c r="A1847" s="82" t="s">
        <v>324</v>
      </c>
      <c r="B1847" s="83">
        <v>795</v>
      </c>
      <c r="C1847" s="84" t="s">
        <v>54</v>
      </c>
      <c r="D1847" s="84" t="s">
        <v>123</v>
      </c>
      <c r="E1847" s="84" t="s">
        <v>46</v>
      </c>
      <c r="F1847" s="84" t="s">
        <v>37</v>
      </c>
      <c r="G1847" s="87">
        <f>G1848</f>
        <v>0</v>
      </c>
      <c r="H1847" s="87">
        <v>0</v>
      </c>
      <c r="I1847" s="87">
        <v>0</v>
      </c>
      <c r="J1847" s="177"/>
      <c r="K1847" s="207"/>
      <c r="L1847" s="207"/>
    </row>
    <row r="1848" spans="1:18" ht="16.5" hidden="1" customHeight="1">
      <c r="A1848" s="82" t="s">
        <v>38</v>
      </c>
      <c r="B1848" s="83">
        <v>795</v>
      </c>
      <c r="C1848" s="84" t="s">
        <v>54</v>
      </c>
      <c r="D1848" s="84" t="s">
        <v>123</v>
      </c>
      <c r="E1848" s="84" t="s">
        <v>46</v>
      </c>
      <c r="F1848" s="84" t="s">
        <v>39</v>
      </c>
      <c r="G1848" s="87"/>
      <c r="H1848" s="87"/>
      <c r="I1848" s="87"/>
      <c r="J1848" s="177"/>
      <c r="K1848" s="207"/>
      <c r="L1848" s="207"/>
    </row>
    <row r="1849" spans="1:18" ht="22.5" hidden="1" customHeight="1">
      <c r="A1849" s="82" t="s">
        <v>156</v>
      </c>
      <c r="B1849" s="83">
        <v>795</v>
      </c>
      <c r="C1849" s="84" t="s">
        <v>54</v>
      </c>
      <c r="D1849" s="84" t="s">
        <v>123</v>
      </c>
      <c r="E1849" s="84" t="s">
        <v>46</v>
      </c>
      <c r="F1849" s="84" t="s">
        <v>157</v>
      </c>
      <c r="G1849" s="87">
        <f>G1850</f>
        <v>0</v>
      </c>
      <c r="H1849" s="87">
        <v>0</v>
      </c>
      <c r="I1849" s="87">
        <v>0</v>
      </c>
      <c r="J1849" s="177"/>
      <c r="K1849" s="207"/>
      <c r="L1849" s="207"/>
    </row>
    <row r="1850" spans="1:18" ht="16.5" hidden="1" customHeight="1">
      <c r="A1850" s="82" t="s">
        <v>178</v>
      </c>
      <c r="B1850" s="83">
        <v>795</v>
      </c>
      <c r="C1850" s="84" t="s">
        <v>54</v>
      </c>
      <c r="D1850" s="84" t="s">
        <v>123</v>
      </c>
      <c r="E1850" s="84" t="s">
        <v>46</v>
      </c>
      <c r="F1850" s="84" t="s">
        <v>179</v>
      </c>
      <c r="G1850" s="87"/>
      <c r="H1850" s="87"/>
      <c r="I1850" s="87"/>
      <c r="J1850" s="177"/>
      <c r="K1850" s="207"/>
      <c r="L1850" s="207"/>
    </row>
    <row r="1851" spans="1:18" ht="62.25" hidden="1" customHeight="1">
      <c r="A1851" s="82" t="s">
        <v>714</v>
      </c>
      <c r="B1851" s="83">
        <v>795</v>
      </c>
      <c r="C1851" s="84" t="s">
        <v>54</v>
      </c>
      <c r="D1851" s="84" t="s">
        <v>123</v>
      </c>
      <c r="E1851" s="84" t="s">
        <v>713</v>
      </c>
      <c r="F1851" s="84"/>
      <c r="G1851" s="87">
        <f>G1852</f>
        <v>0</v>
      </c>
      <c r="H1851" s="87">
        <f t="shared" ref="H1851:I1851" si="471">H1852+H1854+H1856</f>
        <v>0</v>
      </c>
      <c r="I1851" s="87">
        <f t="shared" si="471"/>
        <v>0</v>
      </c>
      <c r="J1851" s="177"/>
      <c r="K1851" s="207"/>
      <c r="L1851" s="207"/>
      <c r="M1851" s="209"/>
    </row>
    <row r="1852" spans="1:18" s="18" customFormat="1" ht="15.75" hidden="1" customHeight="1">
      <c r="A1852" s="82" t="s">
        <v>324</v>
      </c>
      <c r="B1852" s="83">
        <v>795</v>
      </c>
      <c r="C1852" s="84" t="s">
        <v>54</v>
      </c>
      <c r="D1852" s="84" t="s">
        <v>123</v>
      </c>
      <c r="E1852" s="84" t="s">
        <v>713</v>
      </c>
      <c r="F1852" s="84" t="s">
        <v>37</v>
      </c>
      <c r="G1852" s="87">
        <f>G1853</f>
        <v>0</v>
      </c>
      <c r="H1852" s="298">
        <v>0</v>
      </c>
      <c r="I1852" s="298">
        <v>0</v>
      </c>
      <c r="J1852" s="201"/>
      <c r="K1852" s="223"/>
      <c r="L1852" s="202"/>
      <c r="M1852" s="200"/>
      <c r="N1852" s="200"/>
      <c r="O1852" s="200"/>
      <c r="P1852" s="200"/>
      <c r="Q1852" s="200"/>
      <c r="R1852" s="200"/>
    </row>
    <row r="1853" spans="1:18" s="18" customFormat="1" ht="35.25" hidden="1" customHeight="1">
      <c r="A1853" s="82" t="s">
        <v>38</v>
      </c>
      <c r="B1853" s="83">
        <v>795</v>
      </c>
      <c r="C1853" s="84" t="s">
        <v>54</v>
      </c>
      <c r="D1853" s="84" t="s">
        <v>123</v>
      </c>
      <c r="E1853" s="84" t="s">
        <v>713</v>
      </c>
      <c r="F1853" s="84" t="s">
        <v>39</v>
      </c>
      <c r="G1853" s="87"/>
      <c r="H1853" s="298"/>
      <c r="I1853" s="298"/>
      <c r="J1853" s="201"/>
      <c r="K1853" s="223"/>
      <c r="L1853" s="202"/>
      <c r="M1853" s="200"/>
      <c r="N1853" s="200"/>
      <c r="O1853" s="200"/>
      <c r="P1853" s="200"/>
      <c r="Q1853" s="200"/>
      <c r="R1853" s="200"/>
    </row>
    <row r="1854" spans="1:18" ht="68.25" hidden="1" customHeight="1">
      <c r="A1854" s="82" t="s">
        <v>423</v>
      </c>
      <c r="B1854" s="83">
        <v>795</v>
      </c>
      <c r="C1854" s="84" t="s">
        <v>54</v>
      </c>
      <c r="D1854" s="84" t="s">
        <v>123</v>
      </c>
      <c r="E1854" s="84" t="s">
        <v>10</v>
      </c>
      <c r="F1854" s="84"/>
      <c r="G1854" s="87">
        <f>G1855</f>
        <v>0</v>
      </c>
      <c r="H1854" s="87">
        <v>0</v>
      </c>
      <c r="I1854" s="87">
        <v>0</v>
      </c>
      <c r="J1854" s="177"/>
      <c r="K1854" s="207"/>
      <c r="L1854" s="207"/>
    </row>
    <row r="1855" spans="1:18" ht="22.5" hidden="1" customHeight="1">
      <c r="A1855" s="82" t="s">
        <v>156</v>
      </c>
      <c r="B1855" s="83">
        <v>795</v>
      </c>
      <c r="C1855" s="84" t="s">
        <v>54</v>
      </c>
      <c r="D1855" s="84" t="s">
        <v>123</v>
      </c>
      <c r="E1855" s="84" t="s">
        <v>10</v>
      </c>
      <c r="F1855" s="84" t="s">
        <v>157</v>
      </c>
      <c r="G1855" s="87">
        <f>G1856</f>
        <v>0</v>
      </c>
      <c r="H1855" s="87">
        <v>0</v>
      </c>
      <c r="I1855" s="87">
        <v>0</v>
      </c>
      <c r="J1855" s="177"/>
      <c r="K1855" s="207"/>
      <c r="L1855" s="207"/>
    </row>
    <row r="1856" spans="1:18" ht="16.5" hidden="1" customHeight="1">
      <c r="A1856" s="82" t="s">
        <v>178</v>
      </c>
      <c r="B1856" s="83">
        <v>795</v>
      </c>
      <c r="C1856" s="84" t="s">
        <v>54</v>
      </c>
      <c r="D1856" s="84" t="s">
        <v>123</v>
      </c>
      <c r="E1856" s="84" t="s">
        <v>10</v>
      </c>
      <c r="F1856" s="84" t="s">
        <v>179</v>
      </c>
      <c r="G1856" s="87"/>
      <c r="H1856" s="87"/>
      <c r="I1856" s="87"/>
      <c r="J1856" s="177"/>
      <c r="K1856" s="207"/>
      <c r="L1856" s="207"/>
    </row>
    <row r="1857" spans="1:18" ht="63" hidden="1" customHeight="1">
      <c r="A1857" s="82" t="s">
        <v>659</v>
      </c>
      <c r="B1857" s="83">
        <v>795</v>
      </c>
      <c r="C1857" s="84" t="s">
        <v>54</v>
      </c>
      <c r="D1857" s="84" t="s">
        <v>123</v>
      </c>
      <c r="E1857" s="84" t="s">
        <v>300</v>
      </c>
      <c r="F1857" s="84"/>
      <c r="G1857" s="87">
        <f>G1858</f>
        <v>0</v>
      </c>
      <c r="H1857" s="87"/>
      <c r="I1857" s="87"/>
      <c r="J1857" s="177"/>
      <c r="K1857" s="207"/>
      <c r="L1857" s="207"/>
    </row>
    <row r="1858" spans="1:18" ht="16.5" hidden="1" customHeight="1">
      <c r="A1858" s="82" t="s">
        <v>324</v>
      </c>
      <c r="B1858" s="83">
        <v>795</v>
      </c>
      <c r="C1858" s="84" t="s">
        <v>54</v>
      </c>
      <c r="D1858" s="84" t="s">
        <v>123</v>
      </c>
      <c r="E1858" s="84" t="s">
        <v>300</v>
      </c>
      <c r="F1858" s="84" t="s">
        <v>37</v>
      </c>
      <c r="G1858" s="87">
        <f>G1859</f>
        <v>0</v>
      </c>
      <c r="H1858" s="87"/>
      <c r="I1858" s="87"/>
      <c r="J1858" s="177"/>
      <c r="K1858" s="207"/>
      <c r="L1858" s="207"/>
    </row>
    <row r="1859" spans="1:18" ht="28.5" hidden="1" customHeight="1">
      <c r="A1859" s="82" t="s">
        <v>38</v>
      </c>
      <c r="B1859" s="83">
        <v>795</v>
      </c>
      <c r="C1859" s="84" t="s">
        <v>54</v>
      </c>
      <c r="D1859" s="84" t="s">
        <v>123</v>
      </c>
      <c r="E1859" s="84" t="s">
        <v>300</v>
      </c>
      <c r="F1859" s="84" t="s">
        <v>39</v>
      </c>
      <c r="G1859" s="87"/>
      <c r="H1859" s="87"/>
      <c r="I1859" s="87"/>
      <c r="J1859" s="177"/>
      <c r="K1859" s="207"/>
      <c r="L1859" s="207"/>
    </row>
    <row r="1860" spans="1:18" s="18" customFormat="1" ht="76.5" hidden="1" customHeight="1">
      <c r="A1860" s="133" t="s">
        <v>669</v>
      </c>
      <c r="B1860" s="83">
        <v>795</v>
      </c>
      <c r="C1860" s="84" t="s">
        <v>54</v>
      </c>
      <c r="D1860" s="84" t="s">
        <v>123</v>
      </c>
      <c r="E1860" s="84" t="s">
        <v>704</v>
      </c>
      <c r="F1860" s="84"/>
      <c r="G1860" s="87">
        <f t="shared" ref="G1860:I1861" si="472">G1861</f>
        <v>0</v>
      </c>
      <c r="H1860" s="87">
        <f t="shared" si="472"/>
        <v>0</v>
      </c>
      <c r="I1860" s="87">
        <f t="shared" si="472"/>
        <v>0</v>
      </c>
      <c r="J1860" s="177"/>
      <c r="K1860" s="202"/>
      <c r="L1860" s="202"/>
      <c r="M1860" s="200"/>
      <c r="N1860" s="200"/>
      <c r="O1860" s="200"/>
      <c r="P1860" s="200"/>
      <c r="Q1860" s="200"/>
      <c r="R1860" s="200"/>
    </row>
    <row r="1861" spans="1:18" s="18" customFormat="1" ht="15" hidden="1" customHeight="1">
      <c r="A1861" s="82" t="s">
        <v>324</v>
      </c>
      <c r="B1861" s="83">
        <v>795</v>
      </c>
      <c r="C1861" s="84" t="s">
        <v>54</v>
      </c>
      <c r="D1861" s="84" t="s">
        <v>123</v>
      </c>
      <c r="E1861" s="84" t="s">
        <v>704</v>
      </c>
      <c r="F1861" s="84" t="s">
        <v>37</v>
      </c>
      <c r="G1861" s="87">
        <f t="shared" si="472"/>
        <v>0</v>
      </c>
      <c r="H1861" s="87">
        <f t="shared" si="472"/>
        <v>0</v>
      </c>
      <c r="I1861" s="87">
        <f t="shared" si="472"/>
        <v>0</v>
      </c>
      <c r="J1861" s="177"/>
      <c r="K1861" s="202"/>
      <c r="L1861" s="202"/>
      <c r="M1861" s="200"/>
      <c r="N1861" s="200"/>
      <c r="O1861" s="200"/>
      <c r="P1861" s="200"/>
      <c r="Q1861" s="200"/>
      <c r="R1861" s="200"/>
    </row>
    <row r="1862" spans="1:18" s="18" customFormat="1" ht="32.25" hidden="1" customHeight="1">
      <c r="A1862" s="82" t="s">
        <v>38</v>
      </c>
      <c r="B1862" s="83">
        <v>795</v>
      </c>
      <c r="C1862" s="84" t="s">
        <v>54</v>
      </c>
      <c r="D1862" s="84" t="s">
        <v>123</v>
      </c>
      <c r="E1862" s="84" t="s">
        <v>704</v>
      </c>
      <c r="F1862" s="84" t="s">
        <v>39</v>
      </c>
      <c r="G1862" s="87">
        <f>600000-600000</f>
        <v>0</v>
      </c>
      <c r="H1862" s="87">
        <v>0</v>
      </c>
      <c r="I1862" s="87">
        <v>0</v>
      </c>
      <c r="J1862" s="177"/>
      <c r="K1862" s="202"/>
      <c r="L1862" s="202"/>
      <c r="M1862" s="200"/>
      <c r="N1862" s="200"/>
      <c r="O1862" s="200"/>
      <c r="P1862" s="200"/>
      <c r="Q1862" s="200"/>
      <c r="R1862" s="200"/>
    </row>
    <row r="1863" spans="1:18" ht="87" hidden="1" customHeight="1">
      <c r="A1863" s="82" t="s">
        <v>674</v>
      </c>
      <c r="B1863" s="83">
        <v>795</v>
      </c>
      <c r="C1863" s="84" t="s">
        <v>54</v>
      </c>
      <c r="D1863" s="84" t="s">
        <v>123</v>
      </c>
      <c r="E1863" s="84" t="s">
        <v>11</v>
      </c>
      <c r="F1863" s="84"/>
      <c r="G1863" s="87">
        <f>G1864+G1867+G1870</f>
        <v>0</v>
      </c>
      <c r="H1863" s="87">
        <f>H1864+H1867+H1870</f>
        <v>0</v>
      </c>
      <c r="I1863" s="87">
        <f t="shared" ref="I1863" si="473">I1864+I1867+I1870</f>
        <v>0</v>
      </c>
      <c r="J1863" s="177"/>
      <c r="K1863" s="207"/>
      <c r="L1863" s="207"/>
    </row>
    <row r="1864" spans="1:18" ht="91.5" hidden="1" customHeight="1">
      <c r="A1864" s="82" t="s">
        <v>623</v>
      </c>
      <c r="B1864" s="83">
        <v>795</v>
      </c>
      <c r="C1864" s="84" t="s">
        <v>54</v>
      </c>
      <c r="D1864" s="84" t="s">
        <v>123</v>
      </c>
      <c r="E1864" s="84" t="s">
        <v>622</v>
      </c>
      <c r="F1864" s="84"/>
      <c r="G1864" s="87">
        <f>G1865</f>
        <v>0</v>
      </c>
      <c r="H1864" s="87">
        <v>0</v>
      </c>
      <c r="I1864" s="87">
        <v>0</v>
      </c>
      <c r="J1864" s="177"/>
      <c r="K1864" s="207"/>
      <c r="L1864" s="207"/>
    </row>
    <row r="1865" spans="1:18" ht="22.5" hidden="1" customHeight="1">
      <c r="A1865" s="82" t="s">
        <v>156</v>
      </c>
      <c r="B1865" s="83">
        <v>795</v>
      </c>
      <c r="C1865" s="84" t="s">
        <v>54</v>
      </c>
      <c r="D1865" s="84" t="s">
        <v>123</v>
      </c>
      <c r="E1865" s="84" t="s">
        <v>622</v>
      </c>
      <c r="F1865" s="84" t="s">
        <v>157</v>
      </c>
      <c r="G1865" s="87">
        <f>G1866</f>
        <v>0</v>
      </c>
      <c r="H1865" s="87">
        <v>0</v>
      </c>
      <c r="I1865" s="87">
        <v>0</v>
      </c>
      <c r="J1865" s="177"/>
      <c r="K1865" s="207"/>
      <c r="L1865" s="207"/>
    </row>
    <row r="1866" spans="1:18" ht="16.5" hidden="1" customHeight="1">
      <c r="A1866" s="82" t="s">
        <v>170</v>
      </c>
      <c r="B1866" s="83">
        <v>795</v>
      </c>
      <c r="C1866" s="84" t="s">
        <v>54</v>
      </c>
      <c r="D1866" s="84" t="s">
        <v>123</v>
      </c>
      <c r="E1866" s="84" t="s">
        <v>622</v>
      </c>
      <c r="F1866" s="84" t="s">
        <v>171</v>
      </c>
      <c r="G1866" s="87"/>
      <c r="H1866" s="87">
        <v>0</v>
      </c>
      <c r="I1866" s="87">
        <v>0</v>
      </c>
      <c r="J1866" s="177"/>
      <c r="K1866" s="207"/>
      <c r="L1866" s="207"/>
    </row>
    <row r="1867" spans="1:18" ht="48" hidden="1" customHeight="1">
      <c r="A1867" s="82" t="s">
        <v>607</v>
      </c>
      <c r="B1867" s="83">
        <v>795</v>
      </c>
      <c r="C1867" s="84" t="s">
        <v>54</v>
      </c>
      <c r="D1867" s="84" t="s">
        <v>123</v>
      </c>
      <c r="E1867" s="84" t="s">
        <v>407</v>
      </c>
      <c r="F1867" s="84"/>
      <c r="G1867" s="87">
        <f>G1868</f>
        <v>0</v>
      </c>
      <c r="H1867" s="87">
        <v>0</v>
      </c>
      <c r="I1867" s="87">
        <v>0</v>
      </c>
      <c r="J1867" s="177"/>
      <c r="K1867" s="207"/>
      <c r="L1867" s="207"/>
    </row>
    <row r="1868" spans="1:18" ht="22.5" hidden="1" customHeight="1">
      <c r="A1868" s="82" t="s">
        <v>156</v>
      </c>
      <c r="B1868" s="83">
        <v>795</v>
      </c>
      <c r="C1868" s="84" t="s">
        <v>54</v>
      </c>
      <c r="D1868" s="84" t="s">
        <v>123</v>
      </c>
      <c r="E1868" s="84" t="s">
        <v>407</v>
      </c>
      <c r="F1868" s="84" t="s">
        <v>157</v>
      </c>
      <c r="G1868" s="87">
        <f>G1869</f>
        <v>0</v>
      </c>
      <c r="H1868" s="87">
        <v>0</v>
      </c>
      <c r="I1868" s="87">
        <v>0</v>
      </c>
      <c r="J1868" s="177"/>
      <c r="K1868" s="207"/>
      <c r="L1868" s="207"/>
    </row>
    <row r="1869" spans="1:18" ht="16.5" hidden="1" customHeight="1">
      <c r="A1869" s="82" t="s">
        <v>170</v>
      </c>
      <c r="B1869" s="83">
        <v>795</v>
      </c>
      <c r="C1869" s="84" t="s">
        <v>54</v>
      </c>
      <c r="D1869" s="84" t="s">
        <v>123</v>
      </c>
      <c r="E1869" s="84" t="s">
        <v>407</v>
      </c>
      <c r="F1869" s="84" t="s">
        <v>171</v>
      </c>
      <c r="G1869" s="87"/>
      <c r="H1869" s="87">
        <v>0</v>
      </c>
      <c r="I1869" s="87">
        <v>0</v>
      </c>
      <c r="J1869" s="177"/>
      <c r="K1869" s="207"/>
      <c r="L1869" s="207"/>
    </row>
    <row r="1870" spans="1:18" s="18" customFormat="1" ht="122.25" hidden="1" customHeight="1">
      <c r="A1870" s="142" t="s">
        <v>675</v>
      </c>
      <c r="B1870" s="83">
        <v>795</v>
      </c>
      <c r="C1870" s="84" t="s">
        <v>54</v>
      </c>
      <c r="D1870" s="84" t="s">
        <v>123</v>
      </c>
      <c r="E1870" s="84" t="s">
        <v>624</v>
      </c>
      <c r="F1870" s="84"/>
      <c r="G1870" s="87">
        <f>G1871+G1873</f>
        <v>0</v>
      </c>
      <c r="H1870" s="87">
        <f t="shared" ref="H1870:I1870" si="474">H1871+H1873</f>
        <v>0</v>
      </c>
      <c r="I1870" s="87">
        <f t="shared" si="474"/>
        <v>0</v>
      </c>
      <c r="J1870" s="177"/>
      <c r="K1870" s="202"/>
      <c r="L1870" s="202"/>
      <c r="M1870" s="200"/>
      <c r="N1870" s="200"/>
      <c r="O1870" s="200"/>
      <c r="P1870" s="200"/>
      <c r="Q1870" s="200"/>
      <c r="R1870" s="200"/>
    </row>
    <row r="1871" spans="1:18" s="18" customFormat="1" ht="24.75" hidden="1" customHeight="1">
      <c r="A1871" s="82" t="s">
        <v>324</v>
      </c>
      <c r="B1871" s="83">
        <v>795</v>
      </c>
      <c r="C1871" s="84" t="s">
        <v>54</v>
      </c>
      <c r="D1871" s="84" t="s">
        <v>123</v>
      </c>
      <c r="E1871" s="84" t="s">
        <v>624</v>
      </c>
      <c r="F1871" s="84" t="s">
        <v>37</v>
      </c>
      <c r="G1871" s="87">
        <f t="shared" ref="G1871:I1871" si="475">G1872</f>
        <v>0</v>
      </c>
      <c r="H1871" s="87">
        <f t="shared" si="475"/>
        <v>0</v>
      </c>
      <c r="I1871" s="87">
        <f t="shared" si="475"/>
        <v>0</v>
      </c>
      <c r="J1871" s="177"/>
      <c r="K1871" s="202"/>
      <c r="L1871" s="202"/>
      <c r="M1871" s="200"/>
      <c r="N1871" s="200"/>
      <c r="O1871" s="200"/>
      <c r="P1871" s="200"/>
      <c r="Q1871" s="200"/>
      <c r="R1871" s="200"/>
    </row>
    <row r="1872" spans="1:18" s="18" customFormat="1" ht="30.75" hidden="1" customHeight="1">
      <c r="A1872" s="82" t="s">
        <v>38</v>
      </c>
      <c r="B1872" s="83">
        <v>795</v>
      </c>
      <c r="C1872" s="84" t="s">
        <v>54</v>
      </c>
      <c r="D1872" s="84" t="s">
        <v>123</v>
      </c>
      <c r="E1872" s="84" t="s">
        <v>624</v>
      </c>
      <c r="F1872" s="84" t="s">
        <v>39</v>
      </c>
      <c r="G1872" s="87">
        <f>5365800-50+268287.5-5634037.5</f>
        <v>0</v>
      </c>
      <c r="H1872" s="87"/>
      <c r="I1872" s="87"/>
      <c r="J1872" s="177"/>
      <c r="K1872" s="202"/>
      <c r="L1872" s="202"/>
      <c r="M1872" s="200"/>
      <c r="N1872" s="200"/>
      <c r="O1872" s="200"/>
      <c r="P1872" s="200"/>
      <c r="Q1872" s="200"/>
      <c r="R1872" s="200"/>
    </row>
    <row r="1873" spans="1:18" s="90" customFormat="1" ht="22.5" hidden="1" customHeight="1">
      <c r="A1873" s="82" t="s">
        <v>156</v>
      </c>
      <c r="B1873" s="83">
        <v>795</v>
      </c>
      <c r="C1873" s="84" t="s">
        <v>54</v>
      </c>
      <c r="D1873" s="84" t="s">
        <v>123</v>
      </c>
      <c r="E1873" s="84" t="s">
        <v>624</v>
      </c>
      <c r="F1873" s="84" t="s">
        <v>157</v>
      </c>
      <c r="G1873" s="87">
        <f>G1874</f>
        <v>0</v>
      </c>
      <c r="H1873" s="87">
        <f t="shared" ref="H1873:I1873" si="476">H1874</f>
        <v>0</v>
      </c>
      <c r="I1873" s="87">
        <f t="shared" si="476"/>
        <v>0</v>
      </c>
      <c r="J1873" s="177"/>
      <c r="K1873" s="207"/>
      <c r="L1873" s="207"/>
      <c r="M1873" s="186"/>
      <c r="N1873" s="186"/>
      <c r="O1873" s="186"/>
      <c r="P1873" s="186"/>
      <c r="Q1873" s="186"/>
      <c r="R1873" s="186"/>
    </row>
    <row r="1874" spans="1:18" s="90" customFormat="1" ht="16.5" hidden="1" customHeight="1">
      <c r="A1874" s="82" t="s">
        <v>178</v>
      </c>
      <c r="B1874" s="83">
        <v>795</v>
      </c>
      <c r="C1874" s="84" t="s">
        <v>54</v>
      </c>
      <c r="D1874" s="84" t="s">
        <v>123</v>
      </c>
      <c r="E1874" s="84" t="s">
        <v>624</v>
      </c>
      <c r="F1874" s="84" t="s">
        <v>179</v>
      </c>
      <c r="G1874" s="87"/>
      <c r="H1874" s="127"/>
      <c r="I1874" s="127"/>
      <c r="J1874" s="198"/>
      <c r="K1874" s="207"/>
      <c r="L1874" s="207"/>
      <c r="M1874" s="186"/>
      <c r="N1874" s="186"/>
      <c r="O1874" s="186"/>
      <c r="P1874" s="186"/>
      <c r="Q1874" s="186"/>
      <c r="R1874" s="186"/>
    </row>
    <row r="1875" spans="1:18" s="18" customFormat="1" ht="32.25" hidden="1" customHeight="1">
      <c r="A1875" s="82" t="s">
        <v>519</v>
      </c>
      <c r="B1875" s="83">
        <v>795</v>
      </c>
      <c r="C1875" s="84" t="s">
        <v>54</v>
      </c>
      <c r="D1875" s="84" t="s">
        <v>123</v>
      </c>
      <c r="E1875" s="84" t="s">
        <v>202</v>
      </c>
      <c r="F1875" s="84"/>
      <c r="G1875" s="87">
        <f t="shared" ref="G1875:I1880" si="477">G1876</f>
        <v>0</v>
      </c>
      <c r="H1875" s="87">
        <f t="shared" si="477"/>
        <v>0</v>
      </c>
      <c r="I1875" s="87">
        <f>I1876+I1879</f>
        <v>0</v>
      </c>
      <c r="J1875" s="177"/>
      <c r="K1875" s="202"/>
      <c r="L1875" s="202"/>
      <c r="M1875" s="200"/>
      <c r="N1875" s="200"/>
      <c r="O1875" s="200"/>
      <c r="P1875" s="200"/>
      <c r="Q1875" s="200"/>
      <c r="R1875" s="200"/>
    </row>
    <row r="1876" spans="1:18" s="18" customFormat="1" ht="56.25" hidden="1" customHeight="1">
      <c r="A1876" s="82" t="s">
        <v>794</v>
      </c>
      <c r="B1876" s="83">
        <v>795</v>
      </c>
      <c r="C1876" s="84" t="s">
        <v>54</v>
      </c>
      <c r="D1876" s="84" t="s">
        <v>123</v>
      </c>
      <c r="E1876" s="84" t="s">
        <v>419</v>
      </c>
      <c r="F1876" s="84"/>
      <c r="G1876" s="87">
        <f t="shared" si="477"/>
        <v>0</v>
      </c>
      <c r="H1876" s="87">
        <f t="shared" si="477"/>
        <v>0</v>
      </c>
      <c r="I1876" s="87">
        <f t="shared" si="477"/>
        <v>0</v>
      </c>
      <c r="J1876" s="177"/>
      <c r="K1876" s="202"/>
      <c r="L1876" s="202"/>
      <c r="M1876" s="200"/>
      <c r="N1876" s="200"/>
      <c r="O1876" s="200"/>
      <c r="P1876" s="200"/>
      <c r="Q1876" s="200"/>
      <c r="R1876" s="200"/>
    </row>
    <row r="1877" spans="1:18" s="18" customFormat="1" ht="39" hidden="1" customHeight="1">
      <c r="A1877" s="82" t="s">
        <v>96</v>
      </c>
      <c r="B1877" s="83">
        <v>795</v>
      </c>
      <c r="C1877" s="84" t="s">
        <v>54</v>
      </c>
      <c r="D1877" s="84" t="s">
        <v>123</v>
      </c>
      <c r="E1877" s="84" t="s">
        <v>419</v>
      </c>
      <c r="F1877" s="84" t="s">
        <v>349</v>
      </c>
      <c r="G1877" s="87">
        <f t="shared" si="477"/>
        <v>0</v>
      </c>
      <c r="H1877" s="87">
        <f t="shared" si="477"/>
        <v>0</v>
      </c>
      <c r="I1877" s="87">
        <f t="shared" si="477"/>
        <v>0</v>
      </c>
      <c r="J1877" s="177"/>
      <c r="K1877" s="202"/>
      <c r="L1877" s="202"/>
      <c r="M1877" s="200"/>
      <c r="N1877" s="200"/>
      <c r="O1877" s="200"/>
      <c r="P1877" s="200"/>
      <c r="Q1877" s="200"/>
      <c r="R1877" s="200"/>
    </row>
    <row r="1878" spans="1:18" s="18" customFormat="1" ht="15.75" hidden="1" customHeight="1">
      <c r="A1878" s="82" t="s">
        <v>350</v>
      </c>
      <c r="B1878" s="83">
        <v>795</v>
      </c>
      <c r="C1878" s="84" t="s">
        <v>54</v>
      </c>
      <c r="D1878" s="84" t="s">
        <v>123</v>
      </c>
      <c r="E1878" s="84" t="s">
        <v>419</v>
      </c>
      <c r="F1878" s="84" t="s">
        <v>351</v>
      </c>
      <c r="G1878" s="87"/>
      <c r="H1878" s="87"/>
      <c r="I1878" s="87"/>
      <c r="J1878" s="177"/>
      <c r="K1878" s="202"/>
      <c r="L1878" s="202"/>
      <c r="M1878" s="200"/>
      <c r="N1878" s="200"/>
      <c r="O1878" s="200"/>
      <c r="P1878" s="200"/>
      <c r="Q1878" s="200"/>
      <c r="R1878" s="200"/>
    </row>
    <row r="1879" spans="1:18" s="18" customFormat="1" ht="70.5" hidden="1" customHeight="1">
      <c r="A1879" s="82" t="s">
        <v>595</v>
      </c>
      <c r="B1879" s="83">
        <v>795</v>
      </c>
      <c r="C1879" s="84" t="s">
        <v>54</v>
      </c>
      <c r="D1879" s="84" t="s">
        <v>123</v>
      </c>
      <c r="E1879" s="84" t="s">
        <v>594</v>
      </c>
      <c r="F1879" s="84"/>
      <c r="G1879" s="87">
        <f t="shared" si="477"/>
        <v>0</v>
      </c>
      <c r="H1879" s="87">
        <f t="shared" si="477"/>
        <v>0</v>
      </c>
      <c r="I1879" s="87">
        <f t="shared" si="477"/>
        <v>0</v>
      </c>
      <c r="J1879" s="177"/>
      <c r="K1879" s="202"/>
      <c r="L1879" s="202"/>
      <c r="M1879" s="200"/>
      <c r="N1879" s="200"/>
      <c r="O1879" s="200"/>
      <c r="P1879" s="200"/>
      <c r="Q1879" s="200"/>
      <c r="R1879" s="200"/>
    </row>
    <row r="1880" spans="1:18" s="18" customFormat="1" ht="39" hidden="1" customHeight="1">
      <c r="A1880" s="82" t="s">
        <v>96</v>
      </c>
      <c r="B1880" s="83">
        <v>795</v>
      </c>
      <c r="C1880" s="84" t="s">
        <v>54</v>
      </c>
      <c r="D1880" s="84" t="s">
        <v>123</v>
      </c>
      <c r="E1880" s="84" t="s">
        <v>594</v>
      </c>
      <c r="F1880" s="84" t="s">
        <v>349</v>
      </c>
      <c r="G1880" s="87">
        <f t="shared" si="477"/>
        <v>0</v>
      </c>
      <c r="H1880" s="87">
        <f t="shared" si="477"/>
        <v>0</v>
      </c>
      <c r="I1880" s="87">
        <f t="shared" si="477"/>
        <v>0</v>
      </c>
      <c r="J1880" s="177"/>
      <c r="K1880" s="202"/>
      <c r="L1880" s="202"/>
      <c r="M1880" s="200"/>
      <c r="N1880" s="200"/>
      <c r="O1880" s="200"/>
      <c r="P1880" s="200"/>
      <c r="Q1880" s="200"/>
      <c r="R1880" s="200"/>
    </row>
    <row r="1881" spans="1:18" s="18" customFormat="1" ht="15.75" hidden="1" customHeight="1">
      <c r="A1881" s="82" t="s">
        <v>350</v>
      </c>
      <c r="B1881" s="83">
        <v>795</v>
      </c>
      <c r="C1881" s="84" t="s">
        <v>54</v>
      </c>
      <c r="D1881" s="84" t="s">
        <v>123</v>
      </c>
      <c r="E1881" s="84" t="s">
        <v>594</v>
      </c>
      <c r="F1881" s="84" t="s">
        <v>351</v>
      </c>
      <c r="G1881" s="87"/>
      <c r="H1881" s="87"/>
      <c r="I1881" s="87"/>
      <c r="J1881" s="177"/>
      <c r="K1881" s="202"/>
      <c r="L1881" s="202"/>
      <c r="M1881" s="200"/>
      <c r="N1881" s="200"/>
      <c r="O1881" s="200"/>
      <c r="P1881" s="200"/>
      <c r="Q1881" s="200"/>
      <c r="R1881" s="200"/>
    </row>
    <row r="1882" spans="1:18" ht="25.5" hidden="1">
      <c r="A1882" s="139" t="s">
        <v>169</v>
      </c>
      <c r="B1882" s="149">
        <v>793</v>
      </c>
      <c r="C1882" s="84" t="s">
        <v>54</v>
      </c>
      <c r="D1882" s="84" t="s">
        <v>123</v>
      </c>
      <c r="E1882" s="84" t="s">
        <v>234</v>
      </c>
      <c r="F1882" s="149"/>
      <c r="G1882" s="87">
        <f>G1883</f>
        <v>0</v>
      </c>
      <c r="H1882" s="87">
        <f t="shared" ref="H1882:I1882" si="478">H1883</f>
        <v>0</v>
      </c>
      <c r="I1882" s="87">
        <f t="shared" si="478"/>
        <v>0</v>
      </c>
      <c r="J1882" s="177"/>
      <c r="K1882" s="208"/>
      <c r="L1882" s="207"/>
    </row>
    <row r="1883" spans="1:18" ht="25.5" hidden="1">
      <c r="A1883" s="82" t="s">
        <v>324</v>
      </c>
      <c r="B1883" s="149">
        <v>793</v>
      </c>
      <c r="C1883" s="84" t="s">
        <v>54</v>
      </c>
      <c r="D1883" s="84" t="s">
        <v>123</v>
      </c>
      <c r="E1883" s="84" t="s">
        <v>276</v>
      </c>
      <c r="F1883" s="84" t="s">
        <v>37</v>
      </c>
      <c r="G1883" s="87">
        <f>G1884</f>
        <v>0</v>
      </c>
      <c r="H1883" s="87">
        <f>H1884</f>
        <v>0</v>
      </c>
      <c r="I1883" s="87">
        <f>I1884</f>
        <v>0</v>
      </c>
      <c r="J1883" s="177"/>
      <c r="K1883" s="208"/>
      <c r="L1883" s="207"/>
    </row>
    <row r="1884" spans="1:18" ht="35.25" hidden="1" customHeight="1">
      <c r="A1884" s="82" t="s">
        <v>38</v>
      </c>
      <c r="B1884" s="149">
        <v>793</v>
      </c>
      <c r="C1884" s="84" t="s">
        <v>54</v>
      </c>
      <c r="D1884" s="84" t="s">
        <v>123</v>
      </c>
      <c r="E1884" s="84" t="s">
        <v>276</v>
      </c>
      <c r="F1884" s="84" t="s">
        <v>39</v>
      </c>
      <c r="G1884" s="87"/>
      <c r="H1884" s="87"/>
      <c r="I1884" s="87"/>
      <c r="J1884" s="177"/>
      <c r="K1884" s="208"/>
      <c r="L1884" s="207"/>
    </row>
    <row r="1885" spans="1:18" s="28" customFormat="1" ht="24.75" hidden="1" customHeight="1">
      <c r="A1885" s="139" t="s">
        <v>169</v>
      </c>
      <c r="B1885" s="149">
        <v>793</v>
      </c>
      <c r="C1885" s="84" t="s">
        <v>54</v>
      </c>
      <c r="D1885" s="84" t="s">
        <v>123</v>
      </c>
      <c r="E1885" s="84" t="s">
        <v>234</v>
      </c>
      <c r="F1885" s="168"/>
      <c r="G1885" s="87">
        <f t="shared" ref="G1885:I1885" si="479">G1886</f>
        <v>0</v>
      </c>
      <c r="H1885" s="87">
        <f t="shared" si="479"/>
        <v>0</v>
      </c>
      <c r="I1885" s="87">
        <f t="shared" si="479"/>
        <v>0</v>
      </c>
      <c r="J1885" s="177"/>
      <c r="K1885" s="217"/>
      <c r="L1885" s="217"/>
      <c r="M1885" s="204"/>
      <c r="N1885" s="204"/>
      <c r="O1885" s="204"/>
      <c r="P1885" s="204"/>
      <c r="Q1885" s="204"/>
      <c r="R1885" s="204"/>
    </row>
    <row r="1886" spans="1:18" ht="25.5" hidden="1">
      <c r="A1886" s="139" t="s">
        <v>169</v>
      </c>
      <c r="B1886" s="83">
        <v>795</v>
      </c>
      <c r="C1886" s="84" t="s">
        <v>54</v>
      </c>
      <c r="D1886" s="84" t="s">
        <v>123</v>
      </c>
      <c r="E1886" s="84" t="s">
        <v>276</v>
      </c>
      <c r="F1886" s="84"/>
      <c r="G1886" s="87">
        <f>G1887+G1889</f>
        <v>0</v>
      </c>
      <c r="H1886" s="87">
        <f>H1887+H1889</f>
        <v>0</v>
      </c>
      <c r="I1886" s="87">
        <f>I1887+I1889</f>
        <v>0</v>
      </c>
      <c r="J1886" s="177"/>
      <c r="K1886" s="207"/>
      <c r="L1886" s="207"/>
    </row>
    <row r="1887" spans="1:18" hidden="1">
      <c r="A1887" s="82"/>
      <c r="B1887" s="83"/>
      <c r="C1887" s="84" t="s">
        <v>54</v>
      </c>
      <c r="D1887" s="84" t="s">
        <v>123</v>
      </c>
      <c r="E1887" s="84" t="s">
        <v>276</v>
      </c>
      <c r="F1887" s="84"/>
      <c r="G1887" s="87"/>
      <c r="H1887" s="87"/>
      <c r="I1887" s="87"/>
      <c r="J1887" s="177"/>
      <c r="K1887" s="207"/>
      <c r="L1887" s="207"/>
    </row>
    <row r="1888" spans="1:18" ht="30.75" hidden="1" customHeight="1">
      <c r="A1888" s="82"/>
      <c r="B1888" s="83"/>
      <c r="C1888" s="84" t="s">
        <v>54</v>
      </c>
      <c r="D1888" s="84" t="s">
        <v>123</v>
      </c>
      <c r="E1888" s="84" t="s">
        <v>276</v>
      </c>
      <c r="F1888" s="84"/>
      <c r="G1888" s="87"/>
      <c r="H1888" s="87"/>
      <c r="I1888" s="87"/>
      <c r="J1888" s="177"/>
      <c r="K1888" s="207"/>
      <c r="L1888" s="207"/>
    </row>
    <row r="1889" spans="1:18" ht="30.75" hidden="1" customHeight="1">
      <c r="A1889" s="82" t="s">
        <v>36</v>
      </c>
      <c r="B1889" s="83">
        <v>795</v>
      </c>
      <c r="C1889" s="84" t="s">
        <v>54</v>
      </c>
      <c r="D1889" s="84" t="s">
        <v>123</v>
      </c>
      <c r="E1889" s="84" t="s">
        <v>276</v>
      </c>
      <c r="F1889" s="84" t="s">
        <v>37</v>
      </c>
      <c r="G1889" s="87">
        <f>G1890</f>
        <v>0</v>
      </c>
      <c r="H1889" s="87">
        <f>H1890</f>
        <v>0</v>
      </c>
      <c r="I1889" s="87">
        <f>I1890</f>
        <v>0</v>
      </c>
      <c r="J1889" s="177"/>
      <c r="K1889" s="207"/>
      <c r="L1889" s="207"/>
    </row>
    <row r="1890" spans="1:18" ht="35.25" hidden="1" customHeight="1">
      <c r="A1890" s="82" t="s">
        <v>38</v>
      </c>
      <c r="B1890" s="83">
        <v>795</v>
      </c>
      <c r="C1890" s="84" t="s">
        <v>54</v>
      </c>
      <c r="D1890" s="84" t="s">
        <v>123</v>
      </c>
      <c r="E1890" s="84" t="s">
        <v>276</v>
      </c>
      <c r="F1890" s="84" t="s">
        <v>39</v>
      </c>
      <c r="G1890" s="87"/>
      <c r="H1890" s="87"/>
      <c r="I1890" s="87"/>
      <c r="J1890" s="177"/>
      <c r="K1890" s="207"/>
      <c r="L1890" s="207"/>
    </row>
    <row r="1891" spans="1:18" s="46" customFormat="1" ht="23.25" hidden="1" customHeight="1">
      <c r="A1891" s="82" t="s">
        <v>87</v>
      </c>
      <c r="B1891" s="83">
        <v>795</v>
      </c>
      <c r="C1891" s="147" t="s">
        <v>54</v>
      </c>
      <c r="D1891" s="147" t="s">
        <v>88</v>
      </c>
      <c r="E1891" s="84"/>
      <c r="F1891" s="84"/>
      <c r="G1891" s="87">
        <f>G1892</f>
        <v>0</v>
      </c>
      <c r="H1891" s="87">
        <f t="shared" ref="H1891:I1891" si="480">H1892</f>
        <v>0</v>
      </c>
      <c r="I1891" s="87">
        <f t="shared" si="480"/>
        <v>0</v>
      </c>
      <c r="J1891" s="177"/>
      <c r="K1891" s="207"/>
      <c r="L1891" s="207"/>
      <c r="M1891" s="222"/>
      <c r="N1891" s="222"/>
      <c r="O1891" s="222"/>
      <c r="P1891" s="222"/>
      <c r="Q1891" s="222"/>
      <c r="R1891" s="222"/>
    </row>
    <row r="1892" spans="1:18" s="22" customFormat="1" ht="57" hidden="1" customHeight="1">
      <c r="A1892" s="82" t="s">
        <v>495</v>
      </c>
      <c r="B1892" s="83">
        <v>795</v>
      </c>
      <c r="C1892" s="147" t="s">
        <v>54</v>
      </c>
      <c r="D1892" s="147" t="s">
        <v>88</v>
      </c>
      <c r="E1892" s="148" t="s">
        <v>296</v>
      </c>
      <c r="F1892" s="147"/>
      <c r="G1892" s="93">
        <f>G1893</f>
        <v>0</v>
      </c>
      <c r="H1892" s="93">
        <f>H1893</f>
        <v>0</v>
      </c>
      <c r="I1892" s="93">
        <f>I1893</f>
        <v>0</v>
      </c>
      <c r="J1892" s="195"/>
      <c r="K1892" s="207"/>
      <c r="L1892" s="207"/>
      <c r="M1892" s="207"/>
      <c r="N1892" s="207"/>
      <c r="O1892" s="207"/>
      <c r="P1892" s="207"/>
      <c r="Q1892" s="207"/>
      <c r="R1892" s="207"/>
    </row>
    <row r="1893" spans="1:18" s="22" customFormat="1" ht="25.5" hidden="1">
      <c r="A1893" s="82" t="s">
        <v>76</v>
      </c>
      <c r="B1893" s="83">
        <v>795</v>
      </c>
      <c r="C1893" s="147" t="s">
        <v>54</v>
      </c>
      <c r="D1893" s="147" t="s">
        <v>88</v>
      </c>
      <c r="E1893" s="148" t="s">
        <v>283</v>
      </c>
      <c r="F1893" s="147"/>
      <c r="G1893" s="93">
        <f>G1894+G1897+G1898</f>
        <v>0</v>
      </c>
      <c r="H1893" s="93">
        <f t="shared" ref="H1893:I1893" si="481">H1894+H1897+H1898</f>
        <v>0</v>
      </c>
      <c r="I1893" s="93">
        <f t="shared" si="481"/>
        <v>0</v>
      </c>
      <c r="J1893" s="195"/>
      <c r="K1893" s="207"/>
      <c r="L1893" s="207"/>
      <c r="M1893" s="207"/>
      <c r="N1893" s="207"/>
      <c r="O1893" s="207"/>
      <c r="P1893" s="207"/>
      <c r="Q1893" s="207"/>
      <c r="R1893" s="207"/>
    </row>
    <row r="1894" spans="1:18" s="22" customFormat="1" ht="63.75" hidden="1">
      <c r="A1894" s="146" t="s">
        <v>55</v>
      </c>
      <c r="B1894" s="83">
        <v>795</v>
      </c>
      <c r="C1894" s="147" t="s">
        <v>54</v>
      </c>
      <c r="D1894" s="147" t="s">
        <v>88</v>
      </c>
      <c r="E1894" s="148" t="s">
        <v>283</v>
      </c>
      <c r="F1894" s="148" t="s">
        <v>58</v>
      </c>
      <c r="G1894" s="93">
        <f>G1895</f>
        <v>0</v>
      </c>
      <c r="H1894" s="93">
        <f>H1895</f>
        <v>0</v>
      </c>
      <c r="I1894" s="93">
        <f>I1895</f>
        <v>0</v>
      </c>
      <c r="J1894" s="195"/>
      <c r="K1894" s="207"/>
      <c r="L1894" s="207"/>
      <c r="M1894" s="207"/>
      <c r="N1894" s="207"/>
      <c r="O1894" s="207"/>
      <c r="P1894" s="207"/>
      <c r="Q1894" s="207"/>
      <c r="R1894" s="207"/>
    </row>
    <row r="1895" spans="1:18" s="22" customFormat="1" ht="25.5" hidden="1">
      <c r="A1895" s="146" t="s">
        <v>56</v>
      </c>
      <c r="B1895" s="83">
        <v>795</v>
      </c>
      <c r="C1895" s="147" t="s">
        <v>54</v>
      </c>
      <c r="D1895" s="147" t="s">
        <v>88</v>
      </c>
      <c r="E1895" s="148" t="s">
        <v>283</v>
      </c>
      <c r="F1895" s="148" t="s">
        <v>59</v>
      </c>
      <c r="G1895" s="93"/>
      <c r="H1895" s="93"/>
      <c r="I1895" s="93"/>
      <c r="J1895" s="195"/>
      <c r="K1895" s="207"/>
      <c r="L1895" s="207"/>
      <c r="M1895" s="207"/>
      <c r="N1895" s="207"/>
      <c r="O1895" s="207"/>
      <c r="P1895" s="207"/>
      <c r="Q1895" s="207"/>
      <c r="R1895" s="207"/>
    </row>
    <row r="1896" spans="1:18" ht="25.5" hidden="1">
      <c r="A1896" s="82" t="s">
        <v>36</v>
      </c>
      <c r="B1896" s="83">
        <v>795</v>
      </c>
      <c r="C1896" s="147" t="s">
        <v>54</v>
      </c>
      <c r="D1896" s="147" t="s">
        <v>88</v>
      </c>
      <c r="E1896" s="148" t="s">
        <v>283</v>
      </c>
      <c r="F1896" s="84" t="s">
        <v>37</v>
      </c>
      <c r="G1896" s="87">
        <f>G1897</f>
        <v>0</v>
      </c>
      <c r="H1896" s="87">
        <f t="shared" ref="H1896:I1896" si="482">H1897</f>
        <v>0</v>
      </c>
      <c r="I1896" s="87">
        <f t="shared" si="482"/>
        <v>0</v>
      </c>
      <c r="J1896" s="177"/>
      <c r="K1896" s="207"/>
      <c r="L1896" s="207"/>
    </row>
    <row r="1897" spans="1:18" ht="25.5" hidden="1">
      <c r="A1897" s="82" t="s">
        <v>38</v>
      </c>
      <c r="B1897" s="83">
        <v>795</v>
      </c>
      <c r="C1897" s="147" t="s">
        <v>54</v>
      </c>
      <c r="D1897" s="147" t="s">
        <v>88</v>
      </c>
      <c r="E1897" s="148" t="s">
        <v>283</v>
      </c>
      <c r="F1897" s="84" t="s">
        <v>39</v>
      </c>
      <c r="G1897" s="87"/>
      <c r="H1897" s="87"/>
      <c r="I1897" s="87"/>
      <c r="J1897" s="177"/>
      <c r="K1897" s="207"/>
      <c r="L1897" s="207"/>
    </row>
    <row r="1898" spans="1:18" s="46" customFormat="1" hidden="1">
      <c r="A1898" s="82" t="s">
        <v>63</v>
      </c>
      <c r="B1898" s="149">
        <v>795</v>
      </c>
      <c r="C1898" s="147" t="s">
        <v>54</v>
      </c>
      <c r="D1898" s="147" t="s">
        <v>88</v>
      </c>
      <c r="E1898" s="148" t="s">
        <v>283</v>
      </c>
      <c r="F1898" s="84" t="s">
        <v>64</v>
      </c>
      <c r="G1898" s="87">
        <f>G1899</f>
        <v>0</v>
      </c>
      <c r="H1898" s="87">
        <f>H1899</f>
        <v>0</v>
      </c>
      <c r="I1898" s="87">
        <f>I1899</f>
        <v>0</v>
      </c>
      <c r="J1898" s="177"/>
      <c r="K1898" s="207"/>
      <c r="L1898" s="207"/>
      <c r="M1898" s="222"/>
      <c r="N1898" s="222"/>
      <c r="O1898" s="222"/>
      <c r="P1898" s="222"/>
      <c r="Q1898" s="222"/>
      <c r="R1898" s="222"/>
    </row>
    <row r="1899" spans="1:18" s="46" customFormat="1" hidden="1">
      <c r="A1899" s="82" t="s">
        <v>144</v>
      </c>
      <c r="B1899" s="149">
        <v>795</v>
      </c>
      <c r="C1899" s="147" t="s">
        <v>54</v>
      </c>
      <c r="D1899" s="147" t="s">
        <v>88</v>
      </c>
      <c r="E1899" s="148" t="s">
        <v>283</v>
      </c>
      <c r="F1899" s="84" t="s">
        <v>67</v>
      </c>
      <c r="G1899" s="87"/>
      <c r="H1899" s="87"/>
      <c r="I1899" s="87"/>
      <c r="J1899" s="177"/>
      <c r="K1899" s="207"/>
      <c r="L1899" s="207"/>
      <c r="M1899" s="222"/>
      <c r="N1899" s="222"/>
      <c r="O1899" s="222"/>
      <c r="P1899" s="222"/>
      <c r="Q1899" s="222"/>
      <c r="R1899" s="222"/>
    </row>
    <row r="1900" spans="1:18" hidden="1">
      <c r="A1900" s="134" t="s">
        <v>347</v>
      </c>
      <c r="B1900" s="275">
        <v>795</v>
      </c>
      <c r="C1900" s="272" t="s">
        <v>173</v>
      </c>
      <c r="D1900" s="272"/>
      <c r="E1900" s="272"/>
      <c r="F1900" s="272"/>
      <c r="G1900" s="269">
        <f>G1930+G1901+G2007+G2030</f>
        <v>0</v>
      </c>
      <c r="H1900" s="269">
        <f>H1930+H1901+H2007+H2030</f>
        <v>0</v>
      </c>
      <c r="I1900" s="269">
        <f>I1930+I1901+I2007+I2030</f>
        <v>0</v>
      </c>
      <c r="J1900" s="191"/>
      <c r="K1900" s="207"/>
      <c r="L1900" s="207"/>
    </row>
    <row r="1901" spans="1:18" hidden="1">
      <c r="A1901" s="132" t="s">
        <v>174</v>
      </c>
      <c r="B1901" s="83">
        <v>795</v>
      </c>
      <c r="C1901" s="153" t="s">
        <v>173</v>
      </c>
      <c r="D1901" s="153" t="s">
        <v>19</v>
      </c>
      <c r="E1901" s="272"/>
      <c r="F1901" s="272"/>
      <c r="G1901" s="94">
        <f>G1902+G1915+G1925</f>
        <v>0</v>
      </c>
      <c r="H1901" s="94">
        <f>H1902+H1915+H1925</f>
        <v>0</v>
      </c>
      <c r="I1901" s="94">
        <f>I1902+I1915+I1925</f>
        <v>0</v>
      </c>
      <c r="J1901" s="194"/>
      <c r="K1901" s="207"/>
      <c r="L1901" s="207"/>
    </row>
    <row r="1902" spans="1:18" s="3" customFormat="1" ht="52.5" hidden="1" customHeight="1">
      <c r="A1902" s="82" t="s">
        <v>495</v>
      </c>
      <c r="B1902" s="83">
        <v>795</v>
      </c>
      <c r="C1902" s="84" t="s">
        <v>173</v>
      </c>
      <c r="D1902" s="84" t="s">
        <v>19</v>
      </c>
      <c r="E1902" s="84" t="s">
        <v>296</v>
      </c>
      <c r="F1902" s="84"/>
      <c r="G1902" s="87">
        <f>G1903+G1906+G1909+G1912</f>
        <v>0</v>
      </c>
      <c r="H1902" s="87">
        <f t="shared" ref="H1902:I1902" si="483">H1903+H1906+H1909+H1912</f>
        <v>0</v>
      </c>
      <c r="I1902" s="87">
        <f t="shared" si="483"/>
        <v>0</v>
      </c>
      <c r="J1902" s="177"/>
      <c r="K1902" s="207"/>
      <c r="L1902" s="207"/>
      <c r="M1902" s="199"/>
      <c r="N1902" s="199"/>
      <c r="O1902" s="199"/>
      <c r="P1902" s="199"/>
      <c r="Q1902" s="199"/>
      <c r="R1902" s="199"/>
    </row>
    <row r="1903" spans="1:18" s="18" customFormat="1" ht="63" hidden="1" customHeight="1">
      <c r="A1903" s="82" t="s">
        <v>81</v>
      </c>
      <c r="B1903" s="83">
        <v>795</v>
      </c>
      <c r="C1903" s="84" t="s">
        <v>173</v>
      </c>
      <c r="D1903" s="84" t="s">
        <v>19</v>
      </c>
      <c r="E1903" s="84" t="s">
        <v>80</v>
      </c>
      <c r="F1903" s="84"/>
      <c r="G1903" s="87">
        <f t="shared" ref="G1903:I1904" si="484">G1904</f>
        <v>0</v>
      </c>
      <c r="H1903" s="87">
        <f t="shared" si="484"/>
        <v>0</v>
      </c>
      <c r="I1903" s="87">
        <f t="shared" si="484"/>
        <v>0</v>
      </c>
      <c r="J1903" s="177"/>
      <c r="K1903" s="202"/>
      <c r="L1903" s="202"/>
      <c r="M1903" s="200"/>
      <c r="N1903" s="200"/>
      <c r="O1903" s="200"/>
      <c r="P1903" s="200"/>
      <c r="Q1903" s="200"/>
      <c r="R1903" s="200"/>
    </row>
    <row r="1904" spans="1:18" ht="30.75" hidden="1" customHeight="1">
      <c r="A1904" s="82" t="s">
        <v>36</v>
      </c>
      <c r="B1904" s="83">
        <v>795</v>
      </c>
      <c r="C1904" s="84" t="s">
        <v>173</v>
      </c>
      <c r="D1904" s="84" t="s">
        <v>19</v>
      </c>
      <c r="E1904" s="84" t="s">
        <v>80</v>
      </c>
      <c r="F1904" s="84" t="s">
        <v>37</v>
      </c>
      <c r="G1904" s="87">
        <f t="shared" si="484"/>
        <v>0</v>
      </c>
      <c r="H1904" s="87">
        <f t="shared" si="484"/>
        <v>0</v>
      </c>
      <c r="I1904" s="87">
        <f t="shared" si="484"/>
        <v>0</v>
      </c>
      <c r="J1904" s="177"/>
      <c r="K1904" s="207"/>
      <c r="L1904" s="207"/>
    </row>
    <row r="1905" spans="1:18" s="18" customFormat="1" ht="34.5" hidden="1" customHeight="1">
      <c r="A1905" s="82" t="s">
        <v>38</v>
      </c>
      <c r="B1905" s="83">
        <v>795</v>
      </c>
      <c r="C1905" s="84" t="s">
        <v>173</v>
      </c>
      <c r="D1905" s="84" t="s">
        <v>19</v>
      </c>
      <c r="E1905" s="84" t="s">
        <v>80</v>
      </c>
      <c r="F1905" s="84" t="s">
        <v>39</v>
      </c>
      <c r="G1905" s="87"/>
      <c r="H1905" s="87"/>
      <c r="I1905" s="87"/>
      <c r="J1905" s="177"/>
      <c r="K1905" s="202"/>
      <c r="L1905" s="202"/>
      <c r="M1905" s="200"/>
      <c r="N1905" s="200"/>
      <c r="O1905" s="200"/>
      <c r="P1905" s="200"/>
      <c r="Q1905" s="200"/>
      <c r="R1905" s="200"/>
    </row>
    <row r="1906" spans="1:18" s="18" customFormat="1" ht="20.25" hidden="1" customHeight="1">
      <c r="A1906" s="82" t="s">
        <v>83</v>
      </c>
      <c r="B1906" s="83">
        <v>795</v>
      </c>
      <c r="C1906" s="84" t="s">
        <v>173</v>
      </c>
      <c r="D1906" s="84" t="s">
        <v>19</v>
      </c>
      <c r="E1906" s="84" t="s">
        <v>82</v>
      </c>
      <c r="F1906" s="84"/>
      <c r="G1906" s="87">
        <f t="shared" ref="G1906:I1907" si="485">G1907</f>
        <v>0</v>
      </c>
      <c r="H1906" s="87">
        <f t="shared" si="485"/>
        <v>0</v>
      </c>
      <c r="I1906" s="87">
        <f t="shared" si="485"/>
        <v>0</v>
      </c>
      <c r="J1906" s="177"/>
      <c r="K1906" s="202"/>
      <c r="L1906" s="202"/>
      <c r="M1906" s="200"/>
      <c r="N1906" s="200"/>
      <c r="O1906" s="200"/>
      <c r="P1906" s="200"/>
      <c r="Q1906" s="200"/>
      <c r="R1906" s="200"/>
    </row>
    <row r="1907" spans="1:18" ht="30.75" hidden="1" customHeight="1">
      <c r="A1907" s="82" t="s">
        <v>36</v>
      </c>
      <c r="B1907" s="83">
        <v>795</v>
      </c>
      <c r="C1907" s="84" t="s">
        <v>173</v>
      </c>
      <c r="D1907" s="84" t="s">
        <v>19</v>
      </c>
      <c r="E1907" s="84" t="s">
        <v>82</v>
      </c>
      <c r="F1907" s="84" t="s">
        <v>37</v>
      </c>
      <c r="G1907" s="87">
        <f t="shared" si="485"/>
        <v>0</v>
      </c>
      <c r="H1907" s="87">
        <f t="shared" si="485"/>
        <v>0</v>
      </c>
      <c r="I1907" s="87">
        <f t="shared" si="485"/>
        <v>0</v>
      </c>
      <c r="J1907" s="177"/>
      <c r="K1907" s="207"/>
      <c r="L1907" s="207"/>
    </row>
    <row r="1908" spans="1:18" s="18" customFormat="1" ht="34.5" hidden="1" customHeight="1">
      <c r="A1908" s="82" t="s">
        <v>38</v>
      </c>
      <c r="B1908" s="83">
        <v>795</v>
      </c>
      <c r="C1908" s="84" t="s">
        <v>173</v>
      </c>
      <c r="D1908" s="84" t="s">
        <v>19</v>
      </c>
      <c r="E1908" s="84" t="s">
        <v>82</v>
      </c>
      <c r="F1908" s="84" t="s">
        <v>39</v>
      </c>
      <c r="G1908" s="87"/>
      <c r="H1908" s="87"/>
      <c r="I1908" s="87"/>
      <c r="J1908" s="177"/>
      <c r="K1908" s="202"/>
      <c r="L1908" s="202"/>
      <c r="M1908" s="200"/>
      <c r="N1908" s="200"/>
      <c r="O1908" s="200"/>
      <c r="P1908" s="200"/>
      <c r="Q1908" s="200"/>
      <c r="R1908" s="200"/>
    </row>
    <row r="1909" spans="1:18" s="18" customFormat="1" ht="20.25" hidden="1" customHeight="1">
      <c r="A1909" s="82" t="s">
        <v>85</v>
      </c>
      <c r="B1909" s="83">
        <v>795</v>
      </c>
      <c r="C1909" s="84" t="s">
        <v>173</v>
      </c>
      <c r="D1909" s="84" t="s">
        <v>19</v>
      </c>
      <c r="E1909" s="84" t="s">
        <v>84</v>
      </c>
      <c r="F1909" s="84"/>
      <c r="G1909" s="87">
        <f t="shared" ref="G1909:I1910" si="486">G1910</f>
        <v>0</v>
      </c>
      <c r="H1909" s="87">
        <f t="shared" si="486"/>
        <v>0</v>
      </c>
      <c r="I1909" s="87">
        <f t="shared" si="486"/>
        <v>0</v>
      </c>
      <c r="J1909" s="177"/>
      <c r="K1909" s="202"/>
      <c r="L1909" s="202"/>
      <c r="M1909" s="200"/>
      <c r="N1909" s="200"/>
      <c r="O1909" s="200"/>
      <c r="P1909" s="200"/>
      <c r="Q1909" s="200"/>
      <c r="R1909" s="200"/>
    </row>
    <row r="1910" spans="1:18" ht="30.75" hidden="1" customHeight="1">
      <c r="A1910" s="82" t="s">
        <v>36</v>
      </c>
      <c r="B1910" s="83">
        <v>795</v>
      </c>
      <c r="C1910" s="84" t="s">
        <v>173</v>
      </c>
      <c r="D1910" s="84" t="s">
        <v>19</v>
      </c>
      <c r="E1910" s="84" t="s">
        <v>84</v>
      </c>
      <c r="F1910" s="84" t="s">
        <v>37</v>
      </c>
      <c r="G1910" s="87">
        <f t="shared" si="486"/>
        <v>0</v>
      </c>
      <c r="H1910" s="87">
        <f t="shared" si="486"/>
        <v>0</v>
      </c>
      <c r="I1910" s="87">
        <f t="shared" si="486"/>
        <v>0</v>
      </c>
      <c r="J1910" s="177"/>
      <c r="K1910" s="207"/>
      <c r="L1910" s="207"/>
    </row>
    <row r="1911" spans="1:18" s="18" customFormat="1" ht="34.5" hidden="1" customHeight="1">
      <c r="A1911" s="82" t="s">
        <v>38</v>
      </c>
      <c r="B1911" s="83">
        <v>795</v>
      </c>
      <c r="C1911" s="84" t="s">
        <v>173</v>
      </c>
      <c r="D1911" s="84" t="s">
        <v>19</v>
      </c>
      <c r="E1911" s="84" t="s">
        <v>84</v>
      </c>
      <c r="F1911" s="84" t="s">
        <v>39</v>
      </c>
      <c r="G1911" s="87"/>
      <c r="H1911" s="87"/>
      <c r="I1911" s="87"/>
      <c r="J1911" s="177"/>
      <c r="K1911" s="202"/>
      <c r="L1911" s="202"/>
      <c r="M1911" s="200"/>
      <c r="N1911" s="200"/>
      <c r="O1911" s="200"/>
      <c r="P1911" s="200"/>
      <c r="Q1911" s="200"/>
      <c r="R1911" s="200"/>
    </row>
    <row r="1912" spans="1:18" s="46" customFormat="1" ht="24" hidden="1" customHeight="1">
      <c r="A1912" s="82" t="s">
        <v>538</v>
      </c>
      <c r="B1912" s="83">
        <v>795</v>
      </c>
      <c r="C1912" s="153" t="s">
        <v>173</v>
      </c>
      <c r="D1912" s="153" t="s">
        <v>19</v>
      </c>
      <c r="E1912" s="84" t="s">
        <v>537</v>
      </c>
      <c r="F1912" s="84"/>
      <c r="G1912" s="87">
        <f t="shared" ref="G1912:I1913" si="487">G1913</f>
        <v>0</v>
      </c>
      <c r="H1912" s="87">
        <f t="shared" si="487"/>
        <v>0</v>
      </c>
      <c r="I1912" s="87">
        <f t="shared" si="487"/>
        <v>0</v>
      </c>
      <c r="J1912" s="177"/>
      <c r="K1912" s="207"/>
      <c r="L1912" s="207"/>
      <c r="M1912" s="222"/>
      <c r="N1912" s="222"/>
      <c r="O1912" s="222"/>
      <c r="P1912" s="222"/>
      <c r="Q1912" s="222"/>
      <c r="R1912" s="222"/>
    </row>
    <row r="1913" spans="1:18" s="46" customFormat="1" ht="28.5" hidden="1" customHeight="1">
      <c r="A1913" s="82" t="s">
        <v>324</v>
      </c>
      <c r="B1913" s="83">
        <v>795</v>
      </c>
      <c r="C1913" s="153" t="s">
        <v>173</v>
      </c>
      <c r="D1913" s="153" t="s">
        <v>19</v>
      </c>
      <c r="E1913" s="84" t="s">
        <v>537</v>
      </c>
      <c r="F1913" s="84" t="s">
        <v>37</v>
      </c>
      <c r="G1913" s="87">
        <f t="shared" si="487"/>
        <v>0</v>
      </c>
      <c r="H1913" s="87">
        <f t="shared" si="487"/>
        <v>0</v>
      </c>
      <c r="I1913" s="87">
        <f t="shared" si="487"/>
        <v>0</v>
      </c>
      <c r="J1913" s="177"/>
      <c r="K1913" s="207"/>
      <c r="L1913" s="207"/>
      <c r="M1913" s="222"/>
      <c r="N1913" s="222"/>
      <c r="O1913" s="222"/>
      <c r="P1913" s="222"/>
      <c r="Q1913" s="222"/>
      <c r="R1913" s="222"/>
    </row>
    <row r="1914" spans="1:18" s="46" customFormat="1" ht="28.5" hidden="1" customHeight="1">
      <c r="A1914" s="82" t="s">
        <v>38</v>
      </c>
      <c r="B1914" s="83">
        <v>795</v>
      </c>
      <c r="C1914" s="153" t="s">
        <v>173</v>
      </c>
      <c r="D1914" s="153" t="s">
        <v>19</v>
      </c>
      <c r="E1914" s="84" t="s">
        <v>537</v>
      </c>
      <c r="F1914" s="84" t="s">
        <v>39</v>
      </c>
      <c r="G1914" s="87"/>
      <c r="H1914" s="87">
        <v>0</v>
      </c>
      <c r="I1914" s="87">
        <v>0</v>
      </c>
      <c r="J1914" s="177"/>
      <c r="K1914" s="207"/>
      <c r="L1914" s="207"/>
      <c r="M1914" s="222"/>
      <c r="N1914" s="222"/>
      <c r="O1914" s="222"/>
      <c r="P1914" s="222"/>
      <c r="Q1914" s="222"/>
      <c r="R1914" s="222"/>
    </row>
    <row r="1915" spans="1:18" s="18" customFormat="1" ht="51" hidden="1">
      <c r="A1915" s="82" t="s">
        <v>514</v>
      </c>
      <c r="B1915" s="83">
        <v>795</v>
      </c>
      <c r="C1915" s="153" t="s">
        <v>173</v>
      </c>
      <c r="D1915" s="153" t="s">
        <v>19</v>
      </c>
      <c r="E1915" s="84" t="s">
        <v>214</v>
      </c>
      <c r="F1915" s="84"/>
      <c r="G1915" s="87">
        <f>G1916+G1922+G1919</f>
        <v>0</v>
      </c>
      <c r="H1915" s="87">
        <f t="shared" ref="H1915:I1915" si="488">H1916+H1922+H1919</f>
        <v>0</v>
      </c>
      <c r="I1915" s="87">
        <f t="shared" si="488"/>
        <v>0</v>
      </c>
      <c r="J1915" s="177"/>
      <c r="K1915" s="202"/>
      <c r="L1915" s="202"/>
      <c r="M1915" s="200"/>
      <c r="N1915" s="200"/>
      <c r="O1915" s="200"/>
      <c r="P1915" s="200"/>
      <c r="Q1915" s="200"/>
      <c r="R1915" s="200"/>
    </row>
    <row r="1916" spans="1:18" s="18" customFormat="1" ht="89.25" hidden="1">
      <c r="A1916" s="82" t="s">
        <v>439</v>
      </c>
      <c r="B1916" s="83">
        <v>795</v>
      </c>
      <c r="C1916" s="153" t="s">
        <v>173</v>
      </c>
      <c r="D1916" s="153" t="s">
        <v>19</v>
      </c>
      <c r="E1916" s="84" t="s">
        <v>525</v>
      </c>
      <c r="F1916" s="84"/>
      <c r="G1916" s="87">
        <f>G1917</f>
        <v>0</v>
      </c>
      <c r="H1916" s="87">
        <f t="shared" ref="H1916:I1920" si="489">H1917</f>
        <v>0</v>
      </c>
      <c r="I1916" s="87">
        <f t="shared" si="489"/>
        <v>0</v>
      </c>
      <c r="J1916" s="177"/>
      <c r="K1916" s="202"/>
      <c r="L1916" s="202"/>
      <c r="M1916" s="200"/>
      <c r="N1916" s="200"/>
      <c r="O1916" s="200"/>
      <c r="P1916" s="200"/>
      <c r="Q1916" s="200"/>
      <c r="R1916" s="200"/>
    </row>
    <row r="1917" spans="1:18" s="18" customFormat="1" ht="23.25" hidden="1" customHeight="1">
      <c r="A1917" s="82" t="s">
        <v>63</v>
      </c>
      <c r="B1917" s="83">
        <v>795</v>
      </c>
      <c r="C1917" s="153" t="s">
        <v>173</v>
      </c>
      <c r="D1917" s="153" t="s">
        <v>19</v>
      </c>
      <c r="E1917" s="84" t="s">
        <v>525</v>
      </c>
      <c r="F1917" s="84" t="s">
        <v>64</v>
      </c>
      <c r="G1917" s="87">
        <f>G1918</f>
        <v>0</v>
      </c>
      <c r="H1917" s="87">
        <f t="shared" si="489"/>
        <v>0</v>
      </c>
      <c r="I1917" s="87">
        <f t="shared" si="489"/>
        <v>0</v>
      </c>
      <c r="J1917" s="177"/>
      <c r="K1917" s="202"/>
      <c r="L1917" s="202"/>
      <c r="M1917" s="200"/>
      <c r="N1917" s="200"/>
      <c r="O1917" s="200"/>
      <c r="P1917" s="200"/>
      <c r="Q1917" s="200"/>
      <c r="R1917" s="200"/>
    </row>
    <row r="1918" spans="1:18" s="18" customFormat="1" ht="20.25" hidden="1" customHeight="1">
      <c r="A1918" s="133" t="s">
        <v>144</v>
      </c>
      <c r="B1918" s="83">
        <v>795</v>
      </c>
      <c r="C1918" s="153" t="s">
        <v>173</v>
      </c>
      <c r="D1918" s="153" t="s">
        <v>19</v>
      </c>
      <c r="E1918" s="84" t="s">
        <v>525</v>
      </c>
      <c r="F1918" s="84" t="s">
        <v>67</v>
      </c>
      <c r="G1918" s="87"/>
      <c r="H1918" s="87"/>
      <c r="I1918" s="87"/>
      <c r="J1918" s="177"/>
      <c r="K1918" s="202"/>
      <c r="L1918" s="202"/>
      <c r="M1918" s="200"/>
      <c r="N1918" s="200"/>
      <c r="O1918" s="200"/>
      <c r="P1918" s="200"/>
      <c r="Q1918" s="200"/>
      <c r="R1918" s="200"/>
    </row>
    <row r="1919" spans="1:18" s="18" customFormat="1" ht="76.5" hidden="1">
      <c r="A1919" s="82" t="s">
        <v>440</v>
      </c>
      <c r="B1919" s="83">
        <v>795</v>
      </c>
      <c r="C1919" s="153" t="s">
        <v>173</v>
      </c>
      <c r="D1919" s="153" t="s">
        <v>19</v>
      </c>
      <c r="E1919" s="84" t="s">
        <v>526</v>
      </c>
      <c r="F1919" s="84"/>
      <c r="G1919" s="87">
        <f>G1920</f>
        <v>0</v>
      </c>
      <c r="H1919" s="87">
        <f t="shared" si="489"/>
        <v>0</v>
      </c>
      <c r="I1919" s="87">
        <f t="shared" si="489"/>
        <v>0</v>
      </c>
      <c r="J1919" s="177"/>
      <c r="K1919" s="202"/>
      <c r="L1919" s="202"/>
      <c r="M1919" s="200"/>
      <c r="N1919" s="200"/>
      <c r="O1919" s="200"/>
      <c r="P1919" s="200"/>
      <c r="Q1919" s="200"/>
      <c r="R1919" s="200"/>
    </row>
    <row r="1920" spans="1:18" s="18" customFormat="1" ht="22.5" hidden="1" customHeight="1">
      <c r="A1920" s="82" t="s">
        <v>63</v>
      </c>
      <c r="B1920" s="83">
        <v>795</v>
      </c>
      <c r="C1920" s="153" t="s">
        <v>173</v>
      </c>
      <c r="D1920" s="153" t="s">
        <v>19</v>
      </c>
      <c r="E1920" s="84" t="s">
        <v>526</v>
      </c>
      <c r="F1920" s="84" t="s">
        <v>64</v>
      </c>
      <c r="G1920" s="87">
        <f>G1921</f>
        <v>0</v>
      </c>
      <c r="H1920" s="87">
        <f t="shared" si="489"/>
        <v>0</v>
      </c>
      <c r="I1920" s="87">
        <f t="shared" si="489"/>
        <v>0</v>
      </c>
      <c r="J1920" s="177"/>
      <c r="K1920" s="202"/>
      <c r="L1920" s="202"/>
      <c r="M1920" s="200"/>
      <c r="N1920" s="200"/>
      <c r="O1920" s="200"/>
      <c r="P1920" s="200"/>
      <c r="Q1920" s="200"/>
      <c r="R1920" s="200"/>
    </row>
    <row r="1921" spans="1:18" s="18" customFormat="1" ht="17.25" hidden="1" customHeight="1">
      <c r="A1921" s="133" t="s">
        <v>144</v>
      </c>
      <c r="B1921" s="83">
        <v>795</v>
      </c>
      <c r="C1921" s="153" t="s">
        <v>173</v>
      </c>
      <c r="D1921" s="153" t="s">
        <v>19</v>
      </c>
      <c r="E1921" s="84" t="s">
        <v>526</v>
      </c>
      <c r="F1921" s="84" t="s">
        <v>67</v>
      </c>
      <c r="G1921" s="87"/>
      <c r="H1921" s="87"/>
      <c r="I1921" s="87"/>
      <c r="J1921" s="177"/>
      <c r="K1921" s="202"/>
      <c r="L1921" s="202"/>
      <c r="M1921" s="200"/>
      <c r="N1921" s="200"/>
      <c r="O1921" s="200"/>
      <c r="P1921" s="200"/>
      <c r="Q1921" s="200"/>
      <c r="R1921" s="200"/>
    </row>
    <row r="1922" spans="1:18" s="46" customFormat="1" ht="48.75" hidden="1" customHeight="1">
      <c r="A1922" s="82" t="s">
        <v>424</v>
      </c>
      <c r="B1922" s="83">
        <v>795</v>
      </c>
      <c r="C1922" s="153" t="s">
        <v>173</v>
      </c>
      <c r="D1922" s="153" t="s">
        <v>19</v>
      </c>
      <c r="E1922" s="84" t="s">
        <v>379</v>
      </c>
      <c r="F1922" s="84"/>
      <c r="G1922" s="87">
        <f>G1923+G1928</f>
        <v>0</v>
      </c>
      <c r="H1922" s="87">
        <f t="shared" ref="G1922:I1923" si="490">H1923</f>
        <v>0</v>
      </c>
      <c r="I1922" s="87">
        <f t="shared" si="490"/>
        <v>0</v>
      </c>
      <c r="J1922" s="177"/>
      <c r="K1922" s="207"/>
      <c r="L1922" s="207"/>
      <c r="M1922" s="222"/>
      <c r="N1922" s="222"/>
      <c r="O1922" s="222"/>
      <c r="P1922" s="222"/>
      <c r="Q1922" s="222"/>
      <c r="R1922" s="222"/>
    </row>
    <row r="1923" spans="1:18" s="46" customFormat="1" ht="21" hidden="1" customHeight="1">
      <c r="A1923" s="82" t="s">
        <v>324</v>
      </c>
      <c r="B1923" s="83">
        <v>795</v>
      </c>
      <c r="C1923" s="153" t="s">
        <v>173</v>
      </c>
      <c r="D1923" s="153" t="s">
        <v>19</v>
      </c>
      <c r="E1923" s="84" t="s">
        <v>379</v>
      </c>
      <c r="F1923" s="84" t="s">
        <v>37</v>
      </c>
      <c r="G1923" s="87">
        <f t="shared" si="490"/>
        <v>0</v>
      </c>
      <c r="H1923" s="87">
        <f t="shared" si="490"/>
        <v>0</v>
      </c>
      <c r="I1923" s="87">
        <f t="shared" si="490"/>
        <v>0</v>
      </c>
      <c r="J1923" s="177"/>
      <c r="K1923" s="207"/>
      <c r="L1923" s="207"/>
      <c r="M1923" s="222"/>
      <c r="N1923" s="222"/>
      <c r="O1923" s="222"/>
      <c r="P1923" s="222"/>
      <c r="Q1923" s="222"/>
      <c r="R1923" s="222"/>
    </row>
    <row r="1924" spans="1:18" s="46" customFormat="1" ht="28.5" hidden="1" customHeight="1">
      <c r="A1924" s="82" t="s">
        <v>38</v>
      </c>
      <c r="B1924" s="83">
        <v>795</v>
      </c>
      <c r="C1924" s="153" t="s">
        <v>173</v>
      </c>
      <c r="D1924" s="153" t="s">
        <v>19</v>
      </c>
      <c r="E1924" s="84" t="s">
        <v>379</v>
      </c>
      <c r="F1924" s="84" t="s">
        <v>39</v>
      </c>
      <c r="G1924" s="87"/>
      <c r="H1924" s="87"/>
      <c r="I1924" s="87"/>
      <c r="J1924" s="177"/>
      <c r="K1924" s="207"/>
      <c r="L1924" s="207"/>
      <c r="M1924" s="222"/>
      <c r="N1924" s="222"/>
      <c r="O1924" s="222"/>
      <c r="P1924" s="222"/>
      <c r="Q1924" s="222"/>
      <c r="R1924" s="222"/>
    </row>
    <row r="1925" spans="1:18" ht="25.5" hidden="1">
      <c r="A1925" s="82" t="s">
        <v>169</v>
      </c>
      <c r="B1925" s="83">
        <v>795</v>
      </c>
      <c r="C1925" s="153" t="s">
        <v>173</v>
      </c>
      <c r="D1925" s="153" t="s">
        <v>19</v>
      </c>
      <c r="E1925" s="84" t="s">
        <v>276</v>
      </c>
      <c r="F1925" s="84"/>
      <c r="G1925" s="87">
        <f>G1926</f>
        <v>0</v>
      </c>
      <c r="H1925" s="87"/>
      <c r="I1925" s="87"/>
      <c r="J1925" s="177"/>
      <c r="K1925" s="207"/>
      <c r="L1925" s="207"/>
    </row>
    <row r="1926" spans="1:18" ht="25.5" hidden="1">
      <c r="A1926" s="82" t="s">
        <v>324</v>
      </c>
      <c r="B1926" s="83">
        <v>795</v>
      </c>
      <c r="C1926" s="153" t="s">
        <v>173</v>
      </c>
      <c r="D1926" s="153" t="s">
        <v>19</v>
      </c>
      <c r="E1926" s="84" t="s">
        <v>276</v>
      </c>
      <c r="F1926" s="84" t="s">
        <v>37</v>
      </c>
      <c r="G1926" s="87">
        <f>G1927</f>
        <v>0</v>
      </c>
      <c r="H1926" s="87"/>
      <c r="I1926" s="87"/>
      <c r="J1926" s="177"/>
      <c r="K1926" s="207"/>
      <c r="L1926" s="207"/>
    </row>
    <row r="1927" spans="1:18" ht="25.5" hidden="1">
      <c r="A1927" s="82" t="s">
        <v>38</v>
      </c>
      <c r="B1927" s="83">
        <v>795</v>
      </c>
      <c r="C1927" s="153" t="s">
        <v>173</v>
      </c>
      <c r="D1927" s="153" t="s">
        <v>19</v>
      </c>
      <c r="E1927" s="84" t="s">
        <v>276</v>
      </c>
      <c r="F1927" s="84" t="s">
        <v>39</v>
      </c>
      <c r="G1927" s="87"/>
      <c r="H1927" s="87">
        <v>0</v>
      </c>
      <c r="I1927" s="87">
        <v>0</v>
      </c>
      <c r="J1927" s="177"/>
      <c r="K1927" s="207"/>
      <c r="L1927" s="207"/>
    </row>
    <row r="1928" spans="1:18" ht="23.25" hidden="1" customHeight="1">
      <c r="A1928" s="82" t="s">
        <v>156</v>
      </c>
      <c r="B1928" s="83">
        <v>795</v>
      </c>
      <c r="C1928" s="84" t="s">
        <v>173</v>
      </c>
      <c r="D1928" s="84" t="s">
        <v>28</v>
      </c>
      <c r="E1928" s="84" t="s">
        <v>379</v>
      </c>
      <c r="F1928" s="84" t="s">
        <v>157</v>
      </c>
      <c r="G1928" s="87">
        <f>G1929</f>
        <v>0</v>
      </c>
      <c r="H1928" s="87">
        <f>H1929</f>
        <v>0</v>
      </c>
      <c r="I1928" s="87">
        <f>I1929</f>
        <v>0</v>
      </c>
      <c r="J1928" s="177"/>
      <c r="K1928" s="207"/>
      <c r="L1928" s="207"/>
    </row>
    <row r="1929" spans="1:18" ht="23.25" hidden="1" customHeight="1">
      <c r="A1929" s="82" t="s">
        <v>178</v>
      </c>
      <c r="B1929" s="83">
        <v>795</v>
      </c>
      <c r="C1929" s="84" t="s">
        <v>173</v>
      </c>
      <c r="D1929" s="84" t="s">
        <v>28</v>
      </c>
      <c r="E1929" s="84" t="s">
        <v>379</v>
      </c>
      <c r="F1929" s="84" t="s">
        <v>179</v>
      </c>
      <c r="G1929" s="87"/>
      <c r="H1929" s="87">
        <v>0</v>
      </c>
      <c r="I1929" s="87">
        <v>0</v>
      </c>
      <c r="J1929" s="177"/>
      <c r="K1929" s="207"/>
      <c r="L1929" s="207"/>
    </row>
    <row r="1930" spans="1:18" hidden="1">
      <c r="A1930" s="135" t="s">
        <v>175</v>
      </c>
      <c r="B1930" s="83">
        <v>795</v>
      </c>
      <c r="C1930" s="84" t="s">
        <v>173</v>
      </c>
      <c r="D1930" s="84" t="s">
        <v>28</v>
      </c>
      <c r="E1930" s="84"/>
      <c r="F1930" s="84"/>
      <c r="G1930" s="87">
        <f>G1931+G1989+G2001</f>
        <v>0</v>
      </c>
      <c r="H1930" s="87">
        <f>H1931+H1981+H1986</f>
        <v>0</v>
      </c>
      <c r="I1930" s="87">
        <f>I1931+I1981+I1986</f>
        <v>0</v>
      </c>
      <c r="J1930" s="177"/>
      <c r="K1930" s="207"/>
      <c r="L1930" s="207"/>
    </row>
    <row r="1931" spans="1:18" s="3" customFormat="1" ht="52.5" hidden="1" customHeight="1">
      <c r="A1931" s="82" t="s">
        <v>495</v>
      </c>
      <c r="B1931" s="83">
        <v>795</v>
      </c>
      <c r="C1931" s="84" t="s">
        <v>173</v>
      </c>
      <c r="D1931" s="84" t="s">
        <v>28</v>
      </c>
      <c r="E1931" s="84" t="s">
        <v>296</v>
      </c>
      <c r="F1931" s="84"/>
      <c r="G1931" s="87">
        <f>G1932+G1940+G1943+G1946+G1949+G1952+G1955+G1958+G1966</f>
        <v>0</v>
      </c>
      <c r="H1931" s="87">
        <f t="shared" ref="H1931:I1931" si="491">H1932+H1943+H1958+H1969+H1972+H1961+H1966+H1975+H1978+H1937</f>
        <v>0</v>
      </c>
      <c r="I1931" s="87">
        <f t="shared" si="491"/>
        <v>0</v>
      </c>
      <c r="J1931" s="177"/>
      <c r="K1931" s="207"/>
      <c r="L1931" s="207"/>
      <c r="M1931" s="199"/>
      <c r="N1931" s="199"/>
      <c r="O1931" s="199"/>
      <c r="P1931" s="199"/>
      <c r="Q1931" s="199"/>
      <c r="R1931" s="199"/>
    </row>
    <row r="1932" spans="1:18" hidden="1">
      <c r="A1932" s="82" t="s">
        <v>757</v>
      </c>
      <c r="B1932" s="83">
        <v>795</v>
      </c>
      <c r="C1932" s="84" t="s">
        <v>173</v>
      </c>
      <c r="D1932" s="84" t="s">
        <v>28</v>
      </c>
      <c r="E1932" s="84" t="s">
        <v>297</v>
      </c>
      <c r="F1932" s="84"/>
      <c r="G1932" s="87">
        <f>G1933+G1935</f>
        <v>0</v>
      </c>
      <c r="H1932" s="87">
        <f t="shared" ref="G1932:I1941" si="492">H1933</f>
        <v>0</v>
      </c>
      <c r="I1932" s="87">
        <f t="shared" si="492"/>
        <v>0</v>
      </c>
      <c r="J1932" s="177"/>
      <c r="K1932" s="207"/>
      <c r="L1932" s="207"/>
    </row>
    <row r="1933" spans="1:18" ht="25.5" hidden="1">
      <c r="A1933" s="82" t="s">
        <v>36</v>
      </c>
      <c r="B1933" s="83">
        <v>795</v>
      </c>
      <c r="C1933" s="84" t="s">
        <v>173</v>
      </c>
      <c r="D1933" s="84" t="s">
        <v>28</v>
      </c>
      <c r="E1933" s="84" t="s">
        <v>297</v>
      </c>
      <c r="F1933" s="84" t="s">
        <v>37</v>
      </c>
      <c r="G1933" s="87">
        <f t="shared" si="492"/>
        <v>0</v>
      </c>
      <c r="H1933" s="87">
        <f t="shared" si="492"/>
        <v>0</v>
      </c>
      <c r="I1933" s="87">
        <f t="shared" si="492"/>
        <v>0</v>
      </c>
      <c r="J1933" s="177"/>
      <c r="K1933" s="207"/>
      <c r="L1933" s="207"/>
    </row>
    <row r="1934" spans="1:18" ht="25.5" hidden="1">
      <c r="A1934" s="82" t="s">
        <v>38</v>
      </c>
      <c r="B1934" s="83">
        <v>795</v>
      </c>
      <c r="C1934" s="84" t="s">
        <v>173</v>
      </c>
      <c r="D1934" s="84" t="s">
        <v>28</v>
      </c>
      <c r="E1934" s="84" t="s">
        <v>297</v>
      </c>
      <c r="F1934" s="84" t="s">
        <v>39</v>
      </c>
      <c r="G1934" s="87"/>
      <c r="H1934" s="87"/>
      <c r="I1934" s="87"/>
      <c r="J1934" s="177"/>
      <c r="K1934" s="207"/>
      <c r="L1934" s="207"/>
    </row>
    <row r="1935" spans="1:18" hidden="1">
      <c r="A1935" s="82" t="s">
        <v>63</v>
      </c>
      <c r="B1935" s="83">
        <v>795</v>
      </c>
      <c r="C1935" s="84" t="s">
        <v>173</v>
      </c>
      <c r="D1935" s="84" t="s">
        <v>28</v>
      </c>
      <c r="E1935" s="84" t="s">
        <v>297</v>
      </c>
      <c r="F1935" s="84" t="s">
        <v>64</v>
      </c>
      <c r="G1935" s="87">
        <f>G1936</f>
        <v>0</v>
      </c>
      <c r="H1935" s="87"/>
      <c r="I1935" s="87"/>
      <c r="J1935" s="177"/>
      <c r="K1935" s="207"/>
      <c r="L1935" s="207"/>
    </row>
    <row r="1936" spans="1:18" hidden="1">
      <c r="A1936" s="82" t="s">
        <v>180</v>
      </c>
      <c r="B1936" s="83">
        <v>795</v>
      </c>
      <c r="C1936" s="84" t="s">
        <v>173</v>
      </c>
      <c r="D1936" s="84" t="s">
        <v>28</v>
      </c>
      <c r="E1936" s="84" t="s">
        <v>297</v>
      </c>
      <c r="F1936" s="84" t="s">
        <v>181</v>
      </c>
      <c r="G1936" s="87">
        <v>0</v>
      </c>
      <c r="H1936" s="87"/>
      <c r="I1936" s="87"/>
      <c r="J1936" s="177"/>
      <c r="K1936" s="207"/>
      <c r="L1936" s="207"/>
    </row>
    <row r="1937" spans="1:18" hidden="1">
      <c r="A1937" s="82" t="s">
        <v>701</v>
      </c>
      <c r="B1937" s="83">
        <v>795</v>
      </c>
      <c r="C1937" s="84" t="s">
        <v>173</v>
      </c>
      <c r="D1937" s="84" t="s">
        <v>28</v>
      </c>
      <c r="E1937" s="84" t="s">
        <v>700</v>
      </c>
      <c r="F1937" s="84"/>
      <c r="G1937" s="87">
        <f t="shared" si="492"/>
        <v>0</v>
      </c>
      <c r="H1937" s="87">
        <f t="shared" si="492"/>
        <v>0</v>
      </c>
      <c r="I1937" s="87">
        <f t="shared" si="492"/>
        <v>0</v>
      </c>
      <c r="J1937" s="177"/>
      <c r="K1937" s="207"/>
      <c r="L1937" s="207"/>
    </row>
    <row r="1938" spans="1:18" ht="25.5" hidden="1">
      <c r="A1938" s="82" t="s">
        <v>36</v>
      </c>
      <c r="B1938" s="83">
        <v>795</v>
      </c>
      <c r="C1938" s="84" t="s">
        <v>173</v>
      </c>
      <c r="D1938" s="84" t="s">
        <v>28</v>
      </c>
      <c r="E1938" s="84" t="s">
        <v>700</v>
      </c>
      <c r="F1938" s="84" t="s">
        <v>37</v>
      </c>
      <c r="G1938" s="87">
        <f t="shared" si="492"/>
        <v>0</v>
      </c>
      <c r="H1938" s="87">
        <f t="shared" si="492"/>
        <v>0</v>
      </c>
      <c r="I1938" s="87">
        <f t="shared" si="492"/>
        <v>0</v>
      </c>
      <c r="J1938" s="177"/>
      <c r="K1938" s="207"/>
      <c r="L1938" s="207"/>
    </row>
    <row r="1939" spans="1:18" ht="25.5" hidden="1">
      <c r="A1939" s="82" t="s">
        <v>38</v>
      </c>
      <c r="B1939" s="83">
        <v>795</v>
      </c>
      <c r="C1939" s="84" t="s">
        <v>173</v>
      </c>
      <c r="D1939" s="84" t="s">
        <v>28</v>
      </c>
      <c r="E1939" s="84" t="s">
        <v>700</v>
      </c>
      <c r="F1939" s="84" t="s">
        <v>39</v>
      </c>
      <c r="G1939" s="87"/>
      <c r="H1939" s="87">
        <v>0</v>
      </c>
      <c r="I1939" s="87">
        <v>0</v>
      </c>
      <c r="J1939" s="177"/>
      <c r="K1939" s="207"/>
      <c r="L1939" s="207"/>
    </row>
    <row r="1940" spans="1:18" hidden="1">
      <c r="A1940" s="82" t="s">
        <v>748</v>
      </c>
      <c r="B1940" s="83">
        <v>795</v>
      </c>
      <c r="C1940" s="84" t="s">
        <v>173</v>
      </c>
      <c r="D1940" s="84" t="s">
        <v>28</v>
      </c>
      <c r="E1940" s="84" t="s">
        <v>747</v>
      </c>
      <c r="F1940" s="84"/>
      <c r="G1940" s="87">
        <f t="shared" si="492"/>
        <v>0</v>
      </c>
      <c r="H1940" s="87">
        <f t="shared" si="492"/>
        <v>0</v>
      </c>
      <c r="I1940" s="87">
        <f t="shared" si="492"/>
        <v>0</v>
      </c>
      <c r="J1940" s="177"/>
      <c r="K1940" s="207"/>
      <c r="L1940" s="207"/>
    </row>
    <row r="1941" spans="1:18" ht="25.5" hidden="1">
      <c r="A1941" s="82" t="s">
        <v>36</v>
      </c>
      <c r="B1941" s="83">
        <v>795</v>
      </c>
      <c r="C1941" s="84" t="s">
        <v>173</v>
      </c>
      <c r="D1941" s="84" t="s">
        <v>28</v>
      </c>
      <c r="E1941" s="84" t="s">
        <v>747</v>
      </c>
      <c r="F1941" s="84" t="s">
        <v>37</v>
      </c>
      <c r="G1941" s="87">
        <f t="shared" si="492"/>
        <v>0</v>
      </c>
      <c r="H1941" s="87">
        <f t="shared" si="492"/>
        <v>0</v>
      </c>
      <c r="I1941" s="87">
        <f t="shared" si="492"/>
        <v>0</v>
      </c>
      <c r="J1941" s="177"/>
      <c r="K1941" s="207"/>
      <c r="L1941" s="207"/>
    </row>
    <row r="1942" spans="1:18" ht="25.5" hidden="1">
      <c r="A1942" s="82" t="s">
        <v>38</v>
      </c>
      <c r="B1942" s="83">
        <v>795</v>
      </c>
      <c r="C1942" s="84" t="s">
        <v>173</v>
      </c>
      <c r="D1942" s="84" t="s">
        <v>28</v>
      </c>
      <c r="E1942" s="84" t="s">
        <v>747</v>
      </c>
      <c r="F1942" s="84" t="s">
        <v>39</v>
      </c>
      <c r="G1942" s="87"/>
      <c r="H1942" s="87"/>
      <c r="I1942" s="87"/>
      <c r="J1942" s="177"/>
      <c r="K1942" s="207"/>
      <c r="L1942" s="207"/>
    </row>
    <row r="1943" spans="1:18" s="3" customFormat="1" ht="67.5" hidden="1" customHeight="1">
      <c r="A1943" s="82" t="s">
        <v>321</v>
      </c>
      <c r="B1943" s="83">
        <v>795</v>
      </c>
      <c r="C1943" s="84" t="s">
        <v>173</v>
      </c>
      <c r="D1943" s="84" t="s">
        <v>28</v>
      </c>
      <c r="E1943" s="84" t="s">
        <v>322</v>
      </c>
      <c r="F1943" s="84"/>
      <c r="G1943" s="87">
        <f>G1945</f>
        <v>0</v>
      </c>
      <c r="H1943" s="87">
        <f>H1945</f>
        <v>0</v>
      </c>
      <c r="I1943" s="87">
        <f>I1945</f>
        <v>0</v>
      </c>
      <c r="J1943" s="177"/>
      <c r="K1943" s="207"/>
      <c r="L1943" s="207"/>
      <c r="M1943" s="199"/>
      <c r="N1943" s="199"/>
      <c r="O1943" s="199"/>
      <c r="P1943" s="199"/>
      <c r="Q1943" s="199"/>
      <c r="R1943" s="199"/>
    </row>
    <row r="1944" spans="1:18" hidden="1">
      <c r="A1944" s="82" t="s">
        <v>156</v>
      </c>
      <c r="B1944" s="83">
        <v>795</v>
      </c>
      <c r="C1944" s="84" t="s">
        <v>173</v>
      </c>
      <c r="D1944" s="84" t="s">
        <v>28</v>
      </c>
      <c r="E1944" s="84" t="s">
        <v>322</v>
      </c>
      <c r="F1944" s="84" t="s">
        <v>157</v>
      </c>
      <c r="G1944" s="87">
        <f>G1945</f>
        <v>0</v>
      </c>
      <c r="H1944" s="87">
        <f>H1945</f>
        <v>0</v>
      </c>
      <c r="I1944" s="87">
        <f>I1945</f>
        <v>0</v>
      </c>
      <c r="J1944" s="177"/>
      <c r="K1944" s="207"/>
      <c r="L1944" s="207"/>
    </row>
    <row r="1945" spans="1:18" hidden="1">
      <c r="A1945" s="82" t="s">
        <v>178</v>
      </c>
      <c r="B1945" s="83">
        <v>795</v>
      </c>
      <c r="C1945" s="84" t="s">
        <v>173</v>
      </c>
      <c r="D1945" s="84" t="s">
        <v>28</v>
      </c>
      <c r="E1945" s="84" t="s">
        <v>322</v>
      </c>
      <c r="F1945" s="84" t="s">
        <v>179</v>
      </c>
      <c r="G1945" s="87"/>
      <c r="H1945" s="87"/>
      <c r="I1945" s="87"/>
      <c r="J1945" s="177"/>
      <c r="K1945" s="207"/>
      <c r="L1945" s="207"/>
    </row>
    <row r="1946" spans="1:18" ht="44.25" hidden="1" customHeight="1">
      <c r="A1946" s="82" t="s">
        <v>814</v>
      </c>
      <c r="B1946" s="83">
        <v>795</v>
      </c>
      <c r="C1946" s="84" t="s">
        <v>173</v>
      </c>
      <c r="D1946" s="84" t="s">
        <v>28</v>
      </c>
      <c r="E1946" s="84" t="s">
        <v>813</v>
      </c>
      <c r="F1946" s="84"/>
      <c r="G1946" s="87">
        <f t="shared" ref="G1946:I1956" si="493">G1947</f>
        <v>0</v>
      </c>
      <c r="H1946" s="87">
        <f t="shared" si="493"/>
        <v>0</v>
      </c>
      <c r="I1946" s="87">
        <f t="shared" si="493"/>
        <v>0</v>
      </c>
      <c r="J1946" s="177"/>
      <c r="K1946" s="207"/>
      <c r="L1946" s="207"/>
    </row>
    <row r="1947" spans="1:18" ht="34.5" hidden="1" customHeight="1">
      <c r="A1947" s="82" t="s">
        <v>36</v>
      </c>
      <c r="B1947" s="83">
        <v>795</v>
      </c>
      <c r="C1947" s="84" t="s">
        <v>173</v>
      </c>
      <c r="D1947" s="84" t="s">
        <v>28</v>
      </c>
      <c r="E1947" s="84" t="s">
        <v>813</v>
      </c>
      <c r="F1947" s="84" t="s">
        <v>349</v>
      </c>
      <c r="G1947" s="87">
        <f t="shared" si="493"/>
        <v>0</v>
      </c>
      <c r="H1947" s="87">
        <f t="shared" si="493"/>
        <v>0</v>
      </c>
      <c r="I1947" s="87">
        <f t="shared" si="493"/>
        <v>0</v>
      </c>
      <c r="J1947" s="177"/>
      <c r="K1947" s="207"/>
      <c r="L1947" s="207"/>
    </row>
    <row r="1948" spans="1:18" ht="34.5" hidden="1" customHeight="1">
      <c r="A1948" s="82" t="s">
        <v>38</v>
      </c>
      <c r="B1948" s="83">
        <v>795</v>
      </c>
      <c r="C1948" s="84" t="s">
        <v>173</v>
      </c>
      <c r="D1948" s="84" t="s">
        <v>28</v>
      </c>
      <c r="E1948" s="84" t="s">
        <v>813</v>
      </c>
      <c r="F1948" s="84" t="s">
        <v>351</v>
      </c>
      <c r="G1948" s="87"/>
      <c r="H1948" s="87"/>
      <c r="I1948" s="87"/>
      <c r="J1948" s="177"/>
      <c r="K1948" s="207"/>
      <c r="L1948" s="207"/>
    </row>
    <row r="1949" spans="1:18" ht="44.25" hidden="1" customHeight="1">
      <c r="A1949" s="82" t="s">
        <v>816</v>
      </c>
      <c r="B1949" s="83">
        <v>795</v>
      </c>
      <c r="C1949" s="84" t="s">
        <v>173</v>
      </c>
      <c r="D1949" s="84" t="s">
        <v>28</v>
      </c>
      <c r="E1949" s="84" t="s">
        <v>815</v>
      </c>
      <c r="F1949" s="84"/>
      <c r="G1949" s="87">
        <f t="shared" si="493"/>
        <v>0</v>
      </c>
      <c r="H1949" s="87">
        <f t="shared" si="493"/>
        <v>0</v>
      </c>
      <c r="I1949" s="87">
        <f t="shared" si="493"/>
        <v>0</v>
      </c>
      <c r="J1949" s="177"/>
      <c r="K1949" s="207"/>
      <c r="L1949" s="207"/>
    </row>
    <row r="1950" spans="1:18" ht="34.5" hidden="1" customHeight="1">
      <c r="A1950" s="82" t="s">
        <v>36</v>
      </c>
      <c r="B1950" s="83">
        <v>795</v>
      </c>
      <c r="C1950" s="84" t="s">
        <v>173</v>
      </c>
      <c r="D1950" s="84" t="s">
        <v>28</v>
      </c>
      <c r="E1950" s="84" t="s">
        <v>815</v>
      </c>
      <c r="F1950" s="84" t="s">
        <v>349</v>
      </c>
      <c r="G1950" s="87">
        <f t="shared" si="493"/>
        <v>0</v>
      </c>
      <c r="H1950" s="87">
        <f t="shared" si="493"/>
        <v>0</v>
      </c>
      <c r="I1950" s="87">
        <f t="shared" si="493"/>
        <v>0</v>
      </c>
      <c r="J1950" s="177"/>
      <c r="K1950" s="207"/>
      <c r="L1950" s="207"/>
    </row>
    <row r="1951" spans="1:18" ht="34.5" hidden="1" customHeight="1">
      <c r="A1951" s="82" t="s">
        <v>38</v>
      </c>
      <c r="B1951" s="83">
        <v>795</v>
      </c>
      <c r="C1951" s="84" t="s">
        <v>173</v>
      </c>
      <c r="D1951" s="84" t="s">
        <v>28</v>
      </c>
      <c r="E1951" s="84" t="s">
        <v>815</v>
      </c>
      <c r="F1951" s="84" t="s">
        <v>351</v>
      </c>
      <c r="G1951" s="87"/>
      <c r="H1951" s="87"/>
      <c r="I1951" s="87"/>
      <c r="J1951" s="177"/>
      <c r="K1951" s="207"/>
      <c r="L1951" s="207"/>
    </row>
    <row r="1952" spans="1:18" ht="44.25" hidden="1" customHeight="1">
      <c r="A1952" s="82" t="s">
        <v>818</v>
      </c>
      <c r="B1952" s="83">
        <v>795</v>
      </c>
      <c r="C1952" s="84" t="s">
        <v>173</v>
      </c>
      <c r="D1952" s="84" t="s">
        <v>28</v>
      </c>
      <c r="E1952" s="84" t="s">
        <v>817</v>
      </c>
      <c r="F1952" s="84"/>
      <c r="G1952" s="87">
        <f t="shared" si="493"/>
        <v>0</v>
      </c>
      <c r="H1952" s="87">
        <f t="shared" si="493"/>
        <v>0</v>
      </c>
      <c r="I1952" s="87">
        <f t="shared" si="493"/>
        <v>0</v>
      </c>
      <c r="J1952" s="177"/>
      <c r="K1952" s="207"/>
      <c r="L1952" s="207"/>
    </row>
    <row r="1953" spans="1:12" ht="34.5" hidden="1" customHeight="1">
      <c r="A1953" s="82" t="s">
        <v>36</v>
      </c>
      <c r="B1953" s="83">
        <v>795</v>
      </c>
      <c r="C1953" s="84" t="s">
        <v>173</v>
      </c>
      <c r="D1953" s="84" t="s">
        <v>28</v>
      </c>
      <c r="E1953" s="84" t="s">
        <v>817</v>
      </c>
      <c r="F1953" s="84" t="s">
        <v>349</v>
      </c>
      <c r="G1953" s="87">
        <f t="shared" si="493"/>
        <v>0</v>
      </c>
      <c r="H1953" s="87">
        <f t="shared" si="493"/>
        <v>0</v>
      </c>
      <c r="I1953" s="87">
        <f t="shared" si="493"/>
        <v>0</v>
      </c>
      <c r="J1953" s="177"/>
      <c r="K1953" s="207"/>
      <c r="L1953" s="207"/>
    </row>
    <row r="1954" spans="1:12" ht="34.5" hidden="1" customHeight="1">
      <c r="A1954" s="82" t="s">
        <v>38</v>
      </c>
      <c r="B1954" s="83">
        <v>795</v>
      </c>
      <c r="C1954" s="84" t="s">
        <v>173</v>
      </c>
      <c r="D1954" s="84" t="s">
        <v>28</v>
      </c>
      <c r="E1954" s="84" t="s">
        <v>817</v>
      </c>
      <c r="F1954" s="84" t="s">
        <v>351</v>
      </c>
      <c r="G1954" s="87"/>
      <c r="H1954" s="87"/>
      <c r="I1954" s="87"/>
      <c r="J1954" s="177"/>
      <c r="K1954" s="207"/>
      <c r="L1954" s="207"/>
    </row>
    <row r="1955" spans="1:12" ht="57" hidden="1" customHeight="1">
      <c r="A1955" s="82" t="s">
        <v>820</v>
      </c>
      <c r="B1955" s="83">
        <v>795</v>
      </c>
      <c r="C1955" s="84" t="s">
        <v>173</v>
      </c>
      <c r="D1955" s="84" t="s">
        <v>28</v>
      </c>
      <c r="E1955" s="84" t="s">
        <v>819</v>
      </c>
      <c r="F1955" s="84"/>
      <c r="G1955" s="87">
        <f t="shared" si="493"/>
        <v>0</v>
      </c>
      <c r="H1955" s="87">
        <f t="shared" si="493"/>
        <v>0</v>
      </c>
      <c r="I1955" s="87">
        <f t="shared" si="493"/>
        <v>0</v>
      </c>
      <c r="J1955" s="177"/>
      <c r="K1955" s="207"/>
      <c r="L1955" s="207"/>
    </row>
    <row r="1956" spans="1:12" ht="34.5" hidden="1" customHeight="1">
      <c r="A1956" s="82" t="s">
        <v>36</v>
      </c>
      <c r="B1956" s="83">
        <v>795</v>
      </c>
      <c r="C1956" s="84" t="s">
        <v>173</v>
      </c>
      <c r="D1956" s="84" t="s">
        <v>28</v>
      </c>
      <c r="E1956" s="84" t="s">
        <v>819</v>
      </c>
      <c r="F1956" s="84" t="s">
        <v>349</v>
      </c>
      <c r="G1956" s="87">
        <f t="shared" si="493"/>
        <v>0</v>
      </c>
      <c r="H1956" s="87">
        <f t="shared" si="493"/>
        <v>0</v>
      </c>
      <c r="I1956" s="87">
        <f t="shared" si="493"/>
        <v>0</v>
      </c>
      <c r="J1956" s="177"/>
      <c r="K1956" s="207"/>
      <c r="L1956" s="207"/>
    </row>
    <row r="1957" spans="1:12" ht="34.5" hidden="1" customHeight="1">
      <c r="A1957" s="82" t="s">
        <v>38</v>
      </c>
      <c r="B1957" s="83">
        <v>795</v>
      </c>
      <c r="C1957" s="84" t="s">
        <v>173</v>
      </c>
      <c r="D1957" s="84" t="s">
        <v>28</v>
      </c>
      <c r="E1957" s="84" t="s">
        <v>819</v>
      </c>
      <c r="F1957" s="84" t="s">
        <v>351</v>
      </c>
      <c r="G1957" s="87"/>
      <c r="H1957" s="87"/>
      <c r="I1957" s="87"/>
      <c r="J1957" s="177"/>
      <c r="K1957" s="207"/>
      <c r="L1957" s="207"/>
    </row>
    <row r="1958" spans="1:12" ht="75" hidden="1" customHeight="1">
      <c r="A1958" s="82" t="s">
        <v>826</v>
      </c>
      <c r="B1958" s="83">
        <v>795</v>
      </c>
      <c r="C1958" s="84" t="s">
        <v>173</v>
      </c>
      <c r="D1958" s="84" t="s">
        <v>28</v>
      </c>
      <c r="E1958" s="84" t="s">
        <v>722</v>
      </c>
      <c r="F1958" s="84"/>
      <c r="G1958" s="87">
        <f>G1959+G1964</f>
        <v>0</v>
      </c>
      <c r="H1958" s="87">
        <f t="shared" ref="G1958:I1970" si="494">H1959</f>
        <v>0</v>
      </c>
      <c r="I1958" s="87">
        <f t="shared" si="494"/>
        <v>0</v>
      </c>
      <c r="J1958" s="177"/>
      <c r="K1958" s="207"/>
      <c r="L1958" s="207"/>
    </row>
    <row r="1959" spans="1:12" ht="34.5" hidden="1" customHeight="1">
      <c r="A1959" s="82" t="s">
        <v>36</v>
      </c>
      <c r="B1959" s="83">
        <v>795</v>
      </c>
      <c r="C1959" s="84" t="s">
        <v>173</v>
      </c>
      <c r="D1959" s="84" t="s">
        <v>28</v>
      </c>
      <c r="E1959" s="84" t="s">
        <v>722</v>
      </c>
      <c r="F1959" s="84" t="s">
        <v>349</v>
      </c>
      <c r="G1959" s="87">
        <f t="shared" si="494"/>
        <v>0</v>
      </c>
      <c r="H1959" s="87">
        <f t="shared" si="494"/>
        <v>0</v>
      </c>
      <c r="I1959" s="87">
        <f t="shared" si="494"/>
        <v>0</v>
      </c>
      <c r="J1959" s="177"/>
      <c r="K1959" s="207"/>
      <c r="L1959" s="207"/>
    </row>
    <row r="1960" spans="1:12" ht="34.5" hidden="1" customHeight="1">
      <c r="A1960" s="82" t="s">
        <v>38</v>
      </c>
      <c r="B1960" s="83">
        <v>795</v>
      </c>
      <c r="C1960" s="84" t="s">
        <v>173</v>
      </c>
      <c r="D1960" s="84" t="s">
        <v>28</v>
      </c>
      <c r="E1960" s="84" t="s">
        <v>722</v>
      </c>
      <c r="F1960" s="84" t="s">
        <v>351</v>
      </c>
      <c r="G1960" s="87">
        <f>675000-675000</f>
        <v>0</v>
      </c>
      <c r="H1960" s="87">
        <f>832780-832780</f>
        <v>0</v>
      </c>
      <c r="I1960" s="87">
        <v>0</v>
      </c>
      <c r="J1960" s="177"/>
      <c r="K1960" s="207"/>
      <c r="L1960" s="207"/>
    </row>
    <row r="1961" spans="1:12" ht="34.5" hidden="1" customHeight="1">
      <c r="A1961" s="82" t="s">
        <v>510</v>
      </c>
      <c r="B1961" s="83">
        <v>795</v>
      </c>
      <c r="C1961" s="84" t="s">
        <v>173</v>
      </c>
      <c r="D1961" s="84" t="s">
        <v>28</v>
      </c>
      <c r="E1961" s="84" t="s">
        <v>511</v>
      </c>
      <c r="F1961" s="84"/>
      <c r="G1961" s="87">
        <f t="shared" si="494"/>
        <v>0</v>
      </c>
      <c r="H1961" s="87">
        <f t="shared" si="494"/>
        <v>0</v>
      </c>
      <c r="I1961" s="87">
        <f t="shared" si="494"/>
        <v>0</v>
      </c>
      <c r="J1961" s="177"/>
      <c r="K1961" s="207"/>
      <c r="L1961" s="207"/>
    </row>
    <row r="1962" spans="1:12" ht="34.5" hidden="1" customHeight="1">
      <c r="A1962" s="82" t="s">
        <v>36</v>
      </c>
      <c r="B1962" s="83">
        <v>795</v>
      </c>
      <c r="C1962" s="84" t="s">
        <v>173</v>
      </c>
      <c r="D1962" s="84" t="s">
        <v>28</v>
      </c>
      <c r="E1962" s="84" t="s">
        <v>511</v>
      </c>
      <c r="F1962" s="84" t="s">
        <v>37</v>
      </c>
      <c r="G1962" s="87">
        <f t="shared" si="494"/>
        <v>0</v>
      </c>
      <c r="H1962" s="87">
        <f t="shared" si="494"/>
        <v>0</v>
      </c>
      <c r="I1962" s="87">
        <f t="shared" si="494"/>
        <v>0</v>
      </c>
      <c r="J1962" s="177"/>
      <c r="K1962" s="207"/>
      <c r="L1962" s="207"/>
    </row>
    <row r="1963" spans="1:12" ht="34.5" hidden="1" customHeight="1">
      <c r="A1963" s="82" t="s">
        <v>38</v>
      </c>
      <c r="B1963" s="83">
        <v>795</v>
      </c>
      <c r="C1963" s="84" t="s">
        <v>173</v>
      </c>
      <c r="D1963" s="84" t="s">
        <v>28</v>
      </c>
      <c r="E1963" s="84" t="s">
        <v>511</v>
      </c>
      <c r="F1963" s="84" t="s">
        <v>39</v>
      </c>
      <c r="G1963" s="87">
        <v>0</v>
      </c>
      <c r="H1963" s="87">
        <f>167220-167220</f>
        <v>0</v>
      </c>
      <c r="I1963" s="87"/>
      <c r="J1963" s="177"/>
      <c r="K1963" s="207"/>
      <c r="L1963" s="207"/>
    </row>
    <row r="1964" spans="1:12" ht="18" hidden="1" customHeight="1">
      <c r="A1964" s="82" t="s">
        <v>156</v>
      </c>
      <c r="B1964" s="83">
        <v>795</v>
      </c>
      <c r="C1964" s="84" t="s">
        <v>173</v>
      </c>
      <c r="D1964" s="84" t="s">
        <v>28</v>
      </c>
      <c r="E1964" s="84" t="s">
        <v>722</v>
      </c>
      <c r="F1964" s="84" t="s">
        <v>157</v>
      </c>
      <c r="G1964" s="87">
        <f>G1965</f>
        <v>0</v>
      </c>
      <c r="H1964" s="87">
        <f>H1965</f>
        <v>0</v>
      </c>
      <c r="I1964" s="87">
        <f>I1965</f>
        <v>0</v>
      </c>
      <c r="J1964" s="177"/>
      <c r="K1964" s="207"/>
      <c r="L1964" s="207"/>
    </row>
    <row r="1965" spans="1:12" ht="18" hidden="1" customHeight="1">
      <c r="A1965" s="82" t="s">
        <v>178</v>
      </c>
      <c r="B1965" s="83">
        <v>795</v>
      </c>
      <c r="C1965" s="84" t="s">
        <v>173</v>
      </c>
      <c r="D1965" s="84" t="s">
        <v>28</v>
      </c>
      <c r="E1965" s="84" t="s">
        <v>722</v>
      </c>
      <c r="F1965" s="84" t="s">
        <v>179</v>
      </c>
      <c r="G1965" s="87"/>
      <c r="H1965" s="87">
        <v>0</v>
      </c>
      <c r="I1965" s="87">
        <v>0</v>
      </c>
      <c r="J1965" s="177"/>
      <c r="K1965" s="207"/>
      <c r="L1965" s="207"/>
    </row>
    <row r="1966" spans="1:12" ht="34.5" hidden="1" customHeight="1">
      <c r="A1966" s="82" t="s">
        <v>536</v>
      </c>
      <c r="B1966" s="83">
        <v>795</v>
      </c>
      <c r="C1966" s="84" t="s">
        <v>173</v>
      </c>
      <c r="D1966" s="84" t="s">
        <v>28</v>
      </c>
      <c r="E1966" s="84" t="s">
        <v>535</v>
      </c>
      <c r="F1966" s="84"/>
      <c r="G1966" s="87">
        <f t="shared" si="494"/>
        <v>0</v>
      </c>
      <c r="H1966" s="87">
        <f t="shared" si="494"/>
        <v>0</v>
      </c>
      <c r="I1966" s="87">
        <f t="shared" si="494"/>
        <v>0</v>
      </c>
      <c r="J1966" s="177"/>
      <c r="K1966" s="207"/>
      <c r="L1966" s="207"/>
    </row>
    <row r="1967" spans="1:12" ht="34.5" hidden="1" customHeight="1">
      <c r="A1967" s="82" t="s">
        <v>36</v>
      </c>
      <c r="B1967" s="83">
        <v>795</v>
      </c>
      <c r="C1967" s="84" t="s">
        <v>173</v>
      </c>
      <c r="D1967" s="84" t="s">
        <v>28</v>
      </c>
      <c r="E1967" s="84" t="s">
        <v>535</v>
      </c>
      <c r="F1967" s="84" t="s">
        <v>37</v>
      </c>
      <c r="G1967" s="87">
        <f t="shared" si="494"/>
        <v>0</v>
      </c>
      <c r="H1967" s="87">
        <f t="shared" si="494"/>
        <v>0</v>
      </c>
      <c r="I1967" s="87">
        <f t="shared" si="494"/>
        <v>0</v>
      </c>
      <c r="J1967" s="177"/>
      <c r="K1967" s="207"/>
      <c r="L1967" s="207"/>
    </row>
    <row r="1968" spans="1:12" ht="34.5" hidden="1" customHeight="1">
      <c r="A1968" s="82" t="s">
        <v>38</v>
      </c>
      <c r="B1968" s="83">
        <v>795</v>
      </c>
      <c r="C1968" s="84" t="s">
        <v>173</v>
      </c>
      <c r="D1968" s="84" t="s">
        <v>28</v>
      </c>
      <c r="E1968" s="84" t="s">
        <v>535</v>
      </c>
      <c r="F1968" s="84" t="s">
        <v>39</v>
      </c>
      <c r="G1968" s="87"/>
      <c r="H1968" s="87"/>
      <c r="I1968" s="87"/>
      <c r="J1968" s="177"/>
      <c r="K1968" s="207"/>
      <c r="L1968" s="207"/>
    </row>
    <row r="1969" spans="1:18" ht="34.5" hidden="1" customHeight="1">
      <c r="A1969" s="82" t="s">
        <v>465</v>
      </c>
      <c r="B1969" s="83">
        <v>795</v>
      </c>
      <c r="C1969" s="84" t="s">
        <v>173</v>
      </c>
      <c r="D1969" s="84" t="s">
        <v>28</v>
      </c>
      <c r="E1969" s="84" t="s">
        <v>464</v>
      </c>
      <c r="F1969" s="84"/>
      <c r="G1969" s="87">
        <f t="shared" si="494"/>
        <v>0</v>
      </c>
      <c r="H1969" s="87">
        <f t="shared" si="494"/>
        <v>0</v>
      </c>
      <c r="I1969" s="87">
        <f t="shared" si="494"/>
        <v>0</v>
      </c>
      <c r="J1969" s="177"/>
      <c r="K1969" s="207"/>
      <c r="L1969" s="207"/>
    </row>
    <row r="1970" spans="1:18" ht="34.5" hidden="1" customHeight="1">
      <c r="A1970" s="82" t="s">
        <v>36</v>
      </c>
      <c r="B1970" s="83">
        <v>795</v>
      </c>
      <c r="C1970" s="84" t="s">
        <v>173</v>
      </c>
      <c r="D1970" s="84" t="s">
        <v>28</v>
      </c>
      <c r="E1970" s="84" t="s">
        <v>464</v>
      </c>
      <c r="F1970" s="84" t="s">
        <v>37</v>
      </c>
      <c r="G1970" s="87">
        <f t="shared" si="494"/>
        <v>0</v>
      </c>
      <c r="H1970" s="87">
        <f t="shared" si="494"/>
        <v>0</v>
      </c>
      <c r="I1970" s="87">
        <f t="shared" si="494"/>
        <v>0</v>
      </c>
      <c r="J1970" s="177"/>
      <c r="K1970" s="207"/>
      <c r="L1970" s="207"/>
    </row>
    <row r="1971" spans="1:18" ht="34.5" hidden="1" customHeight="1">
      <c r="A1971" s="82" t="s">
        <v>38</v>
      </c>
      <c r="B1971" s="83">
        <v>795</v>
      </c>
      <c r="C1971" s="84" t="s">
        <v>173</v>
      </c>
      <c r="D1971" s="84" t="s">
        <v>28</v>
      </c>
      <c r="E1971" s="84" t="s">
        <v>464</v>
      </c>
      <c r="F1971" s="84" t="s">
        <v>39</v>
      </c>
      <c r="G1971" s="87">
        <f>200000-200000</f>
        <v>0</v>
      </c>
      <c r="H1971" s="87"/>
      <c r="I1971" s="87"/>
      <c r="J1971" s="177"/>
      <c r="K1971" s="207"/>
      <c r="L1971" s="207"/>
    </row>
    <row r="1972" spans="1:18" ht="34.5" hidden="1" customHeight="1">
      <c r="A1972" s="82" t="s">
        <v>504</v>
      </c>
      <c r="B1972" s="83">
        <v>795</v>
      </c>
      <c r="C1972" s="84" t="s">
        <v>173</v>
      </c>
      <c r="D1972" s="84" t="s">
        <v>28</v>
      </c>
      <c r="E1972" s="84" t="s">
        <v>503</v>
      </c>
      <c r="F1972" s="84"/>
      <c r="G1972" s="87">
        <f>G1973</f>
        <v>0</v>
      </c>
      <c r="H1972" s="87">
        <f t="shared" ref="H1972:I1972" si="495">H1973</f>
        <v>0</v>
      </c>
      <c r="I1972" s="87">
        <f t="shared" si="495"/>
        <v>0</v>
      </c>
      <c r="J1972" s="177"/>
      <c r="K1972" s="207"/>
      <c r="L1972" s="207"/>
    </row>
    <row r="1973" spans="1:18" ht="34.5" hidden="1" customHeight="1">
      <c r="A1973" s="82" t="s">
        <v>96</v>
      </c>
      <c r="B1973" s="83">
        <v>795</v>
      </c>
      <c r="C1973" s="84" t="s">
        <v>173</v>
      </c>
      <c r="D1973" s="84" t="s">
        <v>28</v>
      </c>
      <c r="E1973" s="84" t="s">
        <v>503</v>
      </c>
      <c r="F1973" s="84" t="s">
        <v>349</v>
      </c>
      <c r="G1973" s="87">
        <f>G1974</f>
        <v>0</v>
      </c>
      <c r="H1973" s="87">
        <f t="shared" ref="H1973:I1973" si="496">H1974</f>
        <v>0</v>
      </c>
      <c r="I1973" s="87">
        <f t="shared" si="496"/>
        <v>0</v>
      </c>
      <c r="J1973" s="177"/>
      <c r="K1973" s="207"/>
      <c r="L1973" s="207"/>
    </row>
    <row r="1974" spans="1:18" ht="34.5" hidden="1" customHeight="1">
      <c r="A1974" s="82" t="s">
        <v>350</v>
      </c>
      <c r="B1974" s="83">
        <v>795</v>
      </c>
      <c r="C1974" s="84" t="s">
        <v>173</v>
      </c>
      <c r="D1974" s="84" t="s">
        <v>28</v>
      </c>
      <c r="E1974" s="84" t="s">
        <v>503</v>
      </c>
      <c r="F1974" s="84" t="s">
        <v>351</v>
      </c>
      <c r="G1974" s="87"/>
      <c r="H1974" s="87">
        <v>0</v>
      </c>
      <c r="I1974" s="87">
        <v>0</v>
      </c>
      <c r="J1974" s="177"/>
      <c r="K1974" s="207"/>
      <c r="L1974" s="207"/>
    </row>
    <row r="1975" spans="1:18" ht="34.5" hidden="1" customHeight="1">
      <c r="A1975" s="82" t="s">
        <v>539</v>
      </c>
      <c r="B1975" s="83">
        <v>795</v>
      </c>
      <c r="C1975" s="84" t="s">
        <v>173</v>
      </c>
      <c r="D1975" s="84" t="s">
        <v>28</v>
      </c>
      <c r="E1975" s="84" t="s">
        <v>540</v>
      </c>
      <c r="F1975" s="84"/>
      <c r="G1975" s="87">
        <f>G1976</f>
        <v>0</v>
      </c>
      <c r="H1975" s="87">
        <v>0</v>
      </c>
      <c r="I1975" s="87">
        <v>0</v>
      </c>
      <c r="J1975" s="177"/>
      <c r="K1975" s="207"/>
      <c r="L1975" s="207"/>
    </row>
    <row r="1976" spans="1:18" ht="34.5" hidden="1" customHeight="1">
      <c r="A1976" s="82" t="s">
        <v>96</v>
      </c>
      <c r="B1976" s="83">
        <v>795</v>
      </c>
      <c r="C1976" s="84" t="s">
        <v>173</v>
      </c>
      <c r="D1976" s="84" t="s">
        <v>28</v>
      </c>
      <c r="E1976" s="84" t="s">
        <v>540</v>
      </c>
      <c r="F1976" s="84" t="s">
        <v>349</v>
      </c>
      <c r="G1976" s="87">
        <f>G1977</f>
        <v>0</v>
      </c>
      <c r="H1976" s="87">
        <v>0</v>
      </c>
      <c r="I1976" s="87">
        <v>0</v>
      </c>
      <c r="J1976" s="177"/>
      <c r="K1976" s="207"/>
      <c r="L1976" s="207"/>
    </row>
    <row r="1977" spans="1:18" ht="34.5" hidden="1" customHeight="1">
      <c r="A1977" s="82" t="s">
        <v>350</v>
      </c>
      <c r="B1977" s="83">
        <v>795</v>
      </c>
      <c r="C1977" s="84" t="s">
        <v>173</v>
      </c>
      <c r="D1977" s="84" t="s">
        <v>28</v>
      </c>
      <c r="E1977" s="84" t="s">
        <v>540</v>
      </c>
      <c r="F1977" s="84" t="s">
        <v>351</v>
      </c>
      <c r="G1977" s="87"/>
      <c r="H1977" s="87">
        <v>0</v>
      </c>
      <c r="I1977" s="87">
        <v>0</v>
      </c>
      <c r="J1977" s="177"/>
      <c r="K1977" s="207"/>
      <c r="L1977" s="207"/>
    </row>
    <row r="1978" spans="1:18" ht="20.25" hidden="1" customHeight="1">
      <c r="A1978" s="82" t="s">
        <v>633</v>
      </c>
      <c r="B1978" s="83">
        <v>795</v>
      </c>
      <c r="C1978" s="84" t="s">
        <v>173</v>
      </c>
      <c r="D1978" s="84" t="s">
        <v>28</v>
      </c>
      <c r="E1978" s="84" t="s">
        <v>632</v>
      </c>
      <c r="F1978" s="84"/>
      <c r="G1978" s="87">
        <f t="shared" ref="G1978:I1979" si="497">G1979</f>
        <v>0</v>
      </c>
      <c r="H1978" s="87">
        <f t="shared" si="497"/>
        <v>0</v>
      </c>
      <c r="I1978" s="87">
        <f t="shared" si="497"/>
        <v>0</v>
      </c>
      <c r="J1978" s="177"/>
      <c r="K1978" s="207"/>
      <c r="L1978" s="207"/>
    </row>
    <row r="1979" spans="1:18" ht="34.5" hidden="1" customHeight="1">
      <c r="A1979" s="82" t="s">
        <v>36</v>
      </c>
      <c r="B1979" s="83">
        <v>795</v>
      </c>
      <c r="C1979" s="84" t="s">
        <v>173</v>
      </c>
      <c r="D1979" s="84" t="s">
        <v>28</v>
      </c>
      <c r="E1979" s="84" t="s">
        <v>632</v>
      </c>
      <c r="F1979" s="84" t="s">
        <v>37</v>
      </c>
      <c r="G1979" s="87">
        <f t="shared" si="497"/>
        <v>0</v>
      </c>
      <c r="H1979" s="87">
        <f t="shared" si="497"/>
        <v>0</v>
      </c>
      <c r="I1979" s="87">
        <f t="shared" si="497"/>
        <v>0</v>
      </c>
      <c r="J1979" s="177"/>
      <c r="K1979" s="207"/>
      <c r="L1979" s="207"/>
    </row>
    <row r="1980" spans="1:18" ht="34.5" hidden="1" customHeight="1">
      <c r="A1980" s="82" t="s">
        <v>38</v>
      </c>
      <c r="B1980" s="83">
        <v>795</v>
      </c>
      <c r="C1980" s="84" t="s">
        <v>173</v>
      </c>
      <c r="D1980" s="84" t="s">
        <v>28</v>
      </c>
      <c r="E1980" s="84" t="s">
        <v>632</v>
      </c>
      <c r="F1980" s="84" t="s">
        <v>39</v>
      </c>
      <c r="G1980" s="87"/>
      <c r="H1980" s="87"/>
      <c r="I1980" s="87"/>
      <c r="J1980" s="177"/>
      <c r="K1980" s="207"/>
      <c r="L1980" s="207"/>
    </row>
    <row r="1981" spans="1:18" s="18" customFormat="1" ht="25.5" hidden="1">
      <c r="A1981" s="82" t="s">
        <v>475</v>
      </c>
      <c r="B1981" s="83">
        <v>795</v>
      </c>
      <c r="C1981" s="84" t="s">
        <v>173</v>
      </c>
      <c r="D1981" s="84" t="s">
        <v>28</v>
      </c>
      <c r="E1981" s="84" t="s">
        <v>263</v>
      </c>
      <c r="F1981" s="84"/>
      <c r="G1981" s="87">
        <f>G1982</f>
        <v>0</v>
      </c>
      <c r="H1981" s="87">
        <f>H1982</f>
        <v>0</v>
      </c>
      <c r="I1981" s="87">
        <f>I1982</f>
        <v>0</v>
      </c>
      <c r="J1981" s="177"/>
      <c r="K1981" s="202"/>
      <c r="L1981" s="202"/>
      <c r="M1981" s="200"/>
      <c r="N1981" s="200"/>
      <c r="O1981" s="200"/>
      <c r="P1981" s="200"/>
      <c r="Q1981" s="200"/>
      <c r="R1981" s="200"/>
    </row>
    <row r="1982" spans="1:18" s="18" customFormat="1" ht="51.75" hidden="1" customHeight="1">
      <c r="A1982" s="82" t="s">
        <v>553</v>
      </c>
      <c r="B1982" s="83">
        <v>795</v>
      </c>
      <c r="C1982" s="84" t="s">
        <v>173</v>
      </c>
      <c r="D1982" s="84" t="s">
        <v>28</v>
      </c>
      <c r="E1982" s="84" t="s">
        <v>552</v>
      </c>
      <c r="F1982" s="84"/>
      <c r="G1982" s="87">
        <f>G1983</f>
        <v>0</v>
      </c>
      <c r="H1982" s="87">
        <f t="shared" ref="H1982:I1982" si="498">H1983</f>
        <v>0</v>
      </c>
      <c r="I1982" s="87">
        <f t="shared" si="498"/>
        <v>0</v>
      </c>
      <c r="J1982" s="177"/>
      <c r="K1982" s="202"/>
      <c r="L1982" s="202"/>
      <c r="M1982" s="200"/>
      <c r="N1982" s="200"/>
      <c r="O1982" s="200"/>
      <c r="P1982" s="200"/>
      <c r="Q1982" s="200"/>
      <c r="R1982" s="200"/>
    </row>
    <row r="1983" spans="1:18" s="18" customFormat="1" ht="25.5" hidden="1" customHeight="1">
      <c r="A1983" s="82" t="s">
        <v>518</v>
      </c>
      <c r="B1983" s="83">
        <v>795</v>
      </c>
      <c r="C1983" s="84" t="s">
        <v>173</v>
      </c>
      <c r="D1983" s="84" t="s">
        <v>28</v>
      </c>
      <c r="E1983" s="84" t="s">
        <v>552</v>
      </c>
      <c r="F1983" s="84"/>
      <c r="G1983" s="87">
        <f>G1984</f>
        <v>0</v>
      </c>
      <c r="H1983" s="87">
        <f t="shared" ref="H1983:I1984" si="499">H1984</f>
        <v>0</v>
      </c>
      <c r="I1983" s="87">
        <f t="shared" si="499"/>
        <v>0</v>
      </c>
      <c r="J1983" s="177"/>
      <c r="K1983" s="202"/>
      <c r="L1983" s="202"/>
      <c r="M1983" s="200"/>
      <c r="N1983" s="200"/>
      <c r="O1983" s="200"/>
      <c r="P1983" s="200"/>
      <c r="Q1983" s="200"/>
      <c r="R1983" s="200"/>
    </row>
    <row r="1984" spans="1:18" s="18" customFormat="1" hidden="1">
      <c r="A1984" s="82" t="s">
        <v>156</v>
      </c>
      <c r="B1984" s="83">
        <v>795</v>
      </c>
      <c r="C1984" s="84" t="s">
        <v>173</v>
      </c>
      <c r="D1984" s="84" t="s">
        <v>28</v>
      </c>
      <c r="E1984" s="84" t="s">
        <v>552</v>
      </c>
      <c r="F1984" s="84" t="s">
        <v>157</v>
      </c>
      <c r="G1984" s="87">
        <f>G1985</f>
        <v>0</v>
      </c>
      <c r="H1984" s="87">
        <f t="shared" si="499"/>
        <v>0</v>
      </c>
      <c r="I1984" s="87">
        <f t="shared" si="499"/>
        <v>0</v>
      </c>
      <c r="J1984" s="177"/>
      <c r="K1984" s="202"/>
      <c r="L1984" s="202"/>
      <c r="M1984" s="200"/>
      <c r="N1984" s="200"/>
      <c r="O1984" s="200"/>
      <c r="P1984" s="200"/>
      <c r="Q1984" s="200"/>
      <c r="R1984" s="200"/>
    </row>
    <row r="1985" spans="1:18" s="18" customFormat="1" hidden="1">
      <c r="A1985" s="82" t="s">
        <v>170</v>
      </c>
      <c r="B1985" s="83">
        <v>795</v>
      </c>
      <c r="C1985" s="84" t="s">
        <v>173</v>
      </c>
      <c r="D1985" s="84" t="s">
        <v>28</v>
      </c>
      <c r="E1985" s="84" t="s">
        <v>552</v>
      </c>
      <c r="F1985" s="84" t="s">
        <v>171</v>
      </c>
      <c r="G1985" s="87"/>
      <c r="H1985" s="87">
        <v>0</v>
      </c>
      <c r="I1985" s="87">
        <v>0</v>
      </c>
      <c r="J1985" s="177"/>
      <c r="K1985" s="202"/>
      <c r="L1985" s="202"/>
      <c r="M1985" s="200"/>
      <c r="N1985" s="200"/>
      <c r="O1985" s="200"/>
      <c r="P1985" s="200"/>
      <c r="Q1985" s="200"/>
      <c r="R1985" s="200"/>
    </row>
    <row r="1986" spans="1:18" ht="30.75" hidden="1" customHeight="1">
      <c r="A1986" s="82" t="s">
        <v>273</v>
      </c>
      <c r="B1986" s="83">
        <v>795</v>
      </c>
      <c r="C1986" s="84" t="s">
        <v>173</v>
      </c>
      <c r="D1986" s="84" t="s">
        <v>28</v>
      </c>
      <c r="E1986" s="84" t="s">
        <v>572</v>
      </c>
      <c r="F1986" s="84"/>
      <c r="G1986" s="87">
        <f>G1987</f>
        <v>0</v>
      </c>
      <c r="H1986" s="87">
        <v>0</v>
      </c>
      <c r="I1986" s="87">
        <v>0</v>
      </c>
      <c r="J1986" s="177"/>
      <c r="K1986" s="207"/>
      <c r="L1986" s="207"/>
    </row>
    <row r="1987" spans="1:18" ht="30.75" hidden="1" customHeight="1">
      <c r="A1987" s="82" t="s">
        <v>36</v>
      </c>
      <c r="B1987" s="83">
        <v>795</v>
      </c>
      <c r="C1987" s="84" t="s">
        <v>173</v>
      </c>
      <c r="D1987" s="84" t="s">
        <v>28</v>
      </c>
      <c r="E1987" s="84" t="s">
        <v>572</v>
      </c>
      <c r="F1987" s="84" t="s">
        <v>37</v>
      </c>
      <c r="G1987" s="87">
        <f>G1988</f>
        <v>0</v>
      </c>
      <c r="H1987" s="87">
        <v>0</v>
      </c>
      <c r="I1987" s="87">
        <v>0</v>
      </c>
      <c r="J1987" s="177"/>
      <c r="K1987" s="207"/>
      <c r="L1987" s="207"/>
    </row>
    <row r="1988" spans="1:18" ht="1.5" hidden="1" customHeight="1">
      <c r="A1988" s="82" t="s">
        <v>38</v>
      </c>
      <c r="B1988" s="83">
        <v>795</v>
      </c>
      <c r="C1988" s="84" t="s">
        <v>173</v>
      </c>
      <c r="D1988" s="84" t="s">
        <v>28</v>
      </c>
      <c r="E1988" s="84" t="s">
        <v>572</v>
      </c>
      <c r="F1988" s="84" t="s">
        <v>39</v>
      </c>
      <c r="G1988" s="87"/>
      <c r="H1988" s="87">
        <v>0</v>
      </c>
      <c r="I1988" s="87">
        <v>0</v>
      </c>
      <c r="J1988" s="177"/>
      <c r="K1988" s="207"/>
      <c r="L1988" s="207"/>
    </row>
    <row r="1989" spans="1:18" ht="30.75" hidden="1" customHeight="1">
      <c r="A1989" s="82" t="s">
        <v>273</v>
      </c>
      <c r="B1989" s="83">
        <v>795</v>
      </c>
      <c r="C1989" s="84" t="s">
        <v>173</v>
      </c>
      <c r="D1989" s="84" t="s">
        <v>28</v>
      </c>
      <c r="E1989" s="84" t="s">
        <v>571</v>
      </c>
      <c r="F1989" s="84"/>
      <c r="G1989" s="87">
        <f>G1990</f>
        <v>0</v>
      </c>
      <c r="H1989" s="87">
        <v>0</v>
      </c>
      <c r="I1989" s="87">
        <v>0</v>
      </c>
      <c r="J1989" s="177"/>
      <c r="K1989" s="207"/>
      <c r="L1989" s="207"/>
    </row>
    <row r="1990" spans="1:18" ht="30.75" hidden="1" customHeight="1">
      <c r="A1990" s="82" t="s">
        <v>273</v>
      </c>
      <c r="B1990" s="83">
        <v>795</v>
      </c>
      <c r="C1990" s="84" t="s">
        <v>173</v>
      </c>
      <c r="D1990" s="84" t="s">
        <v>28</v>
      </c>
      <c r="E1990" s="84" t="s">
        <v>572</v>
      </c>
      <c r="F1990" s="84"/>
      <c r="G1990" s="87">
        <f>G1997+G1999</f>
        <v>0</v>
      </c>
      <c r="H1990" s="87">
        <v>0</v>
      </c>
      <c r="I1990" s="87">
        <v>0</v>
      </c>
      <c r="J1990" s="177"/>
      <c r="K1990" s="207"/>
      <c r="L1990" s="207"/>
    </row>
    <row r="1991" spans="1:18" ht="30.75" hidden="1" customHeight="1">
      <c r="A1991" s="82" t="s">
        <v>36</v>
      </c>
      <c r="B1991" s="83">
        <v>795</v>
      </c>
      <c r="C1991" s="84" t="s">
        <v>173</v>
      </c>
      <c r="D1991" s="84" t="s">
        <v>28</v>
      </c>
      <c r="E1991" s="84" t="s">
        <v>572</v>
      </c>
      <c r="F1991" s="84" t="s">
        <v>37</v>
      </c>
      <c r="G1991" s="87" t="e">
        <f>G1992</f>
        <v>#REF!</v>
      </c>
      <c r="H1991" s="87">
        <v>0</v>
      </c>
      <c r="I1991" s="87">
        <v>0</v>
      </c>
      <c r="J1991" s="177"/>
      <c r="K1991" s="207"/>
      <c r="L1991" s="207"/>
    </row>
    <row r="1992" spans="1:18" ht="30.75" hidden="1" customHeight="1">
      <c r="A1992" s="82" t="s">
        <v>38</v>
      </c>
      <c r="B1992" s="83">
        <v>795</v>
      </c>
      <c r="C1992" s="84" t="s">
        <v>173</v>
      </c>
      <c r="D1992" s="84" t="s">
        <v>28</v>
      </c>
      <c r="E1992" s="84" t="s">
        <v>572</v>
      </c>
      <c r="F1992" s="84" t="s">
        <v>39</v>
      </c>
      <c r="G1992" s="87" t="e">
        <f>'прил 5,'!#REF!</f>
        <v>#REF!</v>
      </c>
      <c r="H1992" s="87">
        <v>0</v>
      </c>
      <c r="I1992" s="87">
        <v>0</v>
      </c>
      <c r="J1992" s="177"/>
      <c r="K1992" s="207"/>
      <c r="L1992" s="207"/>
    </row>
    <row r="1993" spans="1:18" ht="23.25" hidden="1" customHeight="1">
      <c r="A1993" s="82" t="s">
        <v>148</v>
      </c>
      <c r="B1993" s="83">
        <v>795</v>
      </c>
      <c r="C1993" s="84" t="s">
        <v>173</v>
      </c>
      <c r="D1993" s="84" t="s">
        <v>28</v>
      </c>
      <c r="E1993" s="84" t="s">
        <v>572</v>
      </c>
      <c r="F1993" s="84" t="s">
        <v>149</v>
      </c>
      <c r="G1993" s="87">
        <f>G1994</f>
        <v>0</v>
      </c>
      <c r="H1993" s="87">
        <v>0</v>
      </c>
      <c r="I1993" s="87">
        <v>0</v>
      </c>
      <c r="J1993" s="177"/>
      <c r="K1993" s="207"/>
      <c r="L1993" s="207"/>
    </row>
    <row r="1994" spans="1:18" ht="30.75" hidden="1" customHeight="1">
      <c r="A1994" s="82" t="s">
        <v>150</v>
      </c>
      <c r="B1994" s="83">
        <v>795</v>
      </c>
      <c r="C1994" s="84" t="s">
        <v>173</v>
      </c>
      <c r="D1994" s="84" t="s">
        <v>28</v>
      </c>
      <c r="E1994" s="84" t="s">
        <v>572</v>
      </c>
      <c r="F1994" s="84" t="s">
        <v>151</v>
      </c>
      <c r="G1994" s="87">
        <f>'прил 5,'!G1935</f>
        <v>0</v>
      </c>
      <c r="H1994" s="87">
        <v>0</v>
      </c>
      <c r="I1994" s="87">
        <v>0</v>
      </c>
      <c r="J1994" s="177"/>
      <c r="K1994" s="207"/>
      <c r="L1994" s="207"/>
    </row>
    <row r="1995" spans="1:18" ht="21.75" hidden="1" customHeight="1">
      <c r="A1995" s="82" t="s">
        <v>156</v>
      </c>
      <c r="B1995" s="83">
        <v>795</v>
      </c>
      <c r="C1995" s="84" t="s">
        <v>173</v>
      </c>
      <c r="D1995" s="84" t="s">
        <v>28</v>
      </c>
      <c r="E1995" s="84" t="s">
        <v>572</v>
      </c>
      <c r="F1995" s="84" t="s">
        <v>157</v>
      </c>
      <c r="G1995" s="87">
        <f>G1996</f>
        <v>0</v>
      </c>
      <c r="H1995" s="87">
        <v>0</v>
      </c>
      <c r="I1995" s="87">
        <v>0</v>
      </c>
      <c r="J1995" s="177"/>
      <c r="K1995" s="207"/>
      <c r="L1995" s="207"/>
    </row>
    <row r="1996" spans="1:18" ht="22.5" hidden="1" customHeight="1">
      <c r="A1996" s="82" t="s">
        <v>178</v>
      </c>
      <c r="B1996" s="83">
        <v>795</v>
      </c>
      <c r="C1996" s="84" t="s">
        <v>173</v>
      </c>
      <c r="D1996" s="84" t="s">
        <v>28</v>
      </c>
      <c r="E1996" s="84" t="s">
        <v>572</v>
      </c>
      <c r="F1996" s="84" t="s">
        <v>179</v>
      </c>
      <c r="G1996" s="87"/>
      <c r="H1996" s="87">
        <v>0</v>
      </c>
      <c r="I1996" s="87">
        <v>0</v>
      </c>
      <c r="J1996" s="177"/>
      <c r="K1996" s="207"/>
      <c r="L1996" s="207"/>
    </row>
    <row r="1997" spans="1:18" ht="25.5" hidden="1">
      <c r="A1997" s="82" t="s">
        <v>36</v>
      </c>
      <c r="B1997" s="83">
        <v>795</v>
      </c>
      <c r="C1997" s="84" t="s">
        <v>173</v>
      </c>
      <c r="D1997" s="84" t="s">
        <v>28</v>
      </c>
      <c r="E1997" s="84" t="s">
        <v>572</v>
      </c>
      <c r="F1997" s="84" t="s">
        <v>37</v>
      </c>
      <c r="G1997" s="85">
        <f t="shared" ref="G1997:I1999" si="500">G1998</f>
        <v>0</v>
      </c>
      <c r="H1997" s="85">
        <f t="shared" si="500"/>
        <v>0</v>
      </c>
      <c r="I1997" s="85">
        <f t="shared" si="500"/>
        <v>0</v>
      </c>
      <c r="J1997" s="178"/>
      <c r="K1997" s="207"/>
      <c r="L1997" s="207"/>
    </row>
    <row r="1998" spans="1:18" ht="25.5" hidden="1">
      <c r="A1998" s="82" t="s">
        <v>38</v>
      </c>
      <c r="B1998" s="83">
        <v>795</v>
      </c>
      <c r="C1998" s="84" t="s">
        <v>173</v>
      </c>
      <c r="D1998" s="84" t="s">
        <v>28</v>
      </c>
      <c r="E1998" s="84" t="s">
        <v>572</v>
      </c>
      <c r="F1998" s="84" t="s">
        <v>39</v>
      </c>
      <c r="G1998" s="85"/>
      <c r="H1998" s="85"/>
      <c r="I1998" s="85"/>
      <c r="J1998" s="178"/>
      <c r="K1998" s="207"/>
      <c r="L1998" s="207"/>
    </row>
    <row r="1999" spans="1:18" ht="25.5" hidden="1">
      <c r="A1999" s="82" t="s">
        <v>96</v>
      </c>
      <c r="B1999" s="83">
        <v>795</v>
      </c>
      <c r="C1999" s="84" t="s">
        <v>173</v>
      </c>
      <c r="D1999" s="84" t="s">
        <v>28</v>
      </c>
      <c r="E1999" s="84" t="s">
        <v>572</v>
      </c>
      <c r="F1999" s="84" t="s">
        <v>349</v>
      </c>
      <c r="G1999" s="85">
        <f t="shared" si="500"/>
        <v>0</v>
      </c>
      <c r="H1999" s="85">
        <f t="shared" si="500"/>
        <v>0</v>
      </c>
      <c r="I1999" s="85">
        <f t="shared" si="500"/>
        <v>0</v>
      </c>
      <c r="J1999" s="178"/>
      <c r="K1999" s="207"/>
      <c r="L1999" s="207"/>
    </row>
    <row r="2000" spans="1:18" hidden="1">
      <c r="A2000" s="82" t="s">
        <v>350</v>
      </c>
      <c r="B2000" s="83">
        <v>795</v>
      </c>
      <c r="C2000" s="84" t="s">
        <v>173</v>
      </c>
      <c r="D2000" s="84" t="s">
        <v>28</v>
      </c>
      <c r="E2000" s="84" t="s">
        <v>572</v>
      </c>
      <c r="F2000" s="84" t="s">
        <v>351</v>
      </c>
      <c r="G2000" s="85"/>
      <c r="H2000" s="85"/>
      <c r="I2000" s="85"/>
      <c r="J2000" s="178"/>
      <c r="K2000" s="207"/>
      <c r="L2000" s="207"/>
    </row>
    <row r="2001" spans="1:18" s="28" customFormat="1" ht="24.75" hidden="1" customHeight="1">
      <c r="A2001" s="139" t="s">
        <v>169</v>
      </c>
      <c r="B2001" s="149">
        <v>793</v>
      </c>
      <c r="C2001" s="84" t="s">
        <v>173</v>
      </c>
      <c r="D2001" s="84" t="s">
        <v>28</v>
      </c>
      <c r="E2001" s="84" t="s">
        <v>234</v>
      </c>
      <c r="F2001" s="168"/>
      <c r="G2001" s="87">
        <f t="shared" ref="G2001:I2001" si="501">G2002</f>
        <v>0</v>
      </c>
      <c r="H2001" s="87">
        <f t="shared" si="501"/>
        <v>0</v>
      </c>
      <c r="I2001" s="87">
        <f t="shared" si="501"/>
        <v>0</v>
      </c>
      <c r="J2001" s="177"/>
      <c r="K2001" s="217"/>
      <c r="L2001" s="217"/>
      <c r="M2001" s="204"/>
      <c r="N2001" s="204"/>
      <c r="O2001" s="204"/>
      <c r="P2001" s="204"/>
      <c r="Q2001" s="204"/>
      <c r="R2001" s="204"/>
    </row>
    <row r="2002" spans="1:18" ht="25.5" hidden="1">
      <c r="A2002" s="139" t="s">
        <v>169</v>
      </c>
      <c r="B2002" s="83">
        <v>795</v>
      </c>
      <c r="C2002" s="84" t="s">
        <v>173</v>
      </c>
      <c r="D2002" s="84" t="s">
        <v>28</v>
      </c>
      <c r="E2002" s="84" t="s">
        <v>276</v>
      </c>
      <c r="F2002" s="84"/>
      <c r="G2002" s="87">
        <f>G2003+G2005</f>
        <v>0</v>
      </c>
      <c r="H2002" s="87">
        <f>H2003+H2005</f>
        <v>0</v>
      </c>
      <c r="I2002" s="87">
        <f>I2003+I2005</f>
        <v>0</v>
      </c>
      <c r="J2002" s="177"/>
      <c r="K2002" s="207"/>
      <c r="L2002" s="207"/>
    </row>
    <row r="2003" spans="1:18" hidden="1">
      <c r="A2003" s="82"/>
      <c r="B2003" s="83"/>
      <c r="C2003" s="84" t="s">
        <v>173</v>
      </c>
      <c r="D2003" s="84" t="s">
        <v>28</v>
      </c>
      <c r="E2003" s="84" t="s">
        <v>276</v>
      </c>
      <c r="F2003" s="84"/>
      <c r="G2003" s="87"/>
      <c r="H2003" s="87"/>
      <c r="I2003" s="87"/>
      <c r="J2003" s="177"/>
      <c r="K2003" s="207"/>
      <c r="L2003" s="207"/>
    </row>
    <row r="2004" spans="1:18" ht="30.75" hidden="1" customHeight="1">
      <c r="A2004" s="82"/>
      <c r="B2004" s="83"/>
      <c r="C2004" s="84" t="s">
        <v>173</v>
      </c>
      <c r="D2004" s="84" t="s">
        <v>28</v>
      </c>
      <c r="E2004" s="84" t="s">
        <v>276</v>
      </c>
      <c r="F2004" s="84"/>
      <c r="G2004" s="87"/>
      <c r="H2004" s="87"/>
      <c r="I2004" s="87"/>
      <c r="J2004" s="177"/>
      <c r="K2004" s="207"/>
      <c r="L2004" s="207"/>
    </row>
    <row r="2005" spans="1:18" ht="30.75" hidden="1" customHeight="1">
      <c r="A2005" s="82" t="s">
        <v>36</v>
      </c>
      <c r="B2005" s="83">
        <v>795</v>
      </c>
      <c r="C2005" s="84" t="s">
        <v>173</v>
      </c>
      <c r="D2005" s="84" t="s">
        <v>28</v>
      </c>
      <c r="E2005" s="84" t="s">
        <v>276</v>
      </c>
      <c r="F2005" s="84" t="s">
        <v>37</v>
      </c>
      <c r="G2005" s="87">
        <f>G2006</f>
        <v>0</v>
      </c>
      <c r="H2005" s="87">
        <f>H2006</f>
        <v>0</v>
      </c>
      <c r="I2005" s="87">
        <f>I2006</f>
        <v>0</v>
      </c>
      <c r="J2005" s="177"/>
      <c r="K2005" s="207"/>
      <c r="L2005" s="207"/>
    </row>
    <row r="2006" spans="1:18" ht="35.25" hidden="1" customHeight="1">
      <c r="A2006" s="82" t="s">
        <v>38</v>
      </c>
      <c r="B2006" s="83">
        <v>795</v>
      </c>
      <c r="C2006" s="84" t="s">
        <v>173</v>
      </c>
      <c r="D2006" s="84" t="s">
        <v>28</v>
      </c>
      <c r="E2006" s="84" t="s">
        <v>276</v>
      </c>
      <c r="F2006" s="84" t="s">
        <v>39</v>
      </c>
      <c r="G2006" s="87"/>
      <c r="H2006" s="87"/>
      <c r="I2006" s="87"/>
      <c r="J2006" s="177"/>
      <c r="K2006" s="207"/>
      <c r="L2006" s="207"/>
    </row>
    <row r="2007" spans="1:18" s="22" customFormat="1" ht="17.25" hidden="1" customHeight="1">
      <c r="A2007" s="154" t="s">
        <v>285</v>
      </c>
      <c r="B2007" s="275">
        <v>795</v>
      </c>
      <c r="C2007" s="156" t="s">
        <v>173</v>
      </c>
      <c r="D2007" s="156" t="s">
        <v>70</v>
      </c>
      <c r="E2007" s="156"/>
      <c r="F2007" s="156"/>
      <c r="G2007" s="157">
        <f>G2008+G2023</f>
        <v>0</v>
      </c>
      <c r="H2007" s="157">
        <f t="shared" ref="H2007:I2007" si="502">H2008+H2023</f>
        <v>0</v>
      </c>
      <c r="I2007" s="157">
        <f t="shared" si="502"/>
        <v>0</v>
      </c>
      <c r="J2007" s="196"/>
      <c r="K2007" s="207"/>
      <c r="L2007" s="207"/>
      <c r="M2007" s="207"/>
      <c r="N2007" s="207"/>
      <c r="O2007" s="207"/>
      <c r="P2007" s="207"/>
      <c r="Q2007" s="207"/>
      <c r="R2007" s="207"/>
    </row>
    <row r="2008" spans="1:18" ht="51" hidden="1">
      <c r="A2008" s="82" t="s">
        <v>495</v>
      </c>
      <c r="B2008" s="83">
        <v>795</v>
      </c>
      <c r="C2008" s="84" t="s">
        <v>173</v>
      </c>
      <c r="D2008" s="84" t="s">
        <v>70</v>
      </c>
      <c r="E2008" s="84" t="s">
        <v>296</v>
      </c>
      <c r="F2008" s="84"/>
      <c r="G2008" s="87">
        <f>G2009+G2012+G2017+G2020</f>
        <v>0</v>
      </c>
      <c r="H2008" s="87">
        <f t="shared" ref="H2008:I2008" si="503">H2009+H2012+H2017+H2020</f>
        <v>0</v>
      </c>
      <c r="I2008" s="87">
        <f t="shared" si="503"/>
        <v>0</v>
      </c>
      <c r="J2008" s="177"/>
      <c r="K2008" s="207"/>
      <c r="L2008" s="207"/>
    </row>
    <row r="2009" spans="1:18" s="46" customFormat="1" ht="17.25" hidden="1" customHeight="1">
      <c r="A2009" s="82" t="s">
        <v>382</v>
      </c>
      <c r="B2009" s="83">
        <v>795</v>
      </c>
      <c r="C2009" s="84" t="s">
        <v>173</v>
      </c>
      <c r="D2009" s="84" t="s">
        <v>70</v>
      </c>
      <c r="E2009" s="84" t="s">
        <v>381</v>
      </c>
      <c r="F2009" s="84"/>
      <c r="G2009" s="87">
        <f t="shared" ref="G2009:I2010" si="504">G2010</f>
        <v>0</v>
      </c>
      <c r="H2009" s="87">
        <f t="shared" si="504"/>
        <v>0</v>
      </c>
      <c r="I2009" s="87">
        <f t="shared" si="504"/>
        <v>0</v>
      </c>
      <c r="J2009" s="177"/>
      <c r="K2009" s="207"/>
      <c r="L2009" s="207"/>
      <c r="M2009" s="222"/>
      <c r="N2009" s="222"/>
      <c r="O2009" s="222"/>
      <c r="P2009" s="222"/>
      <c r="Q2009" s="222"/>
      <c r="R2009" s="222"/>
    </row>
    <row r="2010" spans="1:18" s="46" customFormat="1" ht="17.25" hidden="1" customHeight="1">
      <c r="A2010" s="82" t="s">
        <v>324</v>
      </c>
      <c r="B2010" s="83">
        <v>795</v>
      </c>
      <c r="C2010" s="84" t="s">
        <v>173</v>
      </c>
      <c r="D2010" s="84" t="s">
        <v>70</v>
      </c>
      <c r="E2010" s="84" t="s">
        <v>381</v>
      </c>
      <c r="F2010" s="84" t="s">
        <v>37</v>
      </c>
      <c r="G2010" s="87">
        <f t="shared" si="504"/>
        <v>0</v>
      </c>
      <c r="H2010" s="87">
        <f t="shared" si="504"/>
        <v>0</v>
      </c>
      <c r="I2010" s="87">
        <f t="shared" si="504"/>
        <v>0</v>
      </c>
      <c r="J2010" s="177"/>
      <c r="K2010" s="207"/>
      <c r="L2010" s="207"/>
      <c r="M2010" s="222"/>
      <c r="N2010" s="222"/>
      <c r="O2010" s="222"/>
      <c r="P2010" s="222"/>
      <c r="Q2010" s="222"/>
      <c r="R2010" s="222"/>
    </row>
    <row r="2011" spans="1:18" s="46" customFormat="1" ht="32.25" hidden="1" customHeight="1">
      <c r="A2011" s="82" t="s">
        <v>38</v>
      </c>
      <c r="B2011" s="83">
        <v>795</v>
      </c>
      <c r="C2011" s="84" t="s">
        <v>173</v>
      </c>
      <c r="D2011" s="84" t="s">
        <v>70</v>
      </c>
      <c r="E2011" s="84" t="s">
        <v>381</v>
      </c>
      <c r="F2011" s="84" t="s">
        <v>39</v>
      </c>
      <c r="G2011" s="87"/>
      <c r="H2011" s="87"/>
      <c r="I2011" s="87"/>
      <c r="J2011" s="177"/>
      <c r="K2011" s="207"/>
      <c r="L2011" s="207"/>
      <c r="M2011" s="222"/>
      <c r="N2011" s="222"/>
      <c r="O2011" s="222"/>
      <c r="P2011" s="222"/>
      <c r="Q2011" s="222"/>
      <c r="R2011" s="222"/>
    </row>
    <row r="2012" spans="1:18" hidden="1">
      <c r="A2012" s="82" t="s">
        <v>79</v>
      </c>
      <c r="B2012" s="83">
        <v>795</v>
      </c>
      <c r="C2012" s="84" t="s">
        <v>173</v>
      </c>
      <c r="D2012" s="84" t="s">
        <v>70</v>
      </c>
      <c r="E2012" s="84" t="s">
        <v>100</v>
      </c>
      <c r="F2012" s="84"/>
      <c r="G2012" s="87">
        <f>G2013+G2015</f>
        <v>0</v>
      </c>
      <c r="H2012" s="87">
        <f>H2013+H2015</f>
        <v>0</v>
      </c>
      <c r="I2012" s="87">
        <f>I2013+I2015</f>
        <v>0</v>
      </c>
      <c r="J2012" s="177"/>
      <c r="K2012" s="207"/>
      <c r="L2012" s="207"/>
    </row>
    <row r="2013" spans="1:18" ht="25.5" hidden="1">
      <c r="A2013" s="82" t="s">
        <v>36</v>
      </c>
      <c r="B2013" s="83">
        <v>795</v>
      </c>
      <c r="C2013" s="84" t="s">
        <v>173</v>
      </c>
      <c r="D2013" s="84" t="s">
        <v>70</v>
      </c>
      <c r="E2013" s="84" t="s">
        <v>100</v>
      </c>
      <c r="F2013" s="84" t="s">
        <v>37</v>
      </c>
      <c r="G2013" s="87">
        <f>G2014</f>
        <v>0</v>
      </c>
      <c r="H2013" s="87">
        <f>H2014</f>
        <v>0</v>
      </c>
      <c r="I2013" s="87">
        <f>I2014</f>
        <v>0</v>
      </c>
      <c r="J2013" s="177"/>
      <c r="K2013" s="207"/>
      <c r="L2013" s="207"/>
    </row>
    <row r="2014" spans="1:18" ht="30.75" hidden="1" customHeight="1">
      <c r="A2014" s="82" t="s">
        <v>38</v>
      </c>
      <c r="B2014" s="83">
        <v>795</v>
      </c>
      <c r="C2014" s="84" t="s">
        <v>173</v>
      </c>
      <c r="D2014" s="84" t="s">
        <v>70</v>
      </c>
      <c r="E2014" s="84" t="s">
        <v>100</v>
      </c>
      <c r="F2014" s="84" t="s">
        <v>39</v>
      </c>
      <c r="G2014" s="87"/>
      <c r="H2014" s="87"/>
      <c r="I2014" s="87"/>
      <c r="J2014" s="177"/>
      <c r="K2014" s="207"/>
      <c r="L2014" s="207"/>
    </row>
    <row r="2015" spans="1:18" ht="18" hidden="1" customHeight="1">
      <c r="A2015" s="82" t="s">
        <v>156</v>
      </c>
      <c r="B2015" s="83">
        <v>795</v>
      </c>
      <c r="C2015" s="84" t="s">
        <v>173</v>
      </c>
      <c r="D2015" s="84" t="s">
        <v>70</v>
      </c>
      <c r="E2015" s="84" t="s">
        <v>100</v>
      </c>
      <c r="F2015" s="84" t="s">
        <v>157</v>
      </c>
      <c r="G2015" s="87">
        <f>G2016</f>
        <v>0</v>
      </c>
      <c r="H2015" s="87">
        <f>H2016</f>
        <v>0</v>
      </c>
      <c r="I2015" s="87">
        <f>I2016</f>
        <v>0</v>
      </c>
      <c r="J2015" s="177"/>
      <c r="K2015" s="207"/>
      <c r="L2015" s="207"/>
    </row>
    <row r="2016" spans="1:18" ht="18" hidden="1" customHeight="1">
      <c r="A2016" s="82" t="s">
        <v>178</v>
      </c>
      <c r="B2016" s="83">
        <v>795</v>
      </c>
      <c r="C2016" s="84" t="s">
        <v>173</v>
      </c>
      <c r="D2016" s="84" t="s">
        <v>70</v>
      </c>
      <c r="E2016" s="84" t="s">
        <v>100</v>
      </c>
      <c r="F2016" s="84" t="s">
        <v>179</v>
      </c>
      <c r="G2016" s="87"/>
      <c r="H2016" s="87"/>
      <c r="I2016" s="87"/>
      <c r="J2016" s="177"/>
      <c r="K2016" s="207"/>
      <c r="L2016" s="207"/>
    </row>
    <row r="2017" spans="1:18" ht="26.25" hidden="1" customHeight="1">
      <c r="A2017" s="82" t="s">
        <v>77</v>
      </c>
      <c r="B2017" s="83">
        <v>795</v>
      </c>
      <c r="C2017" s="84" t="s">
        <v>173</v>
      </c>
      <c r="D2017" s="84" t="s">
        <v>70</v>
      </c>
      <c r="E2017" s="84" t="s">
        <v>78</v>
      </c>
      <c r="F2017" s="84"/>
      <c r="G2017" s="87">
        <f t="shared" ref="G2017:I2018" si="505">G2018</f>
        <v>0</v>
      </c>
      <c r="H2017" s="87">
        <f t="shared" si="505"/>
        <v>0</v>
      </c>
      <c r="I2017" s="87">
        <f t="shared" si="505"/>
        <v>0</v>
      </c>
      <c r="J2017" s="177"/>
      <c r="K2017" s="207"/>
      <c r="L2017" s="207"/>
    </row>
    <row r="2018" spans="1:18" ht="26.25" hidden="1" customHeight="1">
      <c r="A2018" s="82" t="s">
        <v>36</v>
      </c>
      <c r="B2018" s="83">
        <v>795</v>
      </c>
      <c r="C2018" s="84" t="s">
        <v>173</v>
      </c>
      <c r="D2018" s="84" t="s">
        <v>70</v>
      </c>
      <c r="E2018" s="84" t="s">
        <v>78</v>
      </c>
      <c r="F2018" s="84" t="s">
        <v>37</v>
      </c>
      <c r="G2018" s="87">
        <f t="shared" si="505"/>
        <v>0</v>
      </c>
      <c r="H2018" s="87">
        <f t="shared" si="505"/>
        <v>0</v>
      </c>
      <c r="I2018" s="87">
        <f t="shared" si="505"/>
        <v>0</v>
      </c>
      <c r="J2018" s="177"/>
      <c r="K2018" s="207"/>
      <c r="L2018" s="207"/>
    </row>
    <row r="2019" spans="1:18" ht="25.5" hidden="1">
      <c r="A2019" s="82" t="s">
        <v>38</v>
      </c>
      <c r="B2019" s="83">
        <v>795</v>
      </c>
      <c r="C2019" s="84" t="s">
        <v>173</v>
      </c>
      <c r="D2019" s="84" t="s">
        <v>70</v>
      </c>
      <c r="E2019" s="84" t="s">
        <v>78</v>
      </c>
      <c r="F2019" s="84" t="s">
        <v>39</v>
      </c>
      <c r="G2019" s="87"/>
      <c r="H2019" s="87"/>
      <c r="I2019" s="87"/>
      <c r="J2019" s="177"/>
      <c r="K2019" s="207"/>
      <c r="L2019" s="207"/>
    </row>
    <row r="2020" spans="1:18" ht="30.75" hidden="1" customHeight="1">
      <c r="A2020" s="82" t="s">
        <v>705</v>
      </c>
      <c r="B2020" s="83">
        <v>795</v>
      </c>
      <c r="C2020" s="84" t="s">
        <v>173</v>
      </c>
      <c r="D2020" s="84" t="s">
        <v>70</v>
      </c>
      <c r="E2020" s="84" t="s">
        <v>418</v>
      </c>
      <c r="F2020" s="84"/>
      <c r="G2020" s="87">
        <f t="shared" ref="G2020:I2021" si="506">G2021</f>
        <v>0</v>
      </c>
      <c r="H2020" s="87">
        <f t="shared" si="506"/>
        <v>0</v>
      </c>
      <c r="I2020" s="87">
        <f t="shared" si="506"/>
        <v>0</v>
      </c>
      <c r="J2020" s="177"/>
      <c r="K2020" s="207"/>
      <c r="L2020" s="207"/>
    </row>
    <row r="2021" spans="1:18" ht="30.75" hidden="1" customHeight="1">
      <c r="A2021" s="82" t="s">
        <v>36</v>
      </c>
      <c r="B2021" s="83">
        <v>795</v>
      </c>
      <c r="C2021" s="84" t="s">
        <v>173</v>
      </c>
      <c r="D2021" s="84" t="s">
        <v>70</v>
      </c>
      <c r="E2021" s="84" t="s">
        <v>418</v>
      </c>
      <c r="F2021" s="84" t="s">
        <v>37</v>
      </c>
      <c r="G2021" s="87">
        <f t="shared" si="506"/>
        <v>0</v>
      </c>
      <c r="H2021" s="87">
        <f t="shared" si="506"/>
        <v>0</v>
      </c>
      <c r="I2021" s="87">
        <f t="shared" si="506"/>
        <v>0</v>
      </c>
      <c r="J2021" s="177"/>
      <c r="K2021" s="207"/>
      <c r="L2021" s="207"/>
    </row>
    <row r="2022" spans="1:18" ht="30.75" hidden="1" customHeight="1">
      <c r="A2022" s="82" t="s">
        <v>38</v>
      </c>
      <c r="B2022" s="83">
        <v>795</v>
      </c>
      <c r="C2022" s="84" t="s">
        <v>173</v>
      </c>
      <c r="D2022" s="84" t="s">
        <v>70</v>
      </c>
      <c r="E2022" s="84" t="s">
        <v>418</v>
      </c>
      <c r="F2022" s="84" t="s">
        <v>39</v>
      </c>
      <c r="G2022" s="87"/>
      <c r="H2022" s="87"/>
      <c r="I2022" s="87"/>
      <c r="J2022" s="177"/>
      <c r="K2022" s="207"/>
      <c r="L2022" s="207"/>
    </row>
    <row r="2023" spans="1:18" ht="44.25" hidden="1" customHeight="1">
      <c r="A2023" s="82" t="s">
        <v>470</v>
      </c>
      <c r="B2023" s="83">
        <v>795</v>
      </c>
      <c r="C2023" s="84" t="s">
        <v>173</v>
      </c>
      <c r="D2023" s="84" t="s">
        <v>70</v>
      </c>
      <c r="E2023" s="84" t="s">
        <v>139</v>
      </c>
      <c r="F2023" s="84"/>
      <c r="G2023" s="87">
        <f>G2024+G2027</f>
        <v>0</v>
      </c>
      <c r="H2023" s="87">
        <f t="shared" ref="H2023:I2023" si="507">H2024+H2027</f>
        <v>0</v>
      </c>
      <c r="I2023" s="87">
        <f t="shared" si="507"/>
        <v>0</v>
      </c>
      <c r="J2023" s="177"/>
      <c r="K2023" s="207"/>
      <c r="L2023" s="207"/>
    </row>
    <row r="2024" spans="1:18" s="22" customFormat="1" ht="36" hidden="1" customHeight="1">
      <c r="A2024" s="82" t="s">
        <v>646</v>
      </c>
      <c r="B2024" s="149">
        <v>795</v>
      </c>
      <c r="C2024" s="84" t="s">
        <v>173</v>
      </c>
      <c r="D2024" s="84" t="s">
        <v>70</v>
      </c>
      <c r="E2024" s="84" t="s">
        <v>647</v>
      </c>
      <c r="F2024" s="156"/>
      <c r="G2024" s="87">
        <f>G2025</f>
        <v>0</v>
      </c>
      <c r="H2024" s="87">
        <f t="shared" ref="H2024:I2025" si="508">H2025</f>
        <v>0</v>
      </c>
      <c r="I2024" s="87">
        <f t="shared" si="508"/>
        <v>0</v>
      </c>
      <c r="J2024" s="177"/>
      <c r="K2024" s="207"/>
      <c r="L2024" s="207"/>
      <c r="M2024" s="207"/>
      <c r="N2024" s="207"/>
      <c r="O2024" s="207"/>
      <c r="P2024" s="207"/>
      <c r="Q2024" s="207"/>
      <c r="R2024" s="207"/>
    </row>
    <row r="2025" spans="1:18" s="22" customFormat="1" ht="24" hidden="1" customHeight="1">
      <c r="A2025" s="82" t="s">
        <v>156</v>
      </c>
      <c r="B2025" s="149">
        <v>795</v>
      </c>
      <c r="C2025" s="84" t="s">
        <v>173</v>
      </c>
      <c r="D2025" s="84" t="s">
        <v>70</v>
      </c>
      <c r="E2025" s="84" t="s">
        <v>647</v>
      </c>
      <c r="F2025" s="84" t="s">
        <v>157</v>
      </c>
      <c r="G2025" s="87">
        <f>G2026</f>
        <v>0</v>
      </c>
      <c r="H2025" s="87">
        <f t="shared" si="508"/>
        <v>0</v>
      </c>
      <c r="I2025" s="87">
        <f t="shared" si="508"/>
        <v>0</v>
      </c>
      <c r="J2025" s="177"/>
      <c r="K2025" s="207"/>
      <c r="L2025" s="207"/>
      <c r="M2025" s="207"/>
      <c r="N2025" s="207"/>
      <c r="O2025" s="207"/>
      <c r="P2025" s="207"/>
      <c r="Q2025" s="207"/>
      <c r="R2025" s="207"/>
    </row>
    <row r="2026" spans="1:18" s="22" customFormat="1" ht="24" hidden="1" customHeight="1">
      <c r="A2026" s="82" t="s">
        <v>178</v>
      </c>
      <c r="B2026" s="149">
        <v>795</v>
      </c>
      <c r="C2026" s="84" t="s">
        <v>173</v>
      </c>
      <c r="D2026" s="84" t="s">
        <v>70</v>
      </c>
      <c r="E2026" s="84" t="s">
        <v>647</v>
      </c>
      <c r="F2026" s="84" t="s">
        <v>179</v>
      </c>
      <c r="G2026" s="87"/>
      <c r="H2026" s="87">
        <v>0</v>
      </c>
      <c r="I2026" s="87">
        <v>0</v>
      </c>
      <c r="J2026" s="177"/>
      <c r="K2026" s="207"/>
      <c r="L2026" s="207"/>
      <c r="M2026" s="207"/>
      <c r="N2026" s="207"/>
      <c r="O2026" s="207"/>
      <c r="P2026" s="207"/>
      <c r="Q2026" s="207"/>
      <c r="R2026" s="207"/>
    </row>
    <row r="2027" spans="1:18" ht="50.25" hidden="1" customHeight="1">
      <c r="A2027" s="82" t="s">
        <v>404</v>
      </c>
      <c r="B2027" s="83">
        <v>795</v>
      </c>
      <c r="C2027" s="84" t="s">
        <v>173</v>
      </c>
      <c r="D2027" s="84" t="s">
        <v>70</v>
      </c>
      <c r="E2027" s="84" t="s">
        <v>403</v>
      </c>
      <c r="F2027" s="84"/>
      <c r="G2027" s="87">
        <f>G2028</f>
        <v>0</v>
      </c>
      <c r="H2027" s="87">
        <f t="shared" ref="H2027:I2028" si="509">H2028</f>
        <v>0</v>
      </c>
      <c r="I2027" s="87">
        <f t="shared" si="509"/>
        <v>0</v>
      </c>
      <c r="J2027" s="177"/>
      <c r="K2027" s="207"/>
      <c r="L2027" s="207"/>
    </row>
    <row r="2028" spans="1:18" ht="23.25" hidden="1" customHeight="1">
      <c r="A2028" s="82" t="s">
        <v>156</v>
      </c>
      <c r="B2028" s="83">
        <v>795</v>
      </c>
      <c r="C2028" s="84" t="s">
        <v>173</v>
      </c>
      <c r="D2028" s="84" t="s">
        <v>70</v>
      </c>
      <c r="E2028" s="84" t="s">
        <v>403</v>
      </c>
      <c r="F2028" s="84" t="s">
        <v>157</v>
      </c>
      <c r="G2028" s="87">
        <f>G2029</f>
        <v>0</v>
      </c>
      <c r="H2028" s="87">
        <f t="shared" si="509"/>
        <v>0</v>
      </c>
      <c r="I2028" s="87">
        <f t="shared" si="509"/>
        <v>0</v>
      </c>
      <c r="J2028" s="177"/>
      <c r="K2028" s="207"/>
      <c r="L2028" s="207"/>
    </row>
    <row r="2029" spans="1:18" ht="23.25" hidden="1" customHeight="1">
      <c r="A2029" s="82" t="s">
        <v>178</v>
      </c>
      <c r="B2029" s="83">
        <v>795</v>
      </c>
      <c r="C2029" s="84" t="s">
        <v>173</v>
      </c>
      <c r="D2029" s="84" t="s">
        <v>70</v>
      </c>
      <c r="E2029" s="84" t="s">
        <v>403</v>
      </c>
      <c r="F2029" s="84" t="s">
        <v>179</v>
      </c>
      <c r="G2029" s="87"/>
      <c r="H2029" s="85"/>
      <c r="I2029" s="85"/>
      <c r="J2029" s="178"/>
      <c r="K2029" s="207"/>
      <c r="L2029" s="207"/>
    </row>
    <row r="2030" spans="1:18" s="22" customFormat="1" ht="25.5" hidden="1">
      <c r="A2030" s="154" t="s">
        <v>588</v>
      </c>
      <c r="B2030" s="275">
        <v>795</v>
      </c>
      <c r="C2030" s="156" t="s">
        <v>173</v>
      </c>
      <c r="D2030" s="156" t="s">
        <v>173</v>
      </c>
      <c r="E2030" s="156"/>
      <c r="F2030" s="156"/>
      <c r="G2030" s="157">
        <f>G2031+G2054</f>
        <v>0</v>
      </c>
      <c r="H2030" s="157">
        <f t="shared" ref="H2030:I2030" si="510">H2031</f>
        <v>0</v>
      </c>
      <c r="I2030" s="157">
        <f t="shared" si="510"/>
        <v>0</v>
      </c>
      <c r="J2030" s="196"/>
      <c r="K2030" s="207"/>
      <c r="L2030" s="207"/>
      <c r="M2030" s="207"/>
      <c r="N2030" s="207"/>
      <c r="O2030" s="207"/>
      <c r="P2030" s="207"/>
      <c r="Q2030" s="207"/>
      <c r="R2030" s="207"/>
    </row>
    <row r="2031" spans="1:18" ht="54" hidden="1" customHeight="1">
      <c r="A2031" s="82" t="s">
        <v>495</v>
      </c>
      <c r="B2031" s="83">
        <v>795</v>
      </c>
      <c r="C2031" s="84" t="s">
        <v>173</v>
      </c>
      <c r="D2031" s="84" t="s">
        <v>173</v>
      </c>
      <c r="E2031" s="84" t="s">
        <v>296</v>
      </c>
      <c r="F2031" s="84"/>
      <c r="G2031" s="87">
        <f>G2032+G2039+G2044+G2055</f>
        <v>0</v>
      </c>
      <c r="H2031" s="87">
        <f t="shared" ref="H2031:I2031" si="511">H2035+H2044+H2049+H2032</f>
        <v>0</v>
      </c>
      <c r="I2031" s="87">
        <f t="shared" si="511"/>
        <v>0</v>
      </c>
      <c r="J2031" s="177"/>
      <c r="K2031" s="207"/>
      <c r="L2031" s="207"/>
    </row>
    <row r="2032" spans="1:18" ht="73.5" hidden="1" customHeight="1">
      <c r="A2032" s="139" t="s">
        <v>716</v>
      </c>
      <c r="B2032" s="83">
        <v>795</v>
      </c>
      <c r="C2032" s="84" t="s">
        <v>173</v>
      </c>
      <c r="D2032" s="84" t="s">
        <v>173</v>
      </c>
      <c r="E2032" s="84" t="s">
        <v>723</v>
      </c>
      <c r="F2032" s="84"/>
      <c r="G2032" s="87">
        <f>G2033</f>
        <v>0</v>
      </c>
      <c r="H2032" s="85">
        <v>0</v>
      </c>
      <c r="I2032" s="85">
        <v>0</v>
      </c>
      <c r="J2032" s="178"/>
      <c r="K2032" s="207"/>
      <c r="L2032" s="207"/>
    </row>
    <row r="2033" spans="1:12" ht="21" hidden="1" customHeight="1">
      <c r="A2033" s="82" t="s">
        <v>156</v>
      </c>
      <c r="B2033" s="83">
        <v>795</v>
      </c>
      <c r="C2033" s="84" t="s">
        <v>173</v>
      </c>
      <c r="D2033" s="84" t="s">
        <v>173</v>
      </c>
      <c r="E2033" s="84" t="s">
        <v>723</v>
      </c>
      <c r="F2033" s="84" t="s">
        <v>157</v>
      </c>
      <c r="G2033" s="87">
        <f>G2034</f>
        <v>0</v>
      </c>
      <c r="H2033" s="85">
        <v>0</v>
      </c>
      <c r="I2033" s="85">
        <v>0</v>
      </c>
      <c r="J2033" s="178"/>
      <c r="K2033" s="207"/>
      <c r="L2033" s="207"/>
    </row>
    <row r="2034" spans="1:12" ht="20.25" hidden="1" customHeight="1">
      <c r="A2034" s="82" t="s">
        <v>170</v>
      </c>
      <c r="B2034" s="83">
        <v>795</v>
      </c>
      <c r="C2034" s="84" t="s">
        <v>173</v>
      </c>
      <c r="D2034" s="84" t="s">
        <v>173</v>
      </c>
      <c r="E2034" s="84" t="s">
        <v>723</v>
      </c>
      <c r="F2034" s="84" t="s">
        <v>171</v>
      </c>
      <c r="G2034" s="87"/>
      <c r="H2034" s="85"/>
      <c r="I2034" s="85"/>
      <c r="J2034" s="178"/>
      <c r="K2034" s="207"/>
      <c r="L2034" s="207"/>
    </row>
    <row r="2035" spans="1:12" ht="25.5" hidden="1" customHeight="1">
      <c r="A2035" s="139" t="s">
        <v>628</v>
      </c>
      <c r="B2035" s="83">
        <v>795</v>
      </c>
      <c r="C2035" s="84" t="s">
        <v>173</v>
      </c>
      <c r="D2035" s="84" t="s">
        <v>173</v>
      </c>
      <c r="E2035" s="84" t="s">
        <v>625</v>
      </c>
      <c r="F2035" s="84"/>
      <c r="G2035" s="87">
        <f>G2036</f>
        <v>0</v>
      </c>
      <c r="H2035" s="85">
        <v>0</v>
      </c>
      <c r="I2035" s="85">
        <v>0</v>
      </c>
      <c r="J2035" s="178"/>
      <c r="K2035" s="207"/>
      <c r="L2035" s="207"/>
    </row>
    <row r="2036" spans="1:12" ht="39.75" hidden="1" customHeight="1">
      <c r="A2036" s="139" t="s">
        <v>627</v>
      </c>
      <c r="B2036" s="83">
        <v>795</v>
      </c>
      <c r="C2036" s="84" t="s">
        <v>173</v>
      </c>
      <c r="D2036" s="84" t="s">
        <v>173</v>
      </c>
      <c r="E2036" s="84" t="s">
        <v>626</v>
      </c>
      <c r="F2036" s="84"/>
      <c r="G2036" s="87">
        <f>G2037</f>
        <v>0</v>
      </c>
      <c r="H2036" s="85">
        <v>0</v>
      </c>
      <c r="I2036" s="85">
        <v>0</v>
      </c>
      <c r="J2036" s="178"/>
      <c r="K2036" s="207"/>
      <c r="L2036" s="207"/>
    </row>
    <row r="2037" spans="1:12" ht="30.75" hidden="1" customHeight="1">
      <c r="A2037" s="82" t="s">
        <v>96</v>
      </c>
      <c r="B2037" s="83">
        <v>795</v>
      </c>
      <c r="C2037" s="84" t="s">
        <v>173</v>
      </c>
      <c r="D2037" s="84" t="s">
        <v>173</v>
      </c>
      <c r="E2037" s="84" t="s">
        <v>626</v>
      </c>
      <c r="F2037" s="84" t="s">
        <v>349</v>
      </c>
      <c r="G2037" s="87">
        <f>G2038</f>
        <v>0</v>
      </c>
      <c r="H2037" s="85">
        <v>0</v>
      </c>
      <c r="I2037" s="85">
        <v>0</v>
      </c>
      <c r="J2037" s="178"/>
      <c r="K2037" s="207"/>
      <c r="L2037" s="207"/>
    </row>
    <row r="2038" spans="1:12" ht="30.75" hidden="1" customHeight="1">
      <c r="A2038" s="82" t="s">
        <v>350</v>
      </c>
      <c r="B2038" s="83">
        <v>795</v>
      </c>
      <c r="C2038" s="84" t="s">
        <v>173</v>
      </c>
      <c r="D2038" s="84" t="s">
        <v>173</v>
      </c>
      <c r="E2038" s="84" t="s">
        <v>626</v>
      </c>
      <c r="F2038" s="84" t="s">
        <v>351</v>
      </c>
      <c r="G2038" s="87"/>
      <c r="H2038" s="85">
        <v>0</v>
      </c>
      <c r="I2038" s="85">
        <v>0</v>
      </c>
      <c r="J2038" s="178"/>
      <c r="K2038" s="207"/>
      <c r="L2038" s="207"/>
    </row>
    <row r="2039" spans="1:12" ht="55.5" hidden="1" customHeight="1">
      <c r="A2039" s="139" t="s">
        <v>741</v>
      </c>
      <c r="B2039" s="83">
        <v>795</v>
      </c>
      <c r="C2039" s="84" t="s">
        <v>173</v>
      </c>
      <c r="D2039" s="84" t="s">
        <v>173</v>
      </c>
      <c r="E2039" s="84" t="s">
        <v>725</v>
      </c>
      <c r="F2039" s="84"/>
      <c r="G2039" s="87">
        <f>G2040+G2042</f>
        <v>0</v>
      </c>
      <c r="H2039" s="87">
        <f t="shared" ref="H2039:I2039" si="512">H2040+H2042</f>
        <v>0</v>
      </c>
      <c r="I2039" s="87">
        <f t="shared" si="512"/>
        <v>0</v>
      </c>
      <c r="J2039" s="177"/>
      <c r="K2039" s="207"/>
      <c r="L2039" s="207"/>
    </row>
    <row r="2040" spans="1:12" ht="27" hidden="1" customHeight="1">
      <c r="A2040" s="82" t="s">
        <v>96</v>
      </c>
      <c r="B2040" s="83">
        <v>795</v>
      </c>
      <c r="C2040" s="84" t="s">
        <v>173</v>
      </c>
      <c r="D2040" s="84" t="s">
        <v>173</v>
      </c>
      <c r="E2040" s="84" t="s">
        <v>611</v>
      </c>
      <c r="F2040" s="84" t="s">
        <v>349</v>
      </c>
      <c r="G2040" s="87">
        <f>G2041</f>
        <v>0</v>
      </c>
      <c r="H2040" s="85">
        <f>H2041</f>
        <v>0</v>
      </c>
      <c r="I2040" s="85">
        <v>0</v>
      </c>
      <c r="J2040" s="178"/>
      <c r="K2040" s="207"/>
      <c r="L2040" s="207"/>
    </row>
    <row r="2041" spans="1:12" ht="18.75" hidden="1" customHeight="1">
      <c r="A2041" s="82" t="s">
        <v>350</v>
      </c>
      <c r="B2041" s="83">
        <v>795</v>
      </c>
      <c r="C2041" s="84" t="s">
        <v>173</v>
      </c>
      <c r="D2041" s="84" t="s">
        <v>173</v>
      </c>
      <c r="E2041" s="84" t="s">
        <v>611</v>
      </c>
      <c r="F2041" s="84" t="s">
        <v>351</v>
      </c>
      <c r="G2041" s="87"/>
      <c r="H2041" s="85"/>
      <c r="I2041" s="85">
        <v>0</v>
      </c>
      <c r="J2041" s="178"/>
      <c r="K2041" s="207"/>
      <c r="L2041" s="207"/>
    </row>
    <row r="2042" spans="1:12" ht="39.75" hidden="1" customHeight="1">
      <c r="A2042" s="82" t="s">
        <v>36</v>
      </c>
      <c r="B2042" s="83">
        <v>795</v>
      </c>
      <c r="C2042" s="84" t="s">
        <v>173</v>
      </c>
      <c r="D2042" s="84" t="s">
        <v>173</v>
      </c>
      <c r="E2042" s="84" t="s">
        <v>726</v>
      </c>
      <c r="F2042" s="84" t="s">
        <v>349</v>
      </c>
      <c r="G2042" s="87">
        <f>G2043</f>
        <v>0</v>
      </c>
      <c r="H2042" s="85"/>
      <c r="I2042" s="85"/>
      <c r="J2042" s="178"/>
      <c r="K2042" s="207"/>
      <c r="L2042" s="207"/>
    </row>
    <row r="2043" spans="1:12" ht="39" hidden="1" customHeight="1">
      <c r="A2043" s="82" t="s">
        <v>38</v>
      </c>
      <c r="B2043" s="83">
        <v>795</v>
      </c>
      <c r="C2043" s="84" t="s">
        <v>173</v>
      </c>
      <c r="D2043" s="84" t="s">
        <v>173</v>
      </c>
      <c r="E2043" s="84" t="s">
        <v>725</v>
      </c>
      <c r="F2043" s="84" t="s">
        <v>351</v>
      </c>
      <c r="G2043" s="87">
        <f>358104.72+400000-758104.72</f>
        <v>0</v>
      </c>
      <c r="H2043" s="85"/>
      <c r="I2043" s="85"/>
      <c r="J2043" s="178"/>
      <c r="K2043" s="207"/>
      <c r="L2043" s="207"/>
    </row>
    <row r="2044" spans="1:12" ht="57" hidden="1" customHeight="1">
      <c r="A2044" s="139" t="s">
        <v>741</v>
      </c>
      <c r="B2044" s="83">
        <v>795</v>
      </c>
      <c r="C2044" s="84" t="s">
        <v>173</v>
      </c>
      <c r="D2044" s="84" t="s">
        <v>173</v>
      </c>
      <c r="E2044" s="84" t="s">
        <v>611</v>
      </c>
      <c r="F2044" s="84"/>
      <c r="G2044" s="87">
        <f>G2045+G2047</f>
        <v>0</v>
      </c>
      <c r="H2044" s="87">
        <f t="shared" ref="H2044:I2044" si="513">H2045+H2047</f>
        <v>0</v>
      </c>
      <c r="I2044" s="87">
        <f t="shared" si="513"/>
        <v>0</v>
      </c>
      <c r="J2044" s="177"/>
      <c r="K2044" s="207"/>
      <c r="L2044" s="207"/>
    </row>
    <row r="2045" spans="1:12" ht="27" hidden="1" customHeight="1">
      <c r="A2045" s="82" t="s">
        <v>96</v>
      </c>
      <c r="B2045" s="83">
        <v>795</v>
      </c>
      <c r="C2045" s="84" t="s">
        <v>173</v>
      </c>
      <c r="D2045" s="84" t="s">
        <v>173</v>
      </c>
      <c r="E2045" s="84" t="s">
        <v>611</v>
      </c>
      <c r="F2045" s="84" t="s">
        <v>349</v>
      </c>
      <c r="G2045" s="87">
        <f>G2046</f>
        <v>0</v>
      </c>
      <c r="H2045" s="85">
        <f>H2046</f>
        <v>0</v>
      </c>
      <c r="I2045" s="85">
        <v>0</v>
      </c>
      <c r="J2045" s="178"/>
      <c r="K2045" s="207"/>
      <c r="L2045" s="207"/>
    </row>
    <row r="2046" spans="1:12" ht="18.75" hidden="1" customHeight="1">
      <c r="A2046" s="82" t="s">
        <v>350</v>
      </c>
      <c r="B2046" s="83">
        <v>795</v>
      </c>
      <c r="C2046" s="84" t="s">
        <v>173</v>
      </c>
      <c r="D2046" s="84" t="s">
        <v>173</v>
      </c>
      <c r="E2046" s="84" t="s">
        <v>611</v>
      </c>
      <c r="F2046" s="84" t="s">
        <v>351</v>
      </c>
      <c r="G2046" s="87"/>
      <c r="H2046" s="85"/>
      <c r="I2046" s="85">
        <v>0</v>
      </c>
      <c r="J2046" s="178"/>
      <c r="K2046" s="207"/>
      <c r="L2046" s="207"/>
    </row>
    <row r="2047" spans="1:12" ht="30" hidden="1" customHeight="1">
      <c r="A2047" s="82" t="s">
        <v>36</v>
      </c>
      <c r="B2047" s="83">
        <v>795</v>
      </c>
      <c r="C2047" s="84" t="s">
        <v>173</v>
      </c>
      <c r="D2047" s="84" t="s">
        <v>173</v>
      </c>
      <c r="E2047" s="84" t="s">
        <v>611</v>
      </c>
      <c r="F2047" s="84" t="s">
        <v>349</v>
      </c>
      <c r="G2047" s="87">
        <f>G2048</f>
        <v>0</v>
      </c>
      <c r="H2047" s="85">
        <v>0</v>
      </c>
      <c r="I2047" s="85">
        <v>0</v>
      </c>
      <c r="J2047" s="178"/>
      <c r="K2047" s="207"/>
      <c r="L2047" s="207"/>
    </row>
    <row r="2048" spans="1:12" ht="30.75" hidden="1" customHeight="1">
      <c r="A2048" s="82" t="s">
        <v>38</v>
      </c>
      <c r="B2048" s="83">
        <v>795</v>
      </c>
      <c r="C2048" s="84" t="s">
        <v>173</v>
      </c>
      <c r="D2048" s="84" t="s">
        <v>173</v>
      </c>
      <c r="E2048" s="84" t="s">
        <v>611</v>
      </c>
      <c r="F2048" s="84" t="s">
        <v>351</v>
      </c>
      <c r="G2048" s="87"/>
      <c r="H2048" s="85"/>
      <c r="I2048" s="85"/>
      <c r="J2048" s="178"/>
      <c r="K2048" s="207"/>
      <c r="L2048" s="207"/>
    </row>
    <row r="2049" spans="1:18" s="3" customFormat="1" ht="33.75" hidden="1" customHeight="1">
      <c r="A2049" s="82" t="s">
        <v>510</v>
      </c>
      <c r="B2049" s="83">
        <v>795</v>
      </c>
      <c r="C2049" s="84" t="s">
        <v>173</v>
      </c>
      <c r="D2049" s="84" t="s">
        <v>173</v>
      </c>
      <c r="E2049" s="84" t="s">
        <v>511</v>
      </c>
      <c r="F2049" s="84"/>
      <c r="G2049" s="87">
        <f>G2050</f>
        <v>0</v>
      </c>
      <c r="H2049" s="85">
        <v>0</v>
      </c>
      <c r="I2049" s="85">
        <v>0</v>
      </c>
      <c r="J2049" s="178"/>
      <c r="K2049" s="207"/>
      <c r="L2049" s="207"/>
      <c r="M2049" s="199"/>
      <c r="N2049" s="199"/>
      <c r="O2049" s="199"/>
      <c r="P2049" s="199"/>
      <c r="Q2049" s="199"/>
      <c r="R2049" s="199"/>
    </row>
    <row r="2050" spans="1:18" s="3" customFormat="1" ht="38.25" hidden="1" customHeight="1">
      <c r="A2050" s="82" t="s">
        <v>36</v>
      </c>
      <c r="B2050" s="83">
        <v>795</v>
      </c>
      <c r="C2050" s="84" t="s">
        <v>173</v>
      </c>
      <c r="D2050" s="84" t="s">
        <v>173</v>
      </c>
      <c r="E2050" s="84" t="s">
        <v>511</v>
      </c>
      <c r="F2050" s="84" t="s">
        <v>37</v>
      </c>
      <c r="G2050" s="87">
        <f>G2051</f>
        <v>0</v>
      </c>
      <c r="H2050" s="85">
        <v>0</v>
      </c>
      <c r="I2050" s="85">
        <v>0</v>
      </c>
      <c r="J2050" s="178"/>
      <c r="K2050" s="207"/>
      <c r="L2050" s="207"/>
      <c r="M2050" s="199"/>
      <c r="N2050" s="199"/>
      <c r="O2050" s="199"/>
      <c r="P2050" s="199"/>
      <c r="Q2050" s="199"/>
      <c r="R2050" s="199"/>
    </row>
    <row r="2051" spans="1:18" s="3" customFormat="1" ht="38.25" hidden="1" customHeight="1">
      <c r="A2051" s="82" t="s">
        <v>38</v>
      </c>
      <c r="B2051" s="83">
        <v>795</v>
      </c>
      <c r="C2051" s="84" t="s">
        <v>173</v>
      </c>
      <c r="D2051" s="84" t="s">
        <v>173</v>
      </c>
      <c r="E2051" s="84" t="s">
        <v>511</v>
      </c>
      <c r="F2051" s="84" t="s">
        <v>39</v>
      </c>
      <c r="G2051" s="87"/>
      <c r="H2051" s="85">
        <v>0</v>
      </c>
      <c r="I2051" s="85">
        <v>0</v>
      </c>
      <c r="J2051" s="178"/>
      <c r="K2051" s="207"/>
      <c r="L2051" s="207"/>
      <c r="M2051" s="199"/>
      <c r="N2051" s="199"/>
      <c r="O2051" s="199"/>
      <c r="P2051" s="199"/>
      <c r="Q2051" s="199"/>
      <c r="R2051" s="199"/>
    </row>
    <row r="2052" spans="1:18" ht="57" hidden="1" customHeight="1">
      <c r="A2052" s="139" t="s">
        <v>876</v>
      </c>
      <c r="B2052" s="83">
        <v>795</v>
      </c>
      <c r="C2052" s="84" t="s">
        <v>173</v>
      </c>
      <c r="D2052" s="84" t="s">
        <v>173</v>
      </c>
      <c r="E2052" s="84" t="s">
        <v>875</v>
      </c>
      <c r="F2052" s="84"/>
      <c r="G2052" s="87">
        <f>G2053</f>
        <v>0</v>
      </c>
      <c r="H2052" s="87">
        <f t="shared" ref="H2052:I2052" si="514">H2053+H2055</f>
        <v>0</v>
      </c>
      <c r="I2052" s="87">
        <f t="shared" si="514"/>
        <v>0</v>
      </c>
      <c r="J2052" s="177"/>
      <c r="K2052" s="207"/>
      <c r="L2052" s="207"/>
    </row>
    <row r="2053" spans="1:18" ht="27" hidden="1" customHeight="1">
      <c r="A2053" s="82" t="s">
        <v>63</v>
      </c>
      <c r="B2053" s="83">
        <v>795</v>
      </c>
      <c r="C2053" s="84" t="s">
        <v>173</v>
      </c>
      <c r="D2053" s="84" t="s">
        <v>173</v>
      </c>
      <c r="E2053" s="84" t="s">
        <v>875</v>
      </c>
      <c r="F2053" s="84" t="s">
        <v>64</v>
      </c>
      <c r="G2053" s="87">
        <f>G2054</f>
        <v>0</v>
      </c>
      <c r="H2053" s="85">
        <f>H2054</f>
        <v>0</v>
      </c>
      <c r="I2053" s="85">
        <v>0</v>
      </c>
      <c r="J2053" s="178"/>
      <c r="K2053" s="207"/>
      <c r="L2053" s="207"/>
    </row>
    <row r="2054" spans="1:18" ht="18.75" hidden="1" customHeight="1">
      <c r="A2054" s="82" t="s">
        <v>180</v>
      </c>
      <c r="B2054" s="83">
        <v>795</v>
      </c>
      <c r="C2054" s="84" t="s">
        <v>173</v>
      </c>
      <c r="D2054" s="84" t="s">
        <v>173</v>
      </c>
      <c r="E2054" s="84" t="s">
        <v>875</v>
      </c>
      <c r="F2054" s="84" t="s">
        <v>181</v>
      </c>
      <c r="G2054" s="87"/>
      <c r="H2054" s="85"/>
      <c r="I2054" s="85">
        <v>0</v>
      </c>
      <c r="J2054" s="178"/>
      <c r="K2054" s="207"/>
      <c r="L2054" s="207"/>
    </row>
    <row r="2055" spans="1:18" s="3" customFormat="1" ht="72" hidden="1" customHeight="1">
      <c r="A2055" s="82" t="s">
        <v>826</v>
      </c>
      <c r="B2055" s="83">
        <v>795</v>
      </c>
      <c r="C2055" s="84" t="s">
        <v>173</v>
      </c>
      <c r="D2055" s="84" t="s">
        <v>173</v>
      </c>
      <c r="E2055" s="84" t="s">
        <v>722</v>
      </c>
      <c r="F2055" s="84"/>
      <c r="G2055" s="87"/>
      <c r="H2055" s="85">
        <f>H2056</f>
        <v>0</v>
      </c>
      <c r="I2055" s="85">
        <f>I2056</f>
        <v>0</v>
      </c>
      <c r="J2055" s="178"/>
      <c r="K2055" s="207"/>
      <c r="L2055" s="207"/>
      <c r="M2055" s="199"/>
      <c r="N2055" s="199"/>
      <c r="O2055" s="199"/>
      <c r="P2055" s="199"/>
      <c r="Q2055" s="199"/>
      <c r="R2055" s="199"/>
    </row>
    <row r="2056" spans="1:18" s="3" customFormat="1" ht="38.25" hidden="1" customHeight="1">
      <c r="A2056" s="82" t="s">
        <v>156</v>
      </c>
      <c r="B2056" s="83">
        <v>795</v>
      </c>
      <c r="C2056" s="84" t="s">
        <v>173</v>
      </c>
      <c r="D2056" s="84" t="s">
        <v>173</v>
      </c>
      <c r="E2056" s="84" t="s">
        <v>722</v>
      </c>
      <c r="F2056" s="84" t="s">
        <v>157</v>
      </c>
      <c r="G2056" s="87">
        <f>G2057</f>
        <v>0</v>
      </c>
      <c r="H2056" s="85">
        <f>H2057</f>
        <v>0</v>
      </c>
      <c r="I2056" s="85">
        <f>I2057</f>
        <v>0</v>
      </c>
      <c r="J2056" s="178"/>
      <c r="K2056" s="207"/>
      <c r="L2056" s="207"/>
      <c r="M2056" s="199"/>
      <c r="N2056" s="199"/>
      <c r="O2056" s="199"/>
      <c r="P2056" s="199"/>
      <c r="Q2056" s="199"/>
      <c r="R2056" s="199"/>
    </row>
    <row r="2057" spans="1:18" s="3" customFormat="1" ht="38.25" hidden="1" customHeight="1">
      <c r="A2057" s="82" t="s">
        <v>178</v>
      </c>
      <c r="B2057" s="83">
        <v>795</v>
      </c>
      <c r="C2057" s="84" t="s">
        <v>173</v>
      </c>
      <c r="D2057" s="84" t="s">
        <v>173</v>
      </c>
      <c r="E2057" s="84" t="s">
        <v>722</v>
      </c>
      <c r="F2057" s="84" t="s">
        <v>179</v>
      </c>
      <c r="G2057" s="87"/>
      <c r="H2057" s="85"/>
      <c r="I2057" s="85"/>
      <c r="J2057" s="178"/>
      <c r="K2057" s="207"/>
      <c r="L2057" s="207"/>
      <c r="M2057" s="199"/>
      <c r="N2057" s="199"/>
      <c r="O2057" s="199"/>
      <c r="P2057" s="199"/>
      <c r="Q2057" s="199"/>
      <c r="R2057" s="199"/>
    </row>
    <row r="2058" spans="1:18" s="22" customFormat="1" ht="22.5" hidden="1" customHeight="1">
      <c r="A2058" s="154" t="s">
        <v>2</v>
      </c>
      <c r="B2058" s="275">
        <v>795</v>
      </c>
      <c r="C2058" s="156" t="s">
        <v>161</v>
      </c>
      <c r="D2058" s="156"/>
      <c r="E2058" s="156"/>
      <c r="F2058" s="156"/>
      <c r="G2058" s="157">
        <f t="shared" ref="G2058:I2059" si="515">G2059</f>
        <v>0</v>
      </c>
      <c r="H2058" s="157">
        <f t="shared" si="515"/>
        <v>0</v>
      </c>
      <c r="I2058" s="157">
        <f t="shared" si="515"/>
        <v>0</v>
      </c>
      <c r="J2058" s="196"/>
      <c r="K2058" s="207"/>
      <c r="L2058" s="207"/>
      <c r="M2058" s="207"/>
      <c r="N2058" s="207"/>
      <c r="O2058" s="207"/>
      <c r="P2058" s="207"/>
      <c r="Q2058" s="207"/>
      <c r="R2058" s="207"/>
    </row>
    <row r="2059" spans="1:18" s="3" customFormat="1" ht="24.75" hidden="1" customHeight="1">
      <c r="A2059" s="82" t="s">
        <v>353</v>
      </c>
      <c r="B2059" s="83">
        <v>795</v>
      </c>
      <c r="C2059" s="84" t="s">
        <v>161</v>
      </c>
      <c r="D2059" s="84" t="s">
        <v>173</v>
      </c>
      <c r="E2059" s="84"/>
      <c r="F2059" s="84"/>
      <c r="G2059" s="87">
        <f t="shared" si="515"/>
        <v>0</v>
      </c>
      <c r="H2059" s="87">
        <f t="shared" si="515"/>
        <v>0</v>
      </c>
      <c r="I2059" s="87">
        <f t="shared" si="515"/>
        <v>0</v>
      </c>
      <c r="J2059" s="177"/>
      <c r="K2059" s="207"/>
      <c r="L2059" s="207"/>
      <c r="M2059" s="199"/>
      <c r="N2059" s="199"/>
      <c r="O2059" s="199"/>
      <c r="P2059" s="199"/>
      <c r="Q2059" s="199"/>
      <c r="R2059" s="199"/>
    </row>
    <row r="2060" spans="1:18" s="3" customFormat="1" ht="38.25" hidden="1" customHeight="1">
      <c r="A2060" s="82" t="s">
        <v>480</v>
      </c>
      <c r="B2060" s="83">
        <v>795</v>
      </c>
      <c r="C2060" s="84" t="s">
        <v>161</v>
      </c>
      <c r="D2060" s="84" t="s">
        <v>173</v>
      </c>
      <c r="E2060" s="84" t="s">
        <v>262</v>
      </c>
      <c r="F2060" s="84"/>
      <c r="G2060" s="87">
        <f>G2067+G2070+G2073+G2076+G2087+G2061+G2099+G2090+G2093+G2079+G2084+G2098+G2102+G2064+G2105</f>
        <v>0</v>
      </c>
      <c r="H2060" s="87">
        <f t="shared" ref="H2060:I2060" si="516">H2067+H2070+H2073+H2076+H2087+H2061+H2099+H2090+H2093+H2079+H2084+H2098+H2102+H2064+H2105</f>
        <v>0</v>
      </c>
      <c r="I2060" s="87">
        <f t="shared" si="516"/>
        <v>0</v>
      </c>
      <c r="J2060" s="177"/>
      <c r="K2060" s="207"/>
      <c r="L2060" s="207"/>
      <c r="M2060" s="199"/>
      <c r="N2060" s="199"/>
      <c r="O2060" s="199"/>
      <c r="P2060" s="199"/>
      <c r="Q2060" s="199"/>
      <c r="R2060" s="199"/>
    </row>
    <row r="2061" spans="1:18" s="3" customFormat="1" ht="38.25" hidden="1" customHeight="1">
      <c r="A2061" s="82" t="s">
        <v>533</v>
      </c>
      <c r="B2061" s="83">
        <v>795</v>
      </c>
      <c r="C2061" s="84" t="s">
        <v>161</v>
      </c>
      <c r="D2061" s="84" t="s">
        <v>173</v>
      </c>
      <c r="E2061" s="84" t="s">
        <v>534</v>
      </c>
      <c r="F2061" s="84"/>
      <c r="G2061" s="87">
        <f>G2062</f>
        <v>0</v>
      </c>
      <c r="H2061" s="85">
        <v>0</v>
      </c>
      <c r="I2061" s="85">
        <v>0</v>
      </c>
      <c r="J2061" s="178"/>
      <c r="K2061" s="207"/>
      <c r="L2061" s="207"/>
      <c r="M2061" s="199"/>
      <c r="N2061" s="199"/>
      <c r="O2061" s="199"/>
      <c r="P2061" s="199"/>
      <c r="Q2061" s="199"/>
      <c r="R2061" s="199"/>
    </row>
    <row r="2062" spans="1:18" s="3" customFormat="1" ht="38.25" hidden="1" customHeight="1">
      <c r="A2062" s="82" t="s">
        <v>36</v>
      </c>
      <c r="B2062" s="83">
        <v>795</v>
      </c>
      <c r="C2062" s="84" t="s">
        <v>161</v>
      </c>
      <c r="D2062" s="84" t="s">
        <v>173</v>
      </c>
      <c r="E2062" s="84" t="s">
        <v>534</v>
      </c>
      <c r="F2062" s="84" t="s">
        <v>37</v>
      </c>
      <c r="G2062" s="87">
        <f>G2063</f>
        <v>0</v>
      </c>
      <c r="H2062" s="85">
        <v>0</v>
      </c>
      <c r="I2062" s="85">
        <v>0</v>
      </c>
      <c r="J2062" s="178"/>
      <c r="K2062" s="207"/>
      <c r="L2062" s="207"/>
      <c r="M2062" s="199"/>
      <c r="N2062" s="199"/>
      <c r="O2062" s="199"/>
      <c r="P2062" s="199"/>
      <c r="Q2062" s="199"/>
      <c r="R2062" s="199"/>
    </row>
    <row r="2063" spans="1:18" s="3" customFormat="1" ht="38.25" hidden="1" customHeight="1">
      <c r="A2063" s="82" t="s">
        <v>38</v>
      </c>
      <c r="B2063" s="83">
        <v>795</v>
      </c>
      <c r="C2063" s="84" t="s">
        <v>161</v>
      </c>
      <c r="D2063" s="84" t="s">
        <v>173</v>
      </c>
      <c r="E2063" s="84" t="s">
        <v>534</v>
      </c>
      <c r="F2063" s="84" t="s">
        <v>39</v>
      </c>
      <c r="G2063" s="87"/>
      <c r="H2063" s="85">
        <v>0</v>
      </c>
      <c r="I2063" s="85">
        <v>0</v>
      </c>
      <c r="J2063" s="178"/>
      <c r="K2063" s="207"/>
      <c r="L2063" s="207"/>
      <c r="M2063" s="199"/>
      <c r="N2063" s="199"/>
      <c r="O2063" s="199"/>
      <c r="P2063" s="199"/>
      <c r="Q2063" s="199"/>
      <c r="R2063" s="199"/>
    </row>
    <row r="2064" spans="1:18" s="3" customFormat="1" ht="38.25" hidden="1" customHeight="1">
      <c r="A2064" s="82" t="s">
        <v>761</v>
      </c>
      <c r="B2064" s="83">
        <v>795</v>
      </c>
      <c r="C2064" s="84" t="s">
        <v>161</v>
      </c>
      <c r="D2064" s="84" t="s">
        <v>173</v>
      </c>
      <c r="E2064" s="84" t="s">
        <v>760</v>
      </c>
      <c r="F2064" s="84"/>
      <c r="G2064" s="87">
        <f t="shared" ref="G2064:I2065" si="517">G2065</f>
        <v>0</v>
      </c>
      <c r="H2064" s="87">
        <f t="shared" si="517"/>
        <v>0</v>
      </c>
      <c r="I2064" s="87">
        <f t="shared" si="517"/>
        <v>0</v>
      </c>
      <c r="J2064" s="177"/>
      <c r="K2064" s="207"/>
      <c r="L2064" s="207"/>
      <c r="M2064" s="199"/>
      <c r="N2064" s="199"/>
      <c r="O2064" s="199"/>
      <c r="P2064" s="199"/>
      <c r="Q2064" s="199"/>
      <c r="R2064" s="199"/>
    </row>
    <row r="2065" spans="1:18" s="3" customFormat="1" ht="38.25" hidden="1" customHeight="1">
      <c r="A2065" s="82" t="s">
        <v>36</v>
      </c>
      <c r="B2065" s="83">
        <v>795</v>
      </c>
      <c r="C2065" s="84" t="s">
        <v>161</v>
      </c>
      <c r="D2065" s="84" t="s">
        <v>173</v>
      </c>
      <c r="E2065" s="84" t="s">
        <v>760</v>
      </c>
      <c r="F2065" s="84" t="s">
        <v>37</v>
      </c>
      <c r="G2065" s="87">
        <f t="shared" si="517"/>
        <v>0</v>
      </c>
      <c r="H2065" s="87">
        <f t="shared" si="517"/>
        <v>0</v>
      </c>
      <c r="I2065" s="87">
        <f t="shared" si="517"/>
        <v>0</v>
      </c>
      <c r="J2065" s="177"/>
      <c r="K2065" s="207"/>
      <c r="L2065" s="207"/>
      <c r="M2065" s="199"/>
      <c r="N2065" s="199"/>
      <c r="O2065" s="199"/>
      <c r="P2065" s="199"/>
      <c r="Q2065" s="199"/>
      <c r="R2065" s="199"/>
    </row>
    <row r="2066" spans="1:18" s="3" customFormat="1" ht="38.25" hidden="1" customHeight="1">
      <c r="A2066" s="82" t="s">
        <v>38</v>
      </c>
      <c r="B2066" s="83">
        <v>795</v>
      </c>
      <c r="C2066" s="84" t="s">
        <v>161</v>
      </c>
      <c r="D2066" s="84" t="s">
        <v>173</v>
      </c>
      <c r="E2066" s="84" t="s">
        <v>760</v>
      </c>
      <c r="F2066" s="84" t="s">
        <v>39</v>
      </c>
      <c r="G2066" s="87"/>
      <c r="H2066" s="87"/>
      <c r="I2066" s="87"/>
      <c r="J2066" s="177"/>
      <c r="K2066" s="207"/>
      <c r="L2066" s="207"/>
      <c r="M2066" s="199"/>
      <c r="N2066" s="199"/>
      <c r="O2066" s="199"/>
      <c r="P2066" s="199"/>
      <c r="Q2066" s="199"/>
      <c r="R2066" s="199"/>
    </row>
    <row r="2067" spans="1:18" s="3" customFormat="1" ht="38.25" hidden="1" customHeight="1">
      <c r="A2067" s="82" t="s">
        <v>489</v>
      </c>
      <c r="B2067" s="83">
        <v>795</v>
      </c>
      <c r="C2067" s="84" t="s">
        <v>161</v>
      </c>
      <c r="D2067" s="84" t="s">
        <v>173</v>
      </c>
      <c r="E2067" s="84" t="s">
        <v>377</v>
      </c>
      <c r="F2067" s="84"/>
      <c r="G2067" s="87">
        <f t="shared" ref="G2067:I2068" si="518">G2068</f>
        <v>0</v>
      </c>
      <c r="H2067" s="87">
        <f t="shared" si="518"/>
        <v>0</v>
      </c>
      <c r="I2067" s="87">
        <f t="shared" si="518"/>
        <v>0</v>
      </c>
      <c r="J2067" s="177"/>
      <c r="K2067" s="207"/>
      <c r="L2067" s="207"/>
      <c r="M2067" s="199"/>
      <c r="N2067" s="199"/>
      <c r="O2067" s="199"/>
      <c r="P2067" s="199"/>
      <c r="Q2067" s="199"/>
      <c r="R2067" s="199"/>
    </row>
    <row r="2068" spans="1:18" s="3" customFormat="1" ht="38.25" hidden="1" customHeight="1">
      <c r="A2068" s="82" t="s">
        <v>36</v>
      </c>
      <c r="B2068" s="83">
        <v>795</v>
      </c>
      <c r="C2068" s="84" t="s">
        <v>161</v>
      </c>
      <c r="D2068" s="84" t="s">
        <v>173</v>
      </c>
      <c r="E2068" s="84" t="s">
        <v>377</v>
      </c>
      <c r="F2068" s="84" t="s">
        <v>37</v>
      </c>
      <c r="G2068" s="87">
        <f t="shared" si="518"/>
        <v>0</v>
      </c>
      <c r="H2068" s="87">
        <f t="shared" si="518"/>
        <v>0</v>
      </c>
      <c r="I2068" s="87">
        <f t="shared" si="518"/>
        <v>0</v>
      </c>
      <c r="J2068" s="177"/>
      <c r="K2068" s="207"/>
      <c r="L2068" s="207"/>
      <c r="M2068" s="199"/>
      <c r="N2068" s="199"/>
      <c r="O2068" s="199"/>
      <c r="P2068" s="199"/>
      <c r="Q2068" s="199"/>
      <c r="R2068" s="199"/>
    </row>
    <row r="2069" spans="1:18" s="3" customFormat="1" ht="38.25" hidden="1" customHeight="1">
      <c r="A2069" s="82" t="s">
        <v>38</v>
      </c>
      <c r="B2069" s="83">
        <v>795</v>
      </c>
      <c r="C2069" s="84" t="s">
        <v>161</v>
      </c>
      <c r="D2069" s="84" t="s">
        <v>173</v>
      </c>
      <c r="E2069" s="84" t="s">
        <v>377</v>
      </c>
      <c r="F2069" s="84" t="s">
        <v>39</v>
      </c>
      <c r="G2069" s="87"/>
      <c r="H2069" s="87"/>
      <c r="I2069" s="87"/>
      <c r="J2069" s="177"/>
      <c r="K2069" s="207"/>
      <c r="L2069" s="207"/>
      <c r="M2069" s="199"/>
      <c r="N2069" s="199"/>
      <c r="O2069" s="199"/>
      <c r="P2069" s="199"/>
      <c r="Q2069" s="199"/>
      <c r="R2069" s="199"/>
    </row>
    <row r="2070" spans="1:18" s="3" customFormat="1" ht="38.25" hidden="1" customHeight="1">
      <c r="A2070" s="82" t="s">
        <v>380</v>
      </c>
      <c r="B2070" s="83">
        <v>795</v>
      </c>
      <c r="C2070" s="84" t="s">
        <v>161</v>
      </c>
      <c r="D2070" s="84" t="s">
        <v>173</v>
      </c>
      <c r="E2070" s="84" t="s">
        <v>378</v>
      </c>
      <c r="F2070" s="84"/>
      <c r="G2070" s="87">
        <f t="shared" ref="G2070:I2071" si="519">G2071</f>
        <v>0</v>
      </c>
      <c r="H2070" s="87">
        <f t="shared" si="519"/>
        <v>0</v>
      </c>
      <c r="I2070" s="87">
        <f t="shared" si="519"/>
        <v>0</v>
      </c>
      <c r="J2070" s="177"/>
      <c r="K2070" s="207"/>
      <c r="L2070" s="207"/>
      <c r="M2070" s="199"/>
      <c r="N2070" s="199"/>
      <c r="O2070" s="199"/>
      <c r="P2070" s="199"/>
      <c r="Q2070" s="199"/>
      <c r="R2070" s="199"/>
    </row>
    <row r="2071" spans="1:18" s="3" customFormat="1" ht="38.25" hidden="1" customHeight="1">
      <c r="A2071" s="82" t="s">
        <v>36</v>
      </c>
      <c r="B2071" s="83">
        <v>795</v>
      </c>
      <c r="C2071" s="84" t="s">
        <v>161</v>
      </c>
      <c r="D2071" s="84" t="s">
        <v>173</v>
      </c>
      <c r="E2071" s="84" t="s">
        <v>378</v>
      </c>
      <c r="F2071" s="84" t="s">
        <v>37</v>
      </c>
      <c r="G2071" s="87">
        <f t="shared" si="519"/>
        <v>0</v>
      </c>
      <c r="H2071" s="87">
        <f t="shared" si="519"/>
        <v>0</v>
      </c>
      <c r="I2071" s="87">
        <f t="shared" si="519"/>
        <v>0</v>
      </c>
      <c r="J2071" s="177"/>
      <c r="K2071" s="207"/>
      <c r="L2071" s="207"/>
      <c r="M2071" s="199"/>
      <c r="N2071" s="199"/>
      <c r="O2071" s="199"/>
      <c r="P2071" s="199"/>
      <c r="Q2071" s="199"/>
      <c r="R2071" s="199"/>
    </row>
    <row r="2072" spans="1:18" s="3" customFormat="1" ht="39.75" hidden="1" customHeight="1">
      <c r="A2072" s="82" t="s">
        <v>38</v>
      </c>
      <c r="B2072" s="83">
        <v>795</v>
      </c>
      <c r="C2072" s="84" t="s">
        <v>161</v>
      </c>
      <c r="D2072" s="84" t="s">
        <v>173</v>
      </c>
      <c r="E2072" s="84" t="s">
        <v>378</v>
      </c>
      <c r="F2072" s="84" t="s">
        <v>39</v>
      </c>
      <c r="G2072" s="87"/>
      <c r="H2072" s="87"/>
      <c r="I2072" s="87"/>
      <c r="J2072" s="177"/>
      <c r="K2072" s="207"/>
      <c r="L2072" s="207"/>
      <c r="M2072" s="199"/>
      <c r="N2072" s="199"/>
      <c r="O2072" s="199"/>
      <c r="P2072" s="199"/>
      <c r="Q2072" s="199"/>
      <c r="R2072" s="199"/>
    </row>
    <row r="2073" spans="1:18" s="3" customFormat="1" ht="35.25" hidden="1" customHeight="1">
      <c r="A2073" s="82" t="s">
        <v>128</v>
      </c>
      <c r="B2073" s="83">
        <v>795</v>
      </c>
      <c r="C2073" s="84" t="s">
        <v>161</v>
      </c>
      <c r="D2073" s="84" t="s">
        <v>173</v>
      </c>
      <c r="E2073" s="84" t="s">
        <v>286</v>
      </c>
      <c r="F2073" s="84"/>
      <c r="G2073" s="87">
        <f>G2075</f>
        <v>0</v>
      </c>
      <c r="H2073" s="87">
        <f>H2075</f>
        <v>0</v>
      </c>
      <c r="I2073" s="87">
        <f>I2075</f>
        <v>0</v>
      </c>
      <c r="J2073" s="177"/>
      <c r="K2073" s="207"/>
      <c r="L2073" s="207"/>
      <c r="M2073" s="199"/>
      <c r="N2073" s="199"/>
      <c r="O2073" s="199"/>
      <c r="P2073" s="199"/>
      <c r="Q2073" s="199"/>
      <c r="R2073" s="199"/>
    </row>
    <row r="2074" spans="1:18" s="3" customFormat="1" ht="38.25" hidden="1" customHeight="1">
      <c r="A2074" s="82" t="s">
        <v>36</v>
      </c>
      <c r="B2074" s="83">
        <v>795</v>
      </c>
      <c r="C2074" s="84" t="s">
        <v>161</v>
      </c>
      <c r="D2074" s="84" t="s">
        <v>173</v>
      </c>
      <c r="E2074" s="84" t="s">
        <v>286</v>
      </c>
      <c r="F2074" s="84" t="s">
        <v>37</v>
      </c>
      <c r="G2074" s="87">
        <f>G2075</f>
        <v>0</v>
      </c>
      <c r="H2074" s="87">
        <f>H2075</f>
        <v>0</v>
      </c>
      <c r="I2074" s="87">
        <f>I2075</f>
        <v>0</v>
      </c>
      <c r="J2074" s="177"/>
      <c r="K2074" s="207"/>
      <c r="L2074" s="207"/>
      <c r="M2074" s="199"/>
      <c r="N2074" s="199"/>
      <c r="O2074" s="199"/>
      <c r="P2074" s="199"/>
      <c r="Q2074" s="199"/>
      <c r="R2074" s="199"/>
    </row>
    <row r="2075" spans="1:18" s="3" customFormat="1" ht="38.25" hidden="1" customHeight="1">
      <c r="A2075" s="82" t="s">
        <v>38</v>
      </c>
      <c r="B2075" s="83">
        <v>795</v>
      </c>
      <c r="C2075" s="84" t="s">
        <v>161</v>
      </c>
      <c r="D2075" s="84" t="s">
        <v>173</v>
      </c>
      <c r="E2075" s="84" t="s">
        <v>286</v>
      </c>
      <c r="F2075" s="84" t="s">
        <v>39</v>
      </c>
      <c r="G2075" s="87"/>
      <c r="H2075" s="87"/>
      <c r="I2075" s="87"/>
      <c r="J2075" s="177"/>
      <c r="K2075" s="207"/>
      <c r="L2075" s="207"/>
      <c r="M2075" s="199"/>
      <c r="N2075" s="199"/>
      <c r="O2075" s="199"/>
      <c r="P2075" s="199"/>
      <c r="Q2075" s="199"/>
      <c r="R2075" s="199"/>
    </row>
    <row r="2076" spans="1:18" s="3" customFormat="1" ht="31.5" hidden="1" customHeight="1">
      <c r="A2076" s="82" t="s">
        <v>533</v>
      </c>
      <c r="B2076" s="83">
        <v>795</v>
      </c>
      <c r="C2076" s="84" t="s">
        <v>161</v>
      </c>
      <c r="D2076" s="84" t="s">
        <v>173</v>
      </c>
      <c r="E2076" s="84" t="s">
        <v>534</v>
      </c>
      <c r="F2076" s="84"/>
      <c r="G2076" s="87">
        <f>G2077</f>
        <v>0</v>
      </c>
      <c r="H2076" s="87">
        <f t="shared" ref="H2076:I2076" si="520">H2077</f>
        <v>0</v>
      </c>
      <c r="I2076" s="87">
        <f t="shared" si="520"/>
        <v>0</v>
      </c>
      <c r="J2076" s="177"/>
      <c r="K2076" s="207"/>
      <c r="L2076" s="207"/>
      <c r="M2076" s="199"/>
      <c r="N2076" s="199"/>
      <c r="O2076" s="199"/>
      <c r="P2076" s="199"/>
      <c r="Q2076" s="199"/>
      <c r="R2076" s="199"/>
    </row>
    <row r="2077" spans="1:18" s="3" customFormat="1" ht="38.25" hidden="1" customHeight="1">
      <c r="A2077" s="82" t="s">
        <v>36</v>
      </c>
      <c r="B2077" s="83">
        <v>795</v>
      </c>
      <c r="C2077" s="84" t="s">
        <v>161</v>
      </c>
      <c r="D2077" s="84" t="s">
        <v>173</v>
      </c>
      <c r="E2077" s="84" t="s">
        <v>534</v>
      </c>
      <c r="F2077" s="84" t="s">
        <v>37</v>
      </c>
      <c r="G2077" s="87">
        <f>G2078</f>
        <v>0</v>
      </c>
      <c r="H2077" s="87">
        <f t="shared" ref="H2077:I2077" si="521">H2078</f>
        <v>0</v>
      </c>
      <c r="I2077" s="87">
        <f t="shared" si="521"/>
        <v>0</v>
      </c>
      <c r="J2077" s="177"/>
      <c r="K2077" s="207"/>
      <c r="L2077" s="207"/>
      <c r="M2077" s="199"/>
      <c r="N2077" s="199"/>
      <c r="O2077" s="199"/>
      <c r="P2077" s="199"/>
      <c r="Q2077" s="199"/>
      <c r="R2077" s="199"/>
    </row>
    <row r="2078" spans="1:18" s="3" customFormat="1" ht="38.25" hidden="1" customHeight="1">
      <c r="A2078" s="82" t="s">
        <v>38</v>
      </c>
      <c r="B2078" s="83">
        <v>795</v>
      </c>
      <c r="C2078" s="84" t="s">
        <v>161</v>
      </c>
      <c r="D2078" s="84" t="s">
        <v>173</v>
      </c>
      <c r="E2078" s="84" t="s">
        <v>534</v>
      </c>
      <c r="F2078" s="84" t="s">
        <v>39</v>
      </c>
      <c r="G2078" s="87"/>
      <c r="H2078" s="87"/>
      <c r="I2078" s="87"/>
      <c r="J2078" s="177"/>
      <c r="K2078" s="207"/>
      <c r="L2078" s="207"/>
      <c r="M2078" s="199"/>
      <c r="N2078" s="199"/>
      <c r="O2078" s="199"/>
      <c r="P2078" s="199"/>
      <c r="Q2078" s="199"/>
      <c r="R2078" s="199"/>
    </row>
    <row r="2079" spans="1:18" s="3" customFormat="1" ht="38.25" hidden="1" customHeight="1">
      <c r="A2079" s="82" t="s">
        <v>533</v>
      </c>
      <c r="B2079" s="83">
        <v>795</v>
      </c>
      <c r="C2079" s="84" t="s">
        <v>161</v>
      </c>
      <c r="D2079" s="84" t="s">
        <v>173</v>
      </c>
      <c r="E2079" s="84" t="s">
        <v>562</v>
      </c>
      <c r="F2079" s="84"/>
      <c r="G2079" s="87">
        <f>G2080+G2082</f>
        <v>0</v>
      </c>
      <c r="H2079" s="87">
        <f t="shared" ref="H2079:I2085" si="522">H2080</f>
        <v>0</v>
      </c>
      <c r="I2079" s="87">
        <f t="shared" si="522"/>
        <v>0</v>
      </c>
      <c r="J2079" s="177"/>
      <c r="K2079" s="207"/>
      <c r="L2079" s="207"/>
      <c r="M2079" s="199"/>
      <c r="N2079" s="199"/>
      <c r="O2079" s="199"/>
      <c r="P2079" s="199"/>
      <c r="Q2079" s="199"/>
      <c r="R2079" s="199"/>
    </row>
    <row r="2080" spans="1:18" s="3" customFormat="1" ht="38.25" hidden="1" customHeight="1">
      <c r="A2080" s="82" t="s">
        <v>36</v>
      </c>
      <c r="B2080" s="83">
        <v>795</v>
      </c>
      <c r="C2080" s="84" t="s">
        <v>161</v>
      </c>
      <c r="D2080" s="84" t="s">
        <v>173</v>
      </c>
      <c r="E2080" s="84" t="s">
        <v>562</v>
      </c>
      <c r="F2080" s="84" t="s">
        <v>37</v>
      </c>
      <c r="G2080" s="87">
        <f>G2081</f>
        <v>0</v>
      </c>
      <c r="H2080" s="87">
        <f t="shared" si="522"/>
        <v>0</v>
      </c>
      <c r="I2080" s="87">
        <f t="shared" si="522"/>
        <v>0</v>
      </c>
      <c r="J2080" s="177"/>
      <c r="K2080" s="207"/>
      <c r="L2080" s="207"/>
      <c r="M2080" s="199"/>
      <c r="N2080" s="199"/>
      <c r="O2080" s="199"/>
      <c r="P2080" s="199"/>
      <c r="Q2080" s="199"/>
      <c r="R2080" s="199"/>
    </row>
    <row r="2081" spans="1:18" s="3" customFormat="1" ht="38.25" hidden="1" customHeight="1">
      <c r="A2081" s="82" t="s">
        <v>38</v>
      </c>
      <c r="B2081" s="83">
        <v>795</v>
      </c>
      <c r="C2081" s="84" t="s">
        <v>161</v>
      </c>
      <c r="D2081" s="84" t="s">
        <v>173</v>
      </c>
      <c r="E2081" s="84" t="s">
        <v>562</v>
      </c>
      <c r="F2081" s="84" t="s">
        <v>39</v>
      </c>
      <c r="G2081" s="87"/>
      <c r="H2081" s="87">
        <v>0</v>
      </c>
      <c r="I2081" s="87">
        <v>0</v>
      </c>
      <c r="J2081" s="177"/>
      <c r="K2081" s="207"/>
      <c r="L2081" s="207"/>
      <c r="M2081" s="199"/>
      <c r="N2081" s="199"/>
      <c r="O2081" s="199"/>
      <c r="P2081" s="199"/>
      <c r="Q2081" s="199"/>
      <c r="R2081" s="199"/>
    </row>
    <row r="2082" spans="1:18" s="3" customFormat="1" ht="24.75" hidden="1" customHeight="1">
      <c r="A2082" s="82" t="s">
        <v>156</v>
      </c>
      <c r="B2082" s="83">
        <v>795</v>
      </c>
      <c r="C2082" s="84" t="s">
        <v>161</v>
      </c>
      <c r="D2082" s="84" t="s">
        <v>173</v>
      </c>
      <c r="E2082" s="84" t="s">
        <v>562</v>
      </c>
      <c r="F2082" s="84" t="s">
        <v>157</v>
      </c>
      <c r="G2082" s="87">
        <f>G2083</f>
        <v>0</v>
      </c>
      <c r="H2082" s="87">
        <v>0</v>
      </c>
      <c r="I2082" s="87">
        <v>0</v>
      </c>
      <c r="J2082" s="177"/>
      <c r="K2082" s="207"/>
      <c r="L2082" s="207"/>
      <c r="M2082" s="199"/>
      <c r="N2082" s="199"/>
      <c r="O2082" s="199"/>
      <c r="P2082" s="199"/>
      <c r="Q2082" s="199"/>
      <c r="R2082" s="199"/>
    </row>
    <row r="2083" spans="1:18" s="3" customFormat="1" ht="32.25" hidden="1" customHeight="1">
      <c r="A2083" s="82" t="s">
        <v>170</v>
      </c>
      <c r="B2083" s="83">
        <v>795</v>
      </c>
      <c r="C2083" s="84" t="s">
        <v>161</v>
      </c>
      <c r="D2083" s="84" t="s">
        <v>173</v>
      </c>
      <c r="E2083" s="84" t="s">
        <v>562</v>
      </c>
      <c r="F2083" s="84" t="s">
        <v>171</v>
      </c>
      <c r="G2083" s="87"/>
      <c r="H2083" s="87">
        <v>0</v>
      </c>
      <c r="I2083" s="87">
        <v>0</v>
      </c>
      <c r="J2083" s="177"/>
      <c r="K2083" s="207"/>
      <c r="L2083" s="207"/>
      <c r="M2083" s="199"/>
      <c r="N2083" s="199"/>
      <c r="O2083" s="199"/>
      <c r="P2083" s="199"/>
      <c r="Q2083" s="199"/>
      <c r="R2083" s="199"/>
    </row>
    <row r="2084" spans="1:18" s="3" customFormat="1" ht="38.25" hidden="1" customHeight="1">
      <c r="A2084" s="82" t="s">
        <v>564</v>
      </c>
      <c r="B2084" s="83">
        <v>795</v>
      </c>
      <c r="C2084" s="84" t="s">
        <v>161</v>
      </c>
      <c r="D2084" s="84" t="s">
        <v>173</v>
      </c>
      <c r="E2084" s="84" t="s">
        <v>563</v>
      </c>
      <c r="F2084" s="84"/>
      <c r="G2084" s="87">
        <f>G2085</f>
        <v>0</v>
      </c>
      <c r="H2084" s="87">
        <f t="shared" si="522"/>
        <v>0</v>
      </c>
      <c r="I2084" s="87">
        <f t="shared" si="522"/>
        <v>0</v>
      </c>
      <c r="J2084" s="177"/>
      <c r="K2084" s="207"/>
      <c r="L2084" s="207"/>
      <c r="M2084" s="199"/>
      <c r="N2084" s="199"/>
      <c r="O2084" s="199"/>
      <c r="P2084" s="199"/>
      <c r="Q2084" s="199"/>
      <c r="R2084" s="199"/>
    </row>
    <row r="2085" spans="1:18" s="3" customFormat="1" ht="38.25" hidden="1" customHeight="1">
      <c r="A2085" s="82" t="s">
        <v>36</v>
      </c>
      <c r="B2085" s="83">
        <v>795</v>
      </c>
      <c r="C2085" s="84" t="s">
        <v>161</v>
      </c>
      <c r="D2085" s="84" t="s">
        <v>173</v>
      </c>
      <c r="E2085" s="84" t="s">
        <v>563</v>
      </c>
      <c r="F2085" s="84" t="s">
        <v>37</v>
      </c>
      <c r="G2085" s="87">
        <f>G2086</f>
        <v>0</v>
      </c>
      <c r="H2085" s="87">
        <f t="shared" si="522"/>
        <v>0</v>
      </c>
      <c r="I2085" s="87">
        <f t="shared" si="522"/>
        <v>0</v>
      </c>
      <c r="J2085" s="177"/>
      <c r="K2085" s="207"/>
      <c r="L2085" s="207"/>
      <c r="M2085" s="199"/>
      <c r="N2085" s="199"/>
      <c r="O2085" s="199"/>
      <c r="P2085" s="199"/>
      <c r="Q2085" s="199"/>
      <c r="R2085" s="199"/>
    </row>
    <row r="2086" spans="1:18" s="3" customFormat="1" ht="38.25" hidden="1" customHeight="1">
      <c r="A2086" s="82" t="s">
        <v>38</v>
      </c>
      <c r="B2086" s="83">
        <v>795</v>
      </c>
      <c r="C2086" s="84" t="s">
        <v>161</v>
      </c>
      <c r="D2086" s="84" t="s">
        <v>173</v>
      </c>
      <c r="E2086" s="84" t="s">
        <v>563</v>
      </c>
      <c r="F2086" s="84" t="s">
        <v>39</v>
      </c>
      <c r="G2086" s="87"/>
      <c r="H2086" s="87">
        <v>0</v>
      </c>
      <c r="I2086" s="87">
        <v>0</v>
      </c>
      <c r="J2086" s="177"/>
      <c r="K2086" s="207"/>
      <c r="L2086" s="207"/>
      <c r="M2086" s="199"/>
      <c r="N2086" s="199"/>
      <c r="O2086" s="199"/>
      <c r="P2086" s="199"/>
      <c r="Q2086" s="199"/>
      <c r="R2086" s="199"/>
    </row>
    <row r="2087" spans="1:18" s="3" customFormat="1" ht="38.25" hidden="1" customHeight="1">
      <c r="A2087" s="82" t="s">
        <v>461</v>
      </c>
      <c r="B2087" s="83">
        <v>795</v>
      </c>
      <c r="C2087" s="84" t="s">
        <v>161</v>
      </c>
      <c r="D2087" s="84" t="s">
        <v>173</v>
      </c>
      <c r="E2087" s="84" t="s">
        <v>462</v>
      </c>
      <c r="F2087" s="84"/>
      <c r="G2087" s="87">
        <f>G2088</f>
        <v>0</v>
      </c>
      <c r="H2087" s="87">
        <f>H2088</f>
        <v>0</v>
      </c>
      <c r="I2087" s="87">
        <f>I2088</f>
        <v>0</v>
      </c>
      <c r="J2087" s="177"/>
      <c r="K2087" s="207"/>
      <c r="L2087" s="207"/>
      <c r="M2087" s="199"/>
      <c r="N2087" s="199"/>
      <c r="O2087" s="199"/>
      <c r="P2087" s="199"/>
      <c r="Q2087" s="199"/>
      <c r="R2087" s="199"/>
    </row>
    <row r="2088" spans="1:18" s="3" customFormat="1" ht="31.5" hidden="1" customHeight="1">
      <c r="A2088" s="82" t="s">
        <v>36</v>
      </c>
      <c r="B2088" s="83">
        <v>795</v>
      </c>
      <c r="C2088" s="84" t="s">
        <v>161</v>
      </c>
      <c r="D2088" s="84" t="s">
        <v>173</v>
      </c>
      <c r="E2088" s="84" t="s">
        <v>462</v>
      </c>
      <c r="F2088" s="84" t="s">
        <v>37</v>
      </c>
      <c r="G2088" s="87">
        <f>G2089</f>
        <v>0</v>
      </c>
      <c r="H2088" s="87">
        <v>0</v>
      </c>
      <c r="I2088" s="87">
        <v>0</v>
      </c>
      <c r="J2088" s="177"/>
      <c r="K2088" s="207"/>
      <c r="L2088" s="207"/>
      <c r="M2088" s="199"/>
      <c r="N2088" s="199"/>
      <c r="O2088" s="199"/>
      <c r="P2088" s="199"/>
      <c r="Q2088" s="199"/>
      <c r="R2088" s="199"/>
    </row>
    <row r="2089" spans="1:18" s="3" customFormat="1" ht="33.75" hidden="1" customHeight="1">
      <c r="A2089" s="82" t="s">
        <v>38</v>
      </c>
      <c r="B2089" s="83">
        <v>795</v>
      </c>
      <c r="C2089" s="84" t="s">
        <v>161</v>
      </c>
      <c r="D2089" s="84" t="s">
        <v>173</v>
      </c>
      <c r="E2089" s="84" t="s">
        <v>462</v>
      </c>
      <c r="F2089" s="84" t="s">
        <v>39</v>
      </c>
      <c r="G2089" s="87"/>
      <c r="H2089" s="87">
        <v>0</v>
      </c>
      <c r="I2089" s="87">
        <v>0</v>
      </c>
      <c r="J2089" s="177"/>
      <c r="K2089" s="207"/>
      <c r="L2089" s="207"/>
      <c r="M2089" s="199"/>
      <c r="N2089" s="199"/>
      <c r="O2089" s="199"/>
      <c r="P2089" s="199"/>
      <c r="Q2089" s="199"/>
      <c r="R2089" s="199"/>
    </row>
    <row r="2090" spans="1:18" s="3" customFormat="1" ht="38.25" hidden="1" customHeight="1">
      <c r="A2090" s="82" t="s">
        <v>561</v>
      </c>
      <c r="B2090" s="83">
        <v>795</v>
      </c>
      <c r="C2090" s="84" t="s">
        <v>161</v>
      </c>
      <c r="D2090" s="84" t="s">
        <v>173</v>
      </c>
      <c r="E2090" s="84" t="s">
        <v>560</v>
      </c>
      <c r="F2090" s="84"/>
      <c r="G2090" s="87">
        <f>G2091</f>
        <v>0</v>
      </c>
      <c r="H2090" s="87">
        <f t="shared" ref="H2090:I2094" si="523">H2091</f>
        <v>0</v>
      </c>
      <c r="I2090" s="87">
        <f t="shared" si="523"/>
        <v>0</v>
      </c>
      <c r="J2090" s="177"/>
      <c r="K2090" s="207"/>
      <c r="L2090" s="207"/>
      <c r="M2090" s="199"/>
      <c r="N2090" s="199"/>
      <c r="O2090" s="199"/>
      <c r="P2090" s="199"/>
      <c r="Q2090" s="199"/>
      <c r="R2090" s="199"/>
    </row>
    <row r="2091" spans="1:18" s="3" customFormat="1" ht="38.25" hidden="1" customHeight="1">
      <c r="A2091" s="82" t="s">
        <v>36</v>
      </c>
      <c r="B2091" s="83">
        <v>795</v>
      </c>
      <c r="C2091" s="84" t="s">
        <v>161</v>
      </c>
      <c r="D2091" s="84" t="s">
        <v>173</v>
      </c>
      <c r="E2091" s="84" t="s">
        <v>560</v>
      </c>
      <c r="F2091" s="84" t="s">
        <v>37</v>
      </c>
      <c r="G2091" s="87">
        <f>G2092</f>
        <v>0</v>
      </c>
      <c r="H2091" s="87">
        <f t="shared" si="523"/>
        <v>0</v>
      </c>
      <c r="I2091" s="87">
        <f t="shared" si="523"/>
        <v>0</v>
      </c>
      <c r="J2091" s="177"/>
      <c r="K2091" s="207"/>
      <c r="L2091" s="207"/>
      <c r="M2091" s="199"/>
      <c r="N2091" s="199"/>
      <c r="O2091" s="199"/>
      <c r="P2091" s="199"/>
      <c r="Q2091" s="199"/>
      <c r="R2091" s="199"/>
    </row>
    <row r="2092" spans="1:18" s="3" customFormat="1" ht="38.25" hidden="1" customHeight="1">
      <c r="A2092" s="82" t="s">
        <v>38</v>
      </c>
      <c r="B2092" s="83">
        <v>795</v>
      </c>
      <c r="C2092" s="84" t="s">
        <v>161</v>
      </c>
      <c r="D2092" s="84" t="s">
        <v>173</v>
      </c>
      <c r="E2092" s="84" t="s">
        <v>560</v>
      </c>
      <c r="F2092" s="84" t="s">
        <v>39</v>
      </c>
      <c r="G2092" s="87"/>
      <c r="H2092" s="87">
        <v>0</v>
      </c>
      <c r="I2092" s="87">
        <v>0</v>
      </c>
      <c r="J2092" s="177"/>
      <c r="K2092" s="207"/>
      <c r="L2092" s="207"/>
      <c r="M2092" s="199"/>
      <c r="N2092" s="199"/>
      <c r="O2092" s="199"/>
      <c r="P2092" s="199"/>
      <c r="Q2092" s="199"/>
      <c r="R2092" s="199"/>
    </row>
    <row r="2093" spans="1:18" s="3" customFormat="1" ht="38.25" hidden="1" customHeight="1">
      <c r="A2093" s="82" t="s">
        <v>559</v>
      </c>
      <c r="B2093" s="83">
        <v>795</v>
      </c>
      <c r="C2093" s="84" t="s">
        <v>161</v>
      </c>
      <c r="D2093" s="84" t="s">
        <v>173</v>
      </c>
      <c r="E2093" s="84" t="s">
        <v>558</v>
      </c>
      <c r="F2093" s="84"/>
      <c r="G2093" s="87">
        <f>G2094</f>
        <v>0</v>
      </c>
      <c r="H2093" s="87">
        <f t="shared" si="523"/>
        <v>0</v>
      </c>
      <c r="I2093" s="87">
        <f t="shared" si="523"/>
        <v>0</v>
      </c>
      <c r="J2093" s="177"/>
      <c r="K2093" s="207"/>
      <c r="L2093" s="207"/>
      <c r="M2093" s="199"/>
      <c r="N2093" s="199"/>
      <c r="O2093" s="199"/>
      <c r="P2093" s="199"/>
      <c r="Q2093" s="199"/>
      <c r="R2093" s="199"/>
    </row>
    <row r="2094" spans="1:18" s="3" customFormat="1" ht="38.25" hidden="1" customHeight="1">
      <c r="A2094" s="82" t="s">
        <v>36</v>
      </c>
      <c r="B2094" s="83">
        <v>795</v>
      </c>
      <c r="C2094" s="84" t="s">
        <v>161</v>
      </c>
      <c r="D2094" s="84" t="s">
        <v>173</v>
      </c>
      <c r="E2094" s="84" t="s">
        <v>558</v>
      </c>
      <c r="F2094" s="84" t="s">
        <v>37</v>
      </c>
      <c r="G2094" s="87">
        <f>G2095</f>
        <v>0</v>
      </c>
      <c r="H2094" s="87">
        <f t="shared" si="523"/>
        <v>0</v>
      </c>
      <c r="I2094" s="87">
        <f t="shared" si="523"/>
        <v>0</v>
      </c>
      <c r="J2094" s="177"/>
      <c r="K2094" s="207"/>
      <c r="L2094" s="207"/>
      <c r="M2094" s="199"/>
      <c r="N2094" s="199"/>
      <c r="O2094" s="199"/>
      <c r="P2094" s="199"/>
      <c r="Q2094" s="199"/>
      <c r="R2094" s="199"/>
    </row>
    <row r="2095" spans="1:18" s="3" customFormat="1" ht="38.25" hidden="1" customHeight="1">
      <c r="A2095" s="82" t="s">
        <v>38</v>
      </c>
      <c r="B2095" s="83">
        <v>795</v>
      </c>
      <c r="C2095" s="84" t="s">
        <v>161</v>
      </c>
      <c r="D2095" s="84" t="s">
        <v>173</v>
      </c>
      <c r="E2095" s="84" t="s">
        <v>558</v>
      </c>
      <c r="F2095" s="84" t="s">
        <v>39</v>
      </c>
      <c r="G2095" s="87"/>
      <c r="H2095" s="87">
        <v>0</v>
      </c>
      <c r="I2095" s="87">
        <v>0</v>
      </c>
      <c r="J2095" s="177"/>
      <c r="K2095" s="207"/>
      <c r="L2095" s="207"/>
      <c r="M2095" s="199"/>
      <c r="N2095" s="199"/>
      <c r="O2095" s="199"/>
      <c r="P2095" s="199"/>
      <c r="Q2095" s="199"/>
      <c r="R2095" s="199"/>
    </row>
    <row r="2096" spans="1:18" s="3" customFormat="1" ht="38.25" hidden="1" customHeight="1">
      <c r="A2096" s="82" t="s">
        <v>557</v>
      </c>
      <c r="B2096" s="83">
        <v>795</v>
      </c>
      <c r="C2096" s="84" t="s">
        <v>161</v>
      </c>
      <c r="D2096" s="84" t="s">
        <v>173</v>
      </c>
      <c r="E2096" s="84" t="s">
        <v>556</v>
      </c>
      <c r="F2096" s="84"/>
      <c r="G2096" s="87">
        <f>G2097</f>
        <v>0</v>
      </c>
      <c r="H2096" s="87">
        <f t="shared" ref="H2096:I2096" si="524">H2097</f>
        <v>0</v>
      </c>
      <c r="I2096" s="87">
        <f t="shared" si="524"/>
        <v>0</v>
      </c>
      <c r="J2096" s="177"/>
      <c r="K2096" s="207"/>
      <c r="L2096" s="207"/>
      <c r="M2096" s="199"/>
      <c r="N2096" s="199"/>
      <c r="O2096" s="199"/>
      <c r="P2096" s="199"/>
      <c r="Q2096" s="199"/>
      <c r="R2096" s="199"/>
    </row>
    <row r="2097" spans="1:18" s="3" customFormat="1" ht="38.25" hidden="1" customHeight="1">
      <c r="A2097" s="82" t="s">
        <v>156</v>
      </c>
      <c r="B2097" s="83">
        <v>795</v>
      </c>
      <c r="C2097" s="84" t="s">
        <v>161</v>
      </c>
      <c r="D2097" s="84" t="s">
        <v>173</v>
      </c>
      <c r="E2097" s="84" t="s">
        <v>556</v>
      </c>
      <c r="F2097" s="84" t="s">
        <v>157</v>
      </c>
      <c r="G2097" s="87">
        <f>G2098</f>
        <v>0</v>
      </c>
      <c r="H2097" s="87">
        <f t="shared" ref="H2097:I2100" si="525">H2098</f>
        <v>0</v>
      </c>
      <c r="I2097" s="87">
        <f t="shared" si="525"/>
        <v>0</v>
      </c>
      <c r="J2097" s="177"/>
      <c r="K2097" s="207"/>
      <c r="L2097" s="207"/>
      <c r="M2097" s="199"/>
      <c r="N2097" s="199"/>
      <c r="O2097" s="199"/>
      <c r="P2097" s="199"/>
      <c r="Q2097" s="199"/>
      <c r="R2097" s="199"/>
    </row>
    <row r="2098" spans="1:18" s="3" customFormat="1" ht="38.25" hidden="1" customHeight="1">
      <c r="A2098" s="82" t="s">
        <v>170</v>
      </c>
      <c r="B2098" s="83">
        <v>795</v>
      </c>
      <c r="C2098" s="84" t="s">
        <v>161</v>
      </c>
      <c r="D2098" s="84" t="s">
        <v>173</v>
      </c>
      <c r="E2098" s="84" t="s">
        <v>556</v>
      </c>
      <c r="F2098" s="84" t="s">
        <v>171</v>
      </c>
      <c r="G2098" s="87"/>
      <c r="H2098" s="87">
        <v>0</v>
      </c>
      <c r="I2098" s="87">
        <v>0</v>
      </c>
      <c r="J2098" s="177"/>
      <c r="K2098" s="207"/>
      <c r="L2098" s="207"/>
      <c r="M2098" s="199"/>
      <c r="N2098" s="199"/>
      <c r="O2098" s="199"/>
      <c r="P2098" s="199"/>
      <c r="Q2098" s="199"/>
      <c r="R2098" s="199"/>
    </row>
    <row r="2099" spans="1:18" s="3" customFormat="1" ht="38.25" hidden="1" customHeight="1">
      <c r="A2099" s="82" t="s">
        <v>555</v>
      </c>
      <c r="B2099" s="83">
        <v>795</v>
      </c>
      <c r="C2099" s="84" t="s">
        <v>161</v>
      </c>
      <c r="D2099" s="84" t="s">
        <v>173</v>
      </c>
      <c r="E2099" s="84" t="s">
        <v>554</v>
      </c>
      <c r="F2099" s="84"/>
      <c r="G2099" s="87">
        <f>G2100</f>
        <v>0</v>
      </c>
      <c r="H2099" s="87">
        <f t="shared" ref="H2099:I2099" si="526">H2100</f>
        <v>0</v>
      </c>
      <c r="I2099" s="87">
        <f t="shared" si="526"/>
        <v>0</v>
      </c>
      <c r="J2099" s="177"/>
      <c r="K2099" s="207"/>
      <c r="L2099" s="207"/>
      <c r="M2099" s="199"/>
      <c r="N2099" s="199"/>
      <c r="O2099" s="199"/>
      <c r="P2099" s="199"/>
      <c r="Q2099" s="199"/>
      <c r="R2099" s="199"/>
    </row>
    <row r="2100" spans="1:18" s="3" customFormat="1" ht="38.25" hidden="1" customHeight="1">
      <c r="A2100" s="82" t="s">
        <v>156</v>
      </c>
      <c r="B2100" s="83">
        <v>795</v>
      </c>
      <c r="C2100" s="84" t="s">
        <v>161</v>
      </c>
      <c r="D2100" s="84" t="s">
        <v>173</v>
      </c>
      <c r="E2100" s="84" t="s">
        <v>554</v>
      </c>
      <c r="F2100" s="84" t="s">
        <v>157</v>
      </c>
      <c r="G2100" s="87">
        <f>G2101</f>
        <v>0</v>
      </c>
      <c r="H2100" s="87">
        <f t="shared" si="525"/>
        <v>0</v>
      </c>
      <c r="I2100" s="87">
        <f t="shared" si="525"/>
        <v>0</v>
      </c>
      <c r="J2100" s="177"/>
      <c r="K2100" s="207"/>
      <c r="L2100" s="207"/>
      <c r="M2100" s="199"/>
      <c r="N2100" s="199"/>
      <c r="O2100" s="199"/>
      <c r="P2100" s="199"/>
      <c r="Q2100" s="199"/>
      <c r="R2100" s="199"/>
    </row>
    <row r="2101" spans="1:18" s="3" customFormat="1" ht="38.25" hidden="1" customHeight="1">
      <c r="A2101" s="82" t="s">
        <v>170</v>
      </c>
      <c r="B2101" s="83">
        <v>795</v>
      </c>
      <c r="C2101" s="84" t="s">
        <v>161</v>
      </c>
      <c r="D2101" s="84" t="s">
        <v>173</v>
      </c>
      <c r="E2101" s="84" t="s">
        <v>554</v>
      </c>
      <c r="F2101" s="84" t="s">
        <v>171</v>
      </c>
      <c r="G2101" s="87"/>
      <c r="H2101" s="87">
        <v>0</v>
      </c>
      <c r="I2101" s="87">
        <v>0</v>
      </c>
      <c r="J2101" s="177"/>
      <c r="K2101" s="207"/>
      <c r="L2101" s="207"/>
      <c r="M2101" s="199"/>
      <c r="N2101" s="199"/>
      <c r="O2101" s="199"/>
      <c r="P2101" s="199"/>
      <c r="Q2101" s="199"/>
      <c r="R2101" s="199"/>
    </row>
    <row r="2102" spans="1:18" s="3" customFormat="1" ht="38.25" hidden="1" customHeight="1">
      <c r="A2102" s="82" t="s">
        <v>707</v>
      </c>
      <c r="B2102" s="83">
        <v>795</v>
      </c>
      <c r="C2102" s="84" t="s">
        <v>161</v>
      </c>
      <c r="D2102" s="84" t="s">
        <v>173</v>
      </c>
      <c r="E2102" s="84" t="s">
        <v>706</v>
      </c>
      <c r="F2102" s="84"/>
      <c r="G2102" s="87">
        <f>G2103</f>
        <v>0</v>
      </c>
      <c r="H2102" s="87">
        <f t="shared" ref="H2102:I2106" si="527">H2103</f>
        <v>0</v>
      </c>
      <c r="I2102" s="87">
        <f t="shared" si="527"/>
        <v>0</v>
      </c>
      <c r="J2102" s="177"/>
      <c r="K2102" s="207"/>
      <c r="L2102" s="207"/>
      <c r="M2102" s="199"/>
      <c r="N2102" s="199"/>
      <c r="O2102" s="199"/>
      <c r="P2102" s="199"/>
      <c r="Q2102" s="199"/>
      <c r="R2102" s="199"/>
    </row>
    <row r="2103" spans="1:18" s="3" customFormat="1" ht="38.25" hidden="1" customHeight="1">
      <c r="A2103" s="82" t="s">
        <v>36</v>
      </c>
      <c r="B2103" s="83">
        <v>795</v>
      </c>
      <c r="C2103" s="84" t="s">
        <v>161</v>
      </c>
      <c r="D2103" s="84" t="s">
        <v>173</v>
      </c>
      <c r="E2103" s="84" t="s">
        <v>706</v>
      </c>
      <c r="F2103" s="84" t="s">
        <v>37</v>
      </c>
      <c r="G2103" s="87">
        <f>G2104</f>
        <v>0</v>
      </c>
      <c r="H2103" s="87">
        <f t="shared" si="527"/>
        <v>0</v>
      </c>
      <c r="I2103" s="87">
        <f t="shared" si="527"/>
        <v>0</v>
      </c>
      <c r="J2103" s="177"/>
      <c r="K2103" s="207"/>
      <c r="L2103" s="207"/>
      <c r="M2103" s="199"/>
      <c r="N2103" s="199"/>
      <c r="O2103" s="199"/>
      <c r="P2103" s="199"/>
      <c r="Q2103" s="199"/>
      <c r="R2103" s="199"/>
    </row>
    <row r="2104" spans="1:18" s="3" customFormat="1" ht="38.25" hidden="1" customHeight="1">
      <c r="A2104" s="82" t="s">
        <v>38</v>
      </c>
      <c r="B2104" s="83">
        <v>795</v>
      </c>
      <c r="C2104" s="84" t="s">
        <v>161</v>
      </c>
      <c r="D2104" s="84" t="s">
        <v>173</v>
      </c>
      <c r="E2104" s="84" t="s">
        <v>706</v>
      </c>
      <c r="F2104" s="84" t="s">
        <v>39</v>
      </c>
      <c r="G2104" s="87"/>
      <c r="H2104" s="87"/>
      <c r="I2104" s="87"/>
      <c r="J2104" s="177"/>
      <c r="K2104" s="207"/>
      <c r="L2104" s="207"/>
      <c r="M2104" s="199"/>
      <c r="N2104" s="199"/>
      <c r="O2104" s="199"/>
      <c r="P2104" s="199"/>
      <c r="Q2104" s="199"/>
      <c r="R2104" s="199"/>
    </row>
    <row r="2105" spans="1:18" s="3" customFormat="1" ht="63" hidden="1" customHeight="1">
      <c r="A2105" s="82" t="s">
        <v>782</v>
      </c>
      <c r="B2105" s="83">
        <v>795</v>
      </c>
      <c r="C2105" s="84" t="s">
        <v>161</v>
      </c>
      <c r="D2105" s="84" t="s">
        <v>173</v>
      </c>
      <c r="E2105" s="84" t="s">
        <v>781</v>
      </c>
      <c r="F2105" s="84"/>
      <c r="G2105" s="87">
        <f>G2106</f>
        <v>0</v>
      </c>
      <c r="H2105" s="87">
        <f t="shared" si="527"/>
        <v>0</v>
      </c>
      <c r="I2105" s="87">
        <f t="shared" si="527"/>
        <v>0</v>
      </c>
      <c r="J2105" s="177"/>
      <c r="K2105" s="207"/>
      <c r="L2105" s="207"/>
      <c r="M2105" s="199"/>
      <c r="N2105" s="199"/>
      <c r="O2105" s="199"/>
      <c r="P2105" s="199"/>
      <c r="Q2105" s="199"/>
      <c r="R2105" s="199"/>
    </row>
    <row r="2106" spans="1:18" s="3" customFormat="1" ht="38.25" hidden="1" customHeight="1">
      <c r="A2106" s="82" t="s">
        <v>36</v>
      </c>
      <c r="B2106" s="83">
        <v>795</v>
      </c>
      <c r="C2106" s="84" t="s">
        <v>161</v>
      </c>
      <c r="D2106" s="84" t="s">
        <v>173</v>
      </c>
      <c r="E2106" s="84" t="s">
        <v>781</v>
      </c>
      <c r="F2106" s="84" t="s">
        <v>37</v>
      </c>
      <c r="G2106" s="87">
        <f>G2107</f>
        <v>0</v>
      </c>
      <c r="H2106" s="87">
        <f t="shared" si="527"/>
        <v>0</v>
      </c>
      <c r="I2106" s="87">
        <f t="shared" si="527"/>
        <v>0</v>
      </c>
      <c r="J2106" s="177"/>
      <c r="K2106" s="207"/>
      <c r="L2106" s="207"/>
      <c r="M2106" s="199"/>
      <c r="N2106" s="199"/>
      <c r="O2106" s="199"/>
      <c r="P2106" s="199"/>
      <c r="Q2106" s="199"/>
      <c r="R2106" s="199"/>
    </row>
    <row r="2107" spans="1:18" s="3" customFormat="1" ht="38.25" hidden="1" customHeight="1">
      <c r="A2107" s="82" t="s">
        <v>38</v>
      </c>
      <c r="B2107" s="83">
        <v>795</v>
      </c>
      <c r="C2107" s="84" t="s">
        <v>161</v>
      </c>
      <c r="D2107" s="84" t="s">
        <v>173</v>
      </c>
      <c r="E2107" s="84" t="s">
        <v>781</v>
      </c>
      <c r="F2107" s="84" t="s">
        <v>39</v>
      </c>
      <c r="G2107" s="87"/>
      <c r="H2107" s="87"/>
      <c r="I2107" s="87"/>
      <c r="J2107" s="177"/>
      <c r="K2107" s="207"/>
      <c r="L2107" s="207"/>
      <c r="M2107" s="199"/>
      <c r="N2107" s="199"/>
      <c r="O2107" s="199"/>
      <c r="P2107" s="199"/>
      <c r="Q2107" s="199"/>
      <c r="R2107" s="199"/>
    </row>
    <row r="2108" spans="1:18" s="124" customFormat="1" ht="20.25" hidden="1" customHeight="1">
      <c r="A2108" s="287" t="s">
        <v>74</v>
      </c>
      <c r="B2108" s="275"/>
      <c r="C2108" s="156"/>
      <c r="D2108" s="156"/>
      <c r="E2108" s="156"/>
      <c r="F2108" s="156"/>
      <c r="G2108" s="157">
        <f>G1805+G1900+G2058+G1799</f>
        <v>0</v>
      </c>
      <c r="H2108" s="157">
        <f t="shared" ref="H2108:I2108" si="528">H1805+H1900+H2058+H1799</f>
        <v>0</v>
      </c>
      <c r="I2108" s="157">
        <f t="shared" si="528"/>
        <v>0</v>
      </c>
      <c r="J2108" s="196"/>
      <c r="K2108" s="207"/>
      <c r="L2108" s="207"/>
      <c r="M2108" s="207"/>
      <c r="N2108" s="207"/>
      <c r="O2108" s="207"/>
      <c r="P2108" s="207"/>
      <c r="Q2108" s="207"/>
      <c r="R2108" s="207"/>
    </row>
    <row r="2109" spans="1:18" s="90" customFormat="1" ht="38.25">
      <c r="A2109" s="279" t="s">
        <v>993</v>
      </c>
      <c r="B2109" s="267">
        <v>795</v>
      </c>
      <c r="C2109" s="295"/>
      <c r="D2109" s="295"/>
      <c r="E2109" s="295"/>
      <c r="F2109" s="295"/>
      <c r="G2109" s="282"/>
      <c r="H2109" s="282"/>
      <c r="I2109" s="282"/>
      <c r="J2109" s="197"/>
      <c r="K2109" s="209"/>
      <c r="L2109" s="186"/>
      <c r="M2109" s="186"/>
      <c r="N2109" s="186"/>
      <c r="O2109" s="186"/>
      <c r="P2109" s="186"/>
      <c r="Q2109" s="186"/>
      <c r="R2109" s="186"/>
    </row>
    <row r="2110" spans="1:18" s="124" customFormat="1" ht="16.5">
      <c r="A2110" s="266" t="s">
        <v>18</v>
      </c>
      <c r="B2110" s="309">
        <v>795</v>
      </c>
      <c r="C2110" s="310" t="s">
        <v>19</v>
      </c>
      <c r="D2110" s="311"/>
      <c r="E2110" s="311"/>
      <c r="F2110" s="311"/>
      <c r="G2110" s="314">
        <f>G2111</f>
        <v>4080</v>
      </c>
      <c r="H2110" s="312"/>
      <c r="I2110" s="312"/>
      <c r="J2110" s="313"/>
      <c r="K2110" s="208"/>
      <c r="L2110" s="207"/>
      <c r="M2110" s="207"/>
      <c r="N2110" s="207"/>
      <c r="O2110" s="207"/>
      <c r="P2110" s="207"/>
      <c r="Q2110" s="207"/>
      <c r="R2110" s="207"/>
    </row>
    <row r="2111" spans="1:18" s="150" customFormat="1" ht="16.5">
      <c r="A2111" s="306" t="s">
        <v>22</v>
      </c>
      <c r="B2111" s="305">
        <v>795</v>
      </c>
      <c r="C2111" s="304" t="s">
        <v>19</v>
      </c>
      <c r="D2111" s="304" t="s">
        <v>23</v>
      </c>
      <c r="E2111" s="303"/>
      <c r="F2111" s="303"/>
      <c r="G2111" s="315">
        <f>G2112</f>
        <v>4080</v>
      </c>
      <c r="H2111" s="307"/>
      <c r="I2111" s="307"/>
      <c r="J2111" s="308"/>
      <c r="K2111" s="214"/>
      <c r="L2111" s="222"/>
      <c r="M2111" s="222"/>
      <c r="N2111" s="222"/>
      <c r="O2111" s="222"/>
      <c r="P2111" s="222"/>
      <c r="Q2111" s="222"/>
      <c r="R2111" s="222"/>
    </row>
    <row r="2112" spans="1:18" s="150" customFormat="1" ht="25.5">
      <c r="A2112" s="306" t="s">
        <v>164</v>
      </c>
      <c r="B2112" s="305">
        <v>795</v>
      </c>
      <c r="C2112" s="304" t="s">
        <v>19</v>
      </c>
      <c r="D2112" s="304" t="s">
        <v>23</v>
      </c>
      <c r="E2112" s="305" t="s">
        <v>210</v>
      </c>
      <c r="F2112" s="303"/>
      <c r="G2112" s="315">
        <f>G2113</f>
        <v>4080</v>
      </c>
      <c r="H2112" s="307"/>
      <c r="I2112" s="307"/>
      <c r="J2112" s="308"/>
      <c r="K2112" s="214"/>
      <c r="L2112" s="222"/>
      <c r="M2112" s="222"/>
      <c r="N2112" s="222"/>
      <c r="O2112" s="222"/>
      <c r="P2112" s="222"/>
      <c r="Q2112" s="222"/>
      <c r="R2112" s="222"/>
    </row>
    <row r="2113" spans="1:18" s="150" customFormat="1" ht="25.5">
      <c r="A2113" s="82" t="s">
        <v>406</v>
      </c>
      <c r="B2113" s="305">
        <v>795</v>
      </c>
      <c r="C2113" s="304" t="s">
        <v>19</v>
      </c>
      <c r="D2113" s="304" t="s">
        <v>23</v>
      </c>
      <c r="E2113" s="305" t="s">
        <v>405</v>
      </c>
      <c r="F2113" s="303"/>
      <c r="G2113" s="315">
        <f>G2114</f>
        <v>4080</v>
      </c>
      <c r="H2113" s="307"/>
      <c r="I2113" s="307"/>
      <c r="J2113" s="308"/>
      <c r="K2113" s="214"/>
      <c r="L2113" s="222"/>
      <c r="M2113" s="222"/>
      <c r="N2113" s="222"/>
      <c r="O2113" s="222"/>
      <c r="P2113" s="222"/>
      <c r="Q2113" s="222"/>
      <c r="R2113" s="222"/>
    </row>
    <row r="2114" spans="1:18" s="150" customFormat="1">
      <c r="A2114" s="82" t="s">
        <v>63</v>
      </c>
      <c r="B2114" s="305">
        <v>795</v>
      </c>
      <c r="C2114" s="304" t="s">
        <v>19</v>
      </c>
      <c r="D2114" s="304" t="s">
        <v>23</v>
      </c>
      <c r="E2114" s="305" t="s">
        <v>405</v>
      </c>
      <c r="F2114" s="305">
        <v>800</v>
      </c>
      <c r="G2114" s="315">
        <f>G2115</f>
        <v>4080</v>
      </c>
      <c r="H2114" s="307"/>
      <c r="I2114" s="307"/>
      <c r="J2114" s="308"/>
      <c r="K2114" s="214"/>
      <c r="L2114" s="222"/>
      <c r="M2114" s="222"/>
      <c r="N2114" s="222"/>
      <c r="O2114" s="222"/>
      <c r="P2114" s="222"/>
      <c r="Q2114" s="222"/>
      <c r="R2114" s="222"/>
    </row>
    <row r="2115" spans="1:18" s="150" customFormat="1">
      <c r="A2115" s="82" t="s">
        <v>329</v>
      </c>
      <c r="B2115" s="305">
        <v>795</v>
      </c>
      <c r="C2115" s="304" t="s">
        <v>19</v>
      </c>
      <c r="D2115" s="304" t="s">
        <v>23</v>
      </c>
      <c r="E2115" s="305" t="s">
        <v>405</v>
      </c>
      <c r="F2115" s="305">
        <v>830</v>
      </c>
      <c r="G2115" s="315">
        <v>4080</v>
      </c>
      <c r="H2115" s="307"/>
      <c r="I2115" s="307"/>
      <c r="J2115" s="308"/>
      <c r="K2115" s="214"/>
      <c r="L2115" s="222"/>
      <c r="M2115" s="222"/>
      <c r="N2115" s="222"/>
      <c r="O2115" s="222"/>
      <c r="P2115" s="222"/>
      <c r="Q2115" s="222"/>
      <c r="R2115" s="222"/>
    </row>
    <row r="2116" spans="1:18">
      <c r="A2116" s="270" t="s">
        <v>86</v>
      </c>
      <c r="B2116" s="271">
        <v>795</v>
      </c>
      <c r="C2116" s="272" t="s">
        <v>54</v>
      </c>
      <c r="D2116" s="272"/>
      <c r="E2116" s="272"/>
      <c r="F2116" s="272"/>
      <c r="G2116" s="269">
        <f>G2144+G2117</f>
        <v>1710264.4699999997</v>
      </c>
      <c r="H2116" s="269">
        <f t="shared" ref="H2116:I2116" si="529">H2144</f>
        <v>0</v>
      </c>
      <c r="I2116" s="269">
        <f t="shared" si="529"/>
        <v>0</v>
      </c>
      <c r="J2116" s="191"/>
      <c r="K2116" s="191"/>
      <c r="L2116" s="191"/>
      <c r="M2116" s="191"/>
      <c r="N2116" s="191"/>
      <c r="O2116" s="191"/>
      <c r="P2116" s="209"/>
      <c r="Q2116" s="209"/>
    </row>
    <row r="2117" spans="1:18" ht="19.5" customHeight="1">
      <c r="A2117" s="82" t="s">
        <v>172</v>
      </c>
      <c r="B2117" s="149">
        <v>795</v>
      </c>
      <c r="C2117" s="84" t="s">
        <v>54</v>
      </c>
      <c r="D2117" s="84" t="s">
        <v>123</v>
      </c>
      <c r="E2117" s="84"/>
      <c r="F2117" s="84"/>
      <c r="G2117" s="87">
        <f>G2118</f>
        <v>1580354.5499999998</v>
      </c>
      <c r="H2117" s="87">
        <f t="shared" ref="H2117:I2117" si="530">H2118</f>
        <v>0</v>
      </c>
      <c r="I2117" s="87">
        <f t="shared" si="530"/>
        <v>0</v>
      </c>
      <c r="J2117" s="177"/>
      <c r="K2117" s="69"/>
      <c r="L2117" s="69"/>
      <c r="M2117" s="69"/>
      <c r="N2117" s="69"/>
      <c r="O2117" s="69"/>
      <c r="P2117" s="69"/>
      <c r="Q2117" s="69"/>
      <c r="R2117" s="69"/>
    </row>
    <row r="2118" spans="1:18" s="18" customFormat="1" ht="27" customHeight="1">
      <c r="A2118" s="82" t="s">
        <v>490</v>
      </c>
      <c r="B2118" s="149">
        <v>795</v>
      </c>
      <c r="C2118" s="84" t="s">
        <v>54</v>
      </c>
      <c r="D2118" s="84" t="s">
        <v>123</v>
      </c>
      <c r="E2118" s="84" t="s">
        <v>235</v>
      </c>
      <c r="F2118" s="84"/>
      <c r="G2118" s="87">
        <f>G2119+G2125+G2131</f>
        <v>1580354.5499999998</v>
      </c>
      <c r="H2118" s="87">
        <f>H2125+H2138</f>
        <v>0</v>
      </c>
      <c r="I2118" s="87">
        <f>I2125+I2138</f>
        <v>0</v>
      </c>
      <c r="J2118" s="177"/>
      <c r="K2118" s="176"/>
      <c r="L2118" s="176"/>
      <c r="M2118" s="176"/>
      <c r="N2118" s="176"/>
      <c r="O2118" s="176"/>
      <c r="P2118" s="184"/>
      <c r="Q2118" s="249"/>
      <c r="R2118" s="184"/>
    </row>
    <row r="2119" spans="1:18" s="18" customFormat="1" ht="86.25" customHeight="1">
      <c r="A2119" s="82" t="s">
        <v>998</v>
      </c>
      <c r="B2119" s="149">
        <v>795</v>
      </c>
      <c r="C2119" s="84" t="s">
        <v>54</v>
      </c>
      <c r="D2119" s="84" t="s">
        <v>123</v>
      </c>
      <c r="E2119" s="84" t="s">
        <v>997</v>
      </c>
      <c r="F2119" s="84"/>
      <c r="G2119" s="87">
        <f>G2120</f>
        <v>527146.93999999994</v>
      </c>
      <c r="H2119" s="87">
        <f>H2120+H2125</f>
        <v>0</v>
      </c>
      <c r="I2119" s="87">
        <f>I2120+I2125</f>
        <v>0</v>
      </c>
      <c r="J2119" s="177"/>
      <c r="K2119" s="184"/>
      <c r="L2119" s="184"/>
      <c r="M2119" s="184"/>
      <c r="N2119" s="184"/>
      <c r="O2119" s="184"/>
      <c r="P2119" s="184"/>
      <c r="Q2119" s="184"/>
      <c r="R2119" s="184"/>
    </row>
    <row r="2120" spans="1:18" s="18" customFormat="1" ht="76.5" customHeight="1">
      <c r="A2120" s="82" t="s">
        <v>998</v>
      </c>
      <c r="B2120" s="149">
        <v>795</v>
      </c>
      <c r="C2120" s="84" t="s">
        <v>54</v>
      </c>
      <c r="D2120" s="84" t="s">
        <v>123</v>
      </c>
      <c r="E2120" s="84" t="s">
        <v>1001</v>
      </c>
      <c r="F2120" s="84"/>
      <c r="G2120" s="87">
        <f>G2123+G2121</f>
        <v>527146.93999999994</v>
      </c>
      <c r="H2120" s="87">
        <f>H2123</f>
        <v>0</v>
      </c>
      <c r="I2120" s="87">
        <f>I2123</f>
        <v>0</v>
      </c>
      <c r="J2120" s="177"/>
      <c r="K2120" s="184"/>
      <c r="L2120" s="184"/>
      <c r="M2120" s="184"/>
      <c r="N2120" s="184"/>
      <c r="O2120" s="184"/>
      <c r="P2120" s="184"/>
      <c r="Q2120" s="184"/>
      <c r="R2120" s="184"/>
    </row>
    <row r="2121" spans="1:18" s="18" customFormat="1" ht="15" customHeight="1">
      <c r="A2121" s="82" t="s">
        <v>324</v>
      </c>
      <c r="B2121" s="149">
        <v>795</v>
      </c>
      <c r="C2121" s="84" t="s">
        <v>54</v>
      </c>
      <c r="D2121" s="84" t="s">
        <v>123</v>
      </c>
      <c r="E2121" s="84" t="s">
        <v>1001</v>
      </c>
      <c r="F2121" s="84" t="s">
        <v>37</v>
      </c>
      <c r="G2121" s="87">
        <f>G2122</f>
        <v>448906.07</v>
      </c>
      <c r="H2121" s="87">
        <f>H2122</f>
        <v>0</v>
      </c>
      <c r="I2121" s="87">
        <f>I2122</f>
        <v>0</v>
      </c>
      <c r="J2121" s="177"/>
      <c r="K2121" s="184"/>
      <c r="L2121" s="184"/>
      <c r="M2121" s="184"/>
      <c r="N2121" s="184"/>
      <c r="O2121" s="184"/>
      <c r="P2121" s="184"/>
      <c r="Q2121" s="184"/>
      <c r="R2121" s="184"/>
    </row>
    <row r="2122" spans="1:18" s="18" customFormat="1" ht="32.25" customHeight="1">
      <c r="A2122" s="82" t="s">
        <v>38</v>
      </c>
      <c r="B2122" s="149">
        <v>795</v>
      </c>
      <c r="C2122" s="84" t="s">
        <v>54</v>
      </c>
      <c r="D2122" s="84" t="s">
        <v>123</v>
      </c>
      <c r="E2122" s="84" t="s">
        <v>1001</v>
      </c>
      <c r="F2122" s="84" t="s">
        <v>39</v>
      </c>
      <c r="G2122" s="87">
        <v>448906.07</v>
      </c>
      <c r="H2122" s="87">
        <v>0</v>
      </c>
      <c r="I2122" s="87">
        <v>0</v>
      </c>
      <c r="J2122" s="177"/>
      <c r="K2122" s="184"/>
      <c r="L2122" s="184"/>
      <c r="M2122" s="184"/>
      <c r="N2122" s="184"/>
      <c r="O2122" s="184"/>
      <c r="P2122" s="184"/>
      <c r="Q2122" s="184"/>
      <c r="R2122" s="184"/>
    </row>
    <row r="2123" spans="1:18" s="18" customFormat="1" ht="15" customHeight="1">
      <c r="A2123" s="82" t="s">
        <v>156</v>
      </c>
      <c r="B2123" s="149">
        <v>795</v>
      </c>
      <c r="C2123" s="84" t="s">
        <v>54</v>
      </c>
      <c r="D2123" s="84" t="s">
        <v>123</v>
      </c>
      <c r="E2123" s="84" t="s">
        <v>1001</v>
      </c>
      <c r="F2123" s="84" t="s">
        <v>157</v>
      </c>
      <c r="G2123" s="87">
        <f t="shared" ref="G2123:I2123" si="531">G2124</f>
        <v>78240.87</v>
      </c>
      <c r="H2123" s="87">
        <f t="shared" si="531"/>
        <v>0</v>
      </c>
      <c r="I2123" s="87">
        <f t="shared" si="531"/>
        <v>0</v>
      </c>
      <c r="J2123" s="177"/>
      <c r="K2123" s="184"/>
      <c r="L2123" s="184"/>
      <c r="M2123" s="184"/>
      <c r="N2123" s="184"/>
      <c r="O2123" s="184"/>
      <c r="P2123" s="184"/>
      <c r="Q2123" s="184"/>
      <c r="R2123" s="184"/>
    </row>
    <row r="2124" spans="1:18" s="18" customFormat="1" ht="32.25" customHeight="1">
      <c r="A2124" s="82" t="s">
        <v>178</v>
      </c>
      <c r="B2124" s="149">
        <v>795</v>
      </c>
      <c r="C2124" s="84" t="s">
        <v>54</v>
      </c>
      <c r="D2124" s="84" t="s">
        <v>123</v>
      </c>
      <c r="E2124" s="84" t="s">
        <v>1001</v>
      </c>
      <c r="F2124" s="84" t="s">
        <v>179</v>
      </c>
      <c r="G2124" s="87">
        <v>78240.87</v>
      </c>
      <c r="H2124" s="87">
        <v>0</v>
      </c>
      <c r="I2124" s="87">
        <v>0</v>
      </c>
      <c r="J2124" s="177"/>
      <c r="K2124" s="184"/>
      <c r="L2124" s="184"/>
      <c r="M2124" s="184"/>
      <c r="N2124" s="184"/>
      <c r="O2124" s="184"/>
      <c r="P2124" s="184"/>
      <c r="Q2124" s="184"/>
      <c r="R2124" s="184"/>
    </row>
    <row r="2125" spans="1:18" s="18" customFormat="1" ht="86.25" customHeight="1">
      <c r="A2125" s="82" t="s">
        <v>999</v>
      </c>
      <c r="B2125" s="149">
        <v>795</v>
      </c>
      <c r="C2125" s="84" t="s">
        <v>54</v>
      </c>
      <c r="D2125" s="84" t="s">
        <v>123</v>
      </c>
      <c r="E2125" s="84" t="s">
        <v>11</v>
      </c>
      <c r="F2125" s="84"/>
      <c r="G2125" s="87">
        <f>G2126</f>
        <v>1024610.61</v>
      </c>
      <c r="H2125" s="87">
        <f>H2126+H2135</f>
        <v>0</v>
      </c>
      <c r="I2125" s="87">
        <f>I2126+I2135</f>
        <v>0</v>
      </c>
      <c r="J2125" s="177"/>
      <c r="K2125" s="184"/>
      <c r="L2125" s="184"/>
      <c r="M2125" s="184"/>
      <c r="N2125" s="184"/>
      <c r="O2125" s="184"/>
      <c r="P2125" s="184"/>
      <c r="Q2125" s="184"/>
      <c r="R2125" s="184"/>
    </row>
    <row r="2126" spans="1:18" s="18" customFormat="1" ht="76.5" customHeight="1">
      <c r="A2126" s="82" t="s">
        <v>999</v>
      </c>
      <c r="B2126" s="149">
        <v>795</v>
      </c>
      <c r="C2126" s="84" t="s">
        <v>54</v>
      </c>
      <c r="D2126" s="84" t="s">
        <v>123</v>
      </c>
      <c r="E2126" s="84" t="s">
        <v>1000</v>
      </c>
      <c r="F2126" s="84"/>
      <c r="G2126" s="87">
        <f>G2129+G2128</f>
        <v>1024610.61</v>
      </c>
      <c r="H2126" s="87">
        <f>H2129</f>
        <v>0</v>
      </c>
      <c r="I2126" s="87">
        <f>I2129</f>
        <v>0</v>
      </c>
      <c r="J2126" s="177"/>
      <c r="K2126" s="184"/>
      <c r="L2126" s="184"/>
      <c r="M2126" s="184"/>
      <c r="N2126" s="184"/>
      <c r="O2126" s="184"/>
      <c r="P2126" s="184"/>
      <c r="Q2126" s="184"/>
      <c r="R2126" s="184"/>
    </row>
    <row r="2127" spans="1:18" s="18" customFormat="1" ht="15" customHeight="1">
      <c r="A2127" s="82" t="s">
        <v>324</v>
      </c>
      <c r="B2127" s="149">
        <v>795</v>
      </c>
      <c r="C2127" s="84" t="s">
        <v>54</v>
      </c>
      <c r="D2127" s="84" t="s">
        <v>123</v>
      </c>
      <c r="E2127" s="84" t="s">
        <v>1000</v>
      </c>
      <c r="F2127" s="84" t="s">
        <v>37</v>
      </c>
      <c r="G2127" s="87">
        <f>G2128</f>
        <v>597245.36</v>
      </c>
      <c r="H2127" s="87">
        <f>H2128</f>
        <v>0</v>
      </c>
      <c r="I2127" s="87">
        <f>I2128</f>
        <v>0</v>
      </c>
      <c r="J2127" s="177"/>
      <c r="K2127" s="184"/>
      <c r="L2127" s="184"/>
      <c r="M2127" s="184"/>
      <c r="N2127" s="184"/>
      <c r="O2127" s="184"/>
      <c r="P2127" s="184"/>
      <c r="Q2127" s="184"/>
      <c r="R2127" s="184"/>
    </row>
    <row r="2128" spans="1:18" s="18" customFormat="1" ht="32.25" customHeight="1">
      <c r="A2128" s="82" t="s">
        <v>38</v>
      </c>
      <c r="B2128" s="149">
        <v>795</v>
      </c>
      <c r="C2128" s="84" t="s">
        <v>54</v>
      </c>
      <c r="D2128" s="84" t="s">
        <v>123</v>
      </c>
      <c r="E2128" s="84" t="s">
        <v>1000</v>
      </c>
      <c r="F2128" s="84" t="s">
        <v>39</v>
      </c>
      <c r="G2128" s="87">
        <f>447043.05+150202.31</f>
        <v>597245.36</v>
      </c>
      <c r="H2128" s="87">
        <v>0</v>
      </c>
      <c r="I2128" s="87">
        <v>0</v>
      </c>
      <c r="J2128" s="177"/>
      <c r="K2128" s="184"/>
      <c r="L2128" s="184"/>
      <c r="M2128" s="184"/>
      <c r="N2128" s="184"/>
      <c r="O2128" s="184"/>
      <c r="P2128" s="184"/>
      <c r="Q2128" s="184"/>
      <c r="R2128" s="184"/>
    </row>
    <row r="2129" spans="1:18" s="18" customFormat="1" ht="15" customHeight="1">
      <c r="A2129" s="82" t="s">
        <v>156</v>
      </c>
      <c r="B2129" s="149">
        <v>795</v>
      </c>
      <c r="C2129" s="84" t="s">
        <v>54</v>
      </c>
      <c r="D2129" s="84" t="s">
        <v>123</v>
      </c>
      <c r="E2129" s="84" t="s">
        <v>1000</v>
      </c>
      <c r="F2129" s="84" t="s">
        <v>157</v>
      </c>
      <c r="G2129" s="87">
        <f t="shared" ref="G2129:I2129" si="532">G2130</f>
        <v>427365.25</v>
      </c>
      <c r="H2129" s="87">
        <f t="shared" si="532"/>
        <v>0</v>
      </c>
      <c r="I2129" s="87">
        <f t="shared" si="532"/>
        <v>0</v>
      </c>
      <c r="J2129" s="177"/>
      <c r="K2129" s="184"/>
      <c r="L2129" s="184"/>
      <c r="M2129" s="184"/>
      <c r="N2129" s="184"/>
      <c r="O2129" s="184"/>
      <c r="P2129" s="184"/>
      <c r="Q2129" s="184"/>
      <c r="R2129" s="184"/>
    </row>
    <row r="2130" spans="1:18" s="18" customFormat="1" ht="32.25" customHeight="1">
      <c r="A2130" s="82" t="s">
        <v>178</v>
      </c>
      <c r="B2130" s="149">
        <v>795</v>
      </c>
      <c r="C2130" s="84" t="s">
        <v>54</v>
      </c>
      <c r="D2130" s="84" t="s">
        <v>123</v>
      </c>
      <c r="E2130" s="84" t="s">
        <v>1000</v>
      </c>
      <c r="F2130" s="84" t="s">
        <v>179</v>
      </c>
      <c r="G2130" s="87">
        <v>427365.25</v>
      </c>
      <c r="H2130" s="87">
        <v>0</v>
      </c>
      <c r="I2130" s="87">
        <v>0</v>
      </c>
      <c r="J2130" s="177"/>
      <c r="K2130" s="184"/>
      <c r="L2130" s="184"/>
      <c r="M2130" s="184"/>
      <c r="N2130" s="184"/>
      <c r="O2130" s="184"/>
      <c r="P2130" s="184"/>
      <c r="Q2130" s="184"/>
      <c r="R2130" s="184"/>
    </row>
    <row r="2131" spans="1:18" s="18" customFormat="1" ht="102" customHeight="1">
      <c r="A2131" s="82" t="s">
        <v>1003</v>
      </c>
      <c r="B2131" s="149">
        <v>795</v>
      </c>
      <c r="C2131" s="84" t="s">
        <v>54</v>
      </c>
      <c r="D2131" s="84" t="s">
        <v>123</v>
      </c>
      <c r="E2131" s="84" t="s">
        <v>1002</v>
      </c>
      <c r="F2131" s="84"/>
      <c r="G2131" s="87">
        <f>G2132</f>
        <v>28597</v>
      </c>
      <c r="H2131" s="87">
        <f t="shared" ref="H2131:I2131" si="533">H2132+H2141</f>
        <v>0</v>
      </c>
      <c r="I2131" s="87">
        <f t="shared" si="533"/>
        <v>0</v>
      </c>
      <c r="J2131" s="177"/>
      <c r="K2131" s="184"/>
      <c r="L2131" s="184"/>
      <c r="M2131" s="184"/>
      <c r="N2131" s="184"/>
      <c r="O2131" s="184"/>
      <c r="P2131" s="184"/>
      <c r="Q2131" s="184"/>
      <c r="R2131" s="184"/>
    </row>
    <row r="2132" spans="1:18" s="18" customFormat="1" ht="108" customHeight="1">
      <c r="A2132" s="82" t="s">
        <v>1003</v>
      </c>
      <c r="B2132" s="149">
        <v>795</v>
      </c>
      <c r="C2132" s="84" t="s">
        <v>54</v>
      </c>
      <c r="D2132" s="84" t="s">
        <v>123</v>
      </c>
      <c r="E2132" s="84" t="s">
        <v>1004</v>
      </c>
      <c r="F2132" s="84"/>
      <c r="G2132" s="87">
        <f>G2133+G2136</f>
        <v>28597</v>
      </c>
      <c r="H2132" s="87">
        <f t="shared" ref="G2132:I2133" si="534">H2133</f>
        <v>0</v>
      </c>
      <c r="I2132" s="87">
        <f t="shared" si="534"/>
        <v>0</v>
      </c>
      <c r="J2132" s="177"/>
      <c r="K2132" s="184"/>
      <c r="L2132" s="184"/>
      <c r="M2132" s="184"/>
      <c r="N2132" s="184"/>
      <c r="O2132" s="184"/>
      <c r="P2132" s="184"/>
      <c r="Q2132" s="184"/>
      <c r="R2132" s="184"/>
    </row>
    <row r="2133" spans="1:18" s="18" customFormat="1" ht="15" customHeight="1">
      <c r="A2133" s="82" t="s">
        <v>156</v>
      </c>
      <c r="B2133" s="149">
        <v>795</v>
      </c>
      <c r="C2133" s="84" t="s">
        <v>54</v>
      </c>
      <c r="D2133" s="84" t="s">
        <v>123</v>
      </c>
      <c r="E2133" s="84" t="s">
        <v>1004</v>
      </c>
      <c r="F2133" s="84" t="s">
        <v>157</v>
      </c>
      <c r="G2133" s="87">
        <f t="shared" si="534"/>
        <v>28597</v>
      </c>
      <c r="H2133" s="87">
        <f t="shared" si="534"/>
        <v>0</v>
      </c>
      <c r="I2133" s="87">
        <f t="shared" si="534"/>
        <v>0</v>
      </c>
      <c r="J2133" s="177"/>
      <c r="K2133" s="184"/>
      <c r="L2133" s="184"/>
      <c r="M2133" s="184"/>
      <c r="N2133" s="184"/>
      <c r="O2133" s="184"/>
      <c r="P2133" s="184"/>
      <c r="Q2133" s="184"/>
      <c r="R2133" s="184"/>
    </row>
    <row r="2134" spans="1:18" s="18" customFormat="1" ht="32.25" customHeight="1">
      <c r="A2134" s="82" t="s">
        <v>178</v>
      </c>
      <c r="B2134" s="149">
        <v>795</v>
      </c>
      <c r="C2134" s="84" t="s">
        <v>54</v>
      </c>
      <c r="D2134" s="84" t="s">
        <v>123</v>
      </c>
      <c r="E2134" s="84" t="s">
        <v>1004</v>
      </c>
      <c r="F2134" s="84" t="s">
        <v>179</v>
      </c>
      <c r="G2134" s="87">
        <v>28597</v>
      </c>
      <c r="H2134" s="87">
        <v>0</v>
      </c>
      <c r="I2134" s="87">
        <v>0</v>
      </c>
      <c r="J2134" s="177"/>
      <c r="K2134" s="184"/>
      <c r="L2134" s="184"/>
      <c r="M2134" s="184"/>
      <c r="N2134" s="184"/>
      <c r="O2134" s="184"/>
      <c r="P2134" s="184"/>
      <c r="Q2134" s="184"/>
      <c r="R2134" s="184"/>
    </row>
    <row r="2135" spans="1:18" s="18" customFormat="1" ht="106.5" hidden="1" customHeight="1">
      <c r="A2135" s="82" t="s">
        <v>968</v>
      </c>
      <c r="B2135" s="149">
        <v>795</v>
      </c>
      <c r="C2135" s="84" t="s">
        <v>54</v>
      </c>
      <c r="D2135" s="84" t="s">
        <v>123</v>
      </c>
      <c r="E2135" s="84" t="s">
        <v>529</v>
      </c>
      <c r="F2135" s="84"/>
      <c r="G2135" s="87">
        <f>G2136</f>
        <v>0</v>
      </c>
      <c r="H2135" s="87"/>
      <c r="I2135" s="87"/>
      <c r="J2135" s="177"/>
      <c r="K2135" s="184"/>
      <c r="L2135" s="184"/>
      <c r="M2135" s="184"/>
      <c r="N2135" s="184"/>
      <c r="O2135" s="184"/>
      <c r="P2135" s="184"/>
      <c r="Q2135" s="184"/>
      <c r="R2135" s="184"/>
    </row>
    <row r="2136" spans="1:18" s="18" customFormat="1" ht="27.75" hidden="1" customHeight="1">
      <c r="A2136" s="82" t="s">
        <v>96</v>
      </c>
      <c r="B2136" s="149">
        <v>795</v>
      </c>
      <c r="C2136" s="84" t="s">
        <v>54</v>
      </c>
      <c r="D2136" s="84" t="s">
        <v>123</v>
      </c>
      <c r="E2136" s="84" t="s">
        <v>529</v>
      </c>
      <c r="F2136" s="84" t="s">
        <v>349</v>
      </c>
      <c r="G2136" s="87">
        <f>G2137</f>
        <v>0</v>
      </c>
      <c r="H2136" s="87"/>
      <c r="I2136" s="87"/>
      <c r="J2136" s="177"/>
      <c r="K2136" s="184"/>
      <c r="L2136" s="184"/>
      <c r="M2136" s="184"/>
      <c r="N2136" s="184"/>
      <c r="O2136" s="184"/>
      <c r="P2136" s="184"/>
      <c r="Q2136" s="184"/>
      <c r="R2136" s="184"/>
    </row>
    <row r="2137" spans="1:18" s="18" customFormat="1" ht="15" hidden="1" customHeight="1">
      <c r="A2137" s="82" t="s">
        <v>350</v>
      </c>
      <c r="B2137" s="149">
        <v>795</v>
      </c>
      <c r="C2137" s="84" t="s">
        <v>54</v>
      </c>
      <c r="D2137" s="84" t="s">
        <v>123</v>
      </c>
      <c r="E2137" s="84" t="s">
        <v>529</v>
      </c>
      <c r="F2137" s="84" t="s">
        <v>351</v>
      </c>
      <c r="G2137" s="87"/>
      <c r="H2137" s="87"/>
      <c r="I2137" s="87"/>
      <c r="J2137" s="177"/>
      <c r="K2137" s="184"/>
      <c r="L2137" s="184"/>
      <c r="M2137" s="184"/>
      <c r="N2137" s="184"/>
      <c r="O2137" s="184"/>
      <c r="P2137" s="184"/>
      <c r="Q2137" s="184"/>
      <c r="R2137" s="184"/>
    </row>
    <row r="2138" spans="1:18" s="18" customFormat="1" ht="86.25" hidden="1" customHeight="1">
      <c r="A2138" s="82" t="s">
        <v>908</v>
      </c>
      <c r="B2138" s="149">
        <v>795</v>
      </c>
      <c r="C2138" s="84" t="s">
        <v>54</v>
      </c>
      <c r="D2138" s="84" t="s">
        <v>123</v>
      </c>
      <c r="E2138" s="84" t="s">
        <v>105</v>
      </c>
      <c r="F2138" s="84"/>
      <c r="G2138" s="87">
        <f>G2139</f>
        <v>0</v>
      </c>
      <c r="H2138" s="87">
        <f t="shared" ref="H2138:I2138" si="535">H2139</f>
        <v>0</v>
      </c>
      <c r="I2138" s="87">
        <f t="shared" si="535"/>
        <v>0</v>
      </c>
      <c r="J2138" s="177"/>
      <c r="K2138" s="184"/>
      <c r="L2138" s="184"/>
      <c r="M2138" s="184"/>
      <c r="N2138" s="184"/>
      <c r="O2138" s="184"/>
      <c r="P2138" s="184"/>
      <c r="Q2138" s="184"/>
      <c r="R2138" s="184"/>
    </row>
    <row r="2139" spans="1:18" s="18" customFormat="1" ht="122.25" hidden="1" customHeight="1">
      <c r="A2139" s="142" t="s">
        <v>906</v>
      </c>
      <c r="B2139" s="149">
        <v>795</v>
      </c>
      <c r="C2139" s="84" t="s">
        <v>54</v>
      </c>
      <c r="D2139" s="84" t="s">
        <v>123</v>
      </c>
      <c r="E2139" s="84" t="s">
        <v>907</v>
      </c>
      <c r="F2139" s="84"/>
      <c r="G2139" s="87">
        <f>G2140+G2142</f>
        <v>0</v>
      </c>
      <c r="H2139" s="87">
        <f t="shared" ref="H2139:I2139" si="536">H2140+H2142</f>
        <v>0</v>
      </c>
      <c r="I2139" s="87">
        <f t="shared" si="536"/>
        <v>0</v>
      </c>
      <c r="J2139" s="177"/>
      <c r="K2139" s="184"/>
      <c r="L2139" s="184"/>
      <c r="M2139" s="184"/>
      <c r="N2139" s="184"/>
      <c r="O2139" s="184"/>
      <c r="P2139" s="184"/>
      <c r="Q2139" s="184"/>
      <c r="R2139" s="184"/>
    </row>
    <row r="2140" spans="1:18" s="18" customFormat="1" ht="24.75" hidden="1" customHeight="1">
      <c r="A2140" s="82" t="s">
        <v>324</v>
      </c>
      <c r="B2140" s="149">
        <v>795</v>
      </c>
      <c r="C2140" s="84" t="s">
        <v>54</v>
      </c>
      <c r="D2140" s="84" t="s">
        <v>123</v>
      </c>
      <c r="E2140" s="84" t="s">
        <v>907</v>
      </c>
      <c r="F2140" s="84" t="s">
        <v>37</v>
      </c>
      <c r="G2140" s="87">
        <f t="shared" ref="G2140:I2140" si="537">G2141</f>
        <v>0</v>
      </c>
      <c r="H2140" s="87">
        <f t="shared" si="537"/>
        <v>0</v>
      </c>
      <c r="I2140" s="87">
        <f t="shared" si="537"/>
        <v>0</v>
      </c>
      <c r="J2140" s="177"/>
      <c r="K2140" s="184"/>
      <c r="L2140" s="184"/>
      <c r="M2140" s="184"/>
      <c r="N2140" s="184"/>
      <c r="O2140" s="184"/>
      <c r="P2140" s="184"/>
      <c r="Q2140" s="184"/>
      <c r="R2140" s="184"/>
    </row>
    <row r="2141" spans="1:18" s="18" customFormat="1" ht="30.75" hidden="1" customHeight="1">
      <c r="A2141" s="82" t="s">
        <v>38</v>
      </c>
      <c r="B2141" s="149">
        <v>795</v>
      </c>
      <c r="C2141" s="84" t="s">
        <v>54</v>
      </c>
      <c r="D2141" s="84" t="s">
        <v>123</v>
      </c>
      <c r="E2141" s="84" t="s">
        <v>907</v>
      </c>
      <c r="F2141" s="84" t="s">
        <v>39</v>
      </c>
      <c r="G2141" s="87"/>
      <c r="H2141" s="87"/>
      <c r="I2141" s="87"/>
      <c r="J2141" s="177"/>
      <c r="K2141" s="184"/>
      <c r="L2141" s="184"/>
      <c r="M2141" s="184"/>
      <c r="N2141" s="184"/>
      <c r="O2141" s="184"/>
      <c r="P2141" s="184"/>
      <c r="Q2141" s="184"/>
      <c r="R2141" s="184"/>
    </row>
    <row r="2142" spans="1:18" ht="22.5" hidden="1" customHeight="1">
      <c r="A2142" s="82" t="s">
        <v>156</v>
      </c>
      <c r="B2142" s="149">
        <v>795</v>
      </c>
      <c r="C2142" s="84" t="s">
        <v>54</v>
      </c>
      <c r="D2142" s="84" t="s">
        <v>123</v>
      </c>
      <c r="E2142" s="84" t="s">
        <v>624</v>
      </c>
      <c r="F2142" s="84" t="s">
        <v>157</v>
      </c>
      <c r="G2142" s="87">
        <f>G2143</f>
        <v>0</v>
      </c>
      <c r="H2142" s="87">
        <f t="shared" ref="H2142:I2142" si="538">H2143</f>
        <v>0</v>
      </c>
      <c r="I2142" s="87">
        <f t="shared" si="538"/>
        <v>0</v>
      </c>
      <c r="J2142" s="177"/>
      <c r="K2142" s="69"/>
      <c r="L2142" s="69"/>
      <c r="M2142" s="69"/>
      <c r="N2142" s="69"/>
      <c r="O2142" s="69"/>
      <c r="P2142" s="69"/>
      <c r="Q2142" s="69"/>
      <c r="R2142" s="69"/>
    </row>
    <row r="2143" spans="1:18" ht="16.5" hidden="1" customHeight="1">
      <c r="A2143" s="82" t="s">
        <v>178</v>
      </c>
      <c r="B2143" s="149">
        <v>795</v>
      </c>
      <c r="C2143" s="84" t="s">
        <v>54</v>
      </c>
      <c r="D2143" s="84" t="s">
        <v>123</v>
      </c>
      <c r="E2143" s="84" t="s">
        <v>624</v>
      </c>
      <c r="F2143" s="84" t="s">
        <v>179</v>
      </c>
      <c r="G2143" s="87"/>
      <c r="H2143" s="127"/>
      <c r="I2143" s="127"/>
      <c r="J2143" s="198"/>
      <c r="K2143" s="69"/>
      <c r="L2143" s="69"/>
      <c r="M2143" s="69"/>
      <c r="N2143" s="69"/>
      <c r="O2143" s="69"/>
      <c r="P2143" s="69"/>
      <c r="Q2143" s="69"/>
      <c r="R2143" s="69"/>
    </row>
    <row r="2144" spans="1:18" ht="18.75" customHeight="1">
      <c r="A2144" s="82" t="s">
        <v>87</v>
      </c>
      <c r="B2144" s="149">
        <v>795</v>
      </c>
      <c r="C2144" s="84" t="s">
        <v>54</v>
      </c>
      <c r="D2144" s="84" t="s">
        <v>88</v>
      </c>
      <c r="E2144" s="84"/>
      <c r="F2144" s="149"/>
      <c r="G2144" s="87">
        <f>G2145</f>
        <v>129909.92</v>
      </c>
      <c r="H2144" s="87">
        <f t="shared" ref="H2144:I2145" si="539">H2145</f>
        <v>0</v>
      </c>
      <c r="I2144" s="87">
        <f t="shared" si="539"/>
        <v>0</v>
      </c>
      <c r="J2144" s="177"/>
      <c r="K2144" s="176"/>
      <c r="L2144" s="176"/>
      <c r="M2144" s="176"/>
      <c r="N2144" s="176"/>
      <c r="O2144" s="176"/>
      <c r="P2144" s="69"/>
      <c r="Q2144" s="69"/>
      <c r="R2144" s="69"/>
    </row>
    <row r="2145" spans="1:18" ht="54" customHeight="1">
      <c r="A2145" s="82" t="s">
        <v>495</v>
      </c>
      <c r="B2145" s="149">
        <v>795</v>
      </c>
      <c r="C2145" s="84" t="s">
        <v>54</v>
      </c>
      <c r="D2145" s="84" t="s">
        <v>88</v>
      </c>
      <c r="E2145" s="84" t="s">
        <v>296</v>
      </c>
      <c r="F2145" s="84"/>
      <c r="G2145" s="87">
        <f>G2146</f>
        <v>129909.92</v>
      </c>
      <c r="H2145" s="87">
        <f t="shared" si="539"/>
        <v>0</v>
      </c>
      <c r="I2145" s="87">
        <f t="shared" si="539"/>
        <v>0</v>
      </c>
      <c r="J2145" s="177"/>
      <c r="K2145" s="69"/>
      <c r="L2145" s="69"/>
      <c r="M2145" s="69"/>
      <c r="N2145" s="69"/>
      <c r="O2145" s="69"/>
      <c r="P2145" s="69"/>
      <c r="Q2145" s="69"/>
      <c r="R2145" s="69"/>
    </row>
    <row r="2146" spans="1:18" ht="35.25" customHeight="1">
      <c r="A2146" s="139" t="s">
        <v>76</v>
      </c>
      <c r="B2146" s="149">
        <v>795</v>
      </c>
      <c r="C2146" s="84" t="s">
        <v>54</v>
      </c>
      <c r="D2146" s="84" t="s">
        <v>88</v>
      </c>
      <c r="E2146" s="84" t="s">
        <v>283</v>
      </c>
      <c r="F2146" s="84"/>
      <c r="G2146" s="87">
        <f>G2149+G2147</f>
        <v>129909.92</v>
      </c>
      <c r="H2146" s="87">
        <f t="shared" ref="H2146:I2146" si="540">H2149+H2147</f>
        <v>0</v>
      </c>
      <c r="I2146" s="87">
        <f t="shared" si="540"/>
        <v>0</v>
      </c>
      <c r="J2146" s="178"/>
      <c r="K2146" s="69"/>
      <c r="L2146" s="69"/>
      <c r="M2146" s="69"/>
      <c r="N2146" s="69"/>
      <c r="O2146" s="69"/>
      <c r="P2146" s="69"/>
      <c r="Q2146" s="69"/>
      <c r="R2146" s="69"/>
    </row>
    <row r="2147" spans="1:18" s="3" customFormat="1" ht="63.75">
      <c r="A2147" s="146" t="s">
        <v>55</v>
      </c>
      <c r="B2147" s="149">
        <v>795</v>
      </c>
      <c r="C2147" s="84" t="s">
        <v>54</v>
      </c>
      <c r="D2147" s="84" t="s">
        <v>88</v>
      </c>
      <c r="E2147" s="84" t="s">
        <v>283</v>
      </c>
      <c r="F2147" s="84" t="s">
        <v>58</v>
      </c>
      <c r="G2147" s="87">
        <f>G2148</f>
        <v>43000</v>
      </c>
      <c r="H2147" s="87">
        <f>H2148</f>
        <v>0</v>
      </c>
      <c r="I2147" s="87">
        <f>I2148</f>
        <v>0</v>
      </c>
      <c r="J2147" s="177"/>
      <c r="K2147" s="199"/>
      <c r="L2147" s="199"/>
      <c r="M2147" s="199"/>
      <c r="N2147" s="199"/>
      <c r="O2147" s="199"/>
      <c r="P2147" s="199"/>
      <c r="Q2147" s="222"/>
      <c r="R2147" s="199"/>
    </row>
    <row r="2148" spans="1:18" s="3" customFormat="1" ht="25.5">
      <c r="A2148" s="146" t="s">
        <v>56</v>
      </c>
      <c r="B2148" s="149">
        <v>795</v>
      </c>
      <c r="C2148" s="84" t="s">
        <v>54</v>
      </c>
      <c r="D2148" s="84" t="s">
        <v>88</v>
      </c>
      <c r="E2148" s="84" t="s">
        <v>283</v>
      </c>
      <c r="F2148" s="84" t="s">
        <v>59</v>
      </c>
      <c r="G2148" s="87">
        <v>43000</v>
      </c>
      <c r="H2148" s="87">
        <v>0</v>
      </c>
      <c r="I2148" s="87">
        <v>0</v>
      </c>
      <c r="J2148" s="177"/>
      <c r="K2148" s="199"/>
      <c r="L2148" s="199"/>
      <c r="M2148" s="199"/>
      <c r="N2148" s="199"/>
      <c r="O2148" s="199"/>
      <c r="P2148" s="199"/>
      <c r="Q2148" s="222"/>
      <c r="R2148" s="199"/>
    </row>
    <row r="2149" spans="1:18" ht="30.75" customHeight="1">
      <c r="A2149" s="82" t="s">
        <v>457</v>
      </c>
      <c r="B2149" s="149">
        <v>795</v>
      </c>
      <c r="C2149" s="84" t="s">
        <v>54</v>
      </c>
      <c r="D2149" s="84" t="s">
        <v>88</v>
      </c>
      <c r="E2149" s="84" t="s">
        <v>283</v>
      </c>
      <c r="F2149" s="84" t="s">
        <v>37</v>
      </c>
      <c r="G2149" s="87">
        <f>G2150</f>
        <v>86909.92</v>
      </c>
      <c r="H2149" s="85">
        <v>0</v>
      </c>
      <c r="I2149" s="85">
        <v>0</v>
      </c>
      <c r="J2149" s="178"/>
      <c r="K2149" s="69"/>
      <c r="L2149" s="69"/>
      <c r="M2149" s="69"/>
      <c r="N2149" s="69"/>
      <c r="O2149" s="69"/>
      <c r="P2149" s="69"/>
      <c r="Q2149" s="69"/>
      <c r="R2149" s="69"/>
    </row>
    <row r="2150" spans="1:18" ht="38.25" customHeight="1">
      <c r="A2150" s="82" t="s">
        <v>38</v>
      </c>
      <c r="B2150" s="149">
        <v>795</v>
      </c>
      <c r="C2150" s="84" t="s">
        <v>54</v>
      </c>
      <c r="D2150" s="84" t="s">
        <v>88</v>
      </c>
      <c r="E2150" s="84" t="s">
        <v>283</v>
      </c>
      <c r="F2150" s="84" t="s">
        <v>39</v>
      </c>
      <c r="G2150" s="87">
        <f>69040.92+17869</f>
        <v>86909.92</v>
      </c>
      <c r="H2150" s="85">
        <v>0</v>
      </c>
      <c r="I2150" s="85">
        <v>0</v>
      </c>
      <c r="J2150" s="178"/>
      <c r="K2150" s="69"/>
      <c r="L2150" s="69"/>
      <c r="M2150" s="69"/>
      <c r="N2150" s="69"/>
      <c r="O2150" s="69"/>
      <c r="P2150" s="69"/>
      <c r="Q2150" s="69"/>
      <c r="R2150" s="69"/>
    </row>
    <row r="2151" spans="1:18">
      <c r="A2151" s="134" t="s">
        <v>347</v>
      </c>
      <c r="B2151" s="155">
        <v>795</v>
      </c>
      <c r="C2151" s="272" t="s">
        <v>173</v>
      </c>
      <c r="D2151" s="272"/>
      <c r="E2151" s="272"/>
      <c r="F2151" s="272"/>
      <c r="G2151" s="269">
        <f>G2394+G2288+G2514+G2537+G2152+G2242+G2315+G2177+G2194</f>
        <v>757243.32</v>
      </c>
      <c r="H2151" s="269">
        <f>H2394+H2288+H2514+H2537+H2152+H2242+H2315</f>
        <v>0</v>
      </c>
      <c r="I2151" s="269">
        <f>I2394+I2288+I2514+I2537+I2152+I2242+I2315</f>
        <v>0</v>
      </c>
      <c r="J2151" s="191"/>
      <c r="K2151" s="69"/>
      <c r="L2151" s="69"/>
      <c r="M2151" s="69"/>
      <c r="N2151" s="69"/>
      <c r="O2151" s="69"/>
      <c r="P2151" s="250"/>
      <c r="Q2151" s="250"/>
      <c r="R2151" s="69"/>
    </row>
    <row r="2152" spans="1:18">
      <c r="A2152" s="132" t="s">
        <v>174</v>
      </c>
      <c r="B2152" s="149">
        <v>795</v>
      </c>
      <c r="C2152" s="153" t="s">
        <v>173</v>
      </c>
      <c r="D2152" s="153" t="s">
        <v>19</v>
      </c>
      <c r="E2152" s="272"/>
      <c r="F2152" s="272"/>
      <c r="G2152" s="94">
        <f>G2153+G2167</f>
        <v>351888.70999999996</v>
      </c>
      <c r="H2152" s="94">
        <f>H2153+H2207</f>
        <v>0</v>
      </c>
      <c r="I2152" s="94">
        <f>I2153+I2207</f>
        <v>0</v>
      </c>
      <c r="J2152" s="194"/>
      <c r="K2152" s="251"/>
      <c r="L2152" s="251"/>
      <c r="M2152" s="251"/>
      <c r="N2152" s="251"/>
      <c r="O2152" s="251"/>
      <c r="P2152" s="69"/>
      <c r="Q2152" s="69"/>
      <c r="R2152" s="69"/>
    </row>
    <row r="2153" spans="1:18" ht="51">
      <c r="A2153" s="82" t="s">
        <v>495</v>
      </c>
      <c r="B2153" s="149">
        <v>795</v>
      </c>
      <c r="C2153" s="84" t="s">
        <v>173</v>
      </c>
      <c r="D2153" s="84" t="s">
        <v>19</v>
      </c>
      <c r="E2153" s="84" t="s">
        <v>296</v>
      </c>
      <c r="F2153" s="84"/>
      <c r="G2153" s="87">
        <f>G2161+G2164</f>
        <v>241888.71</v>
      </c>
      <c r="H2153" s="87">
        <f>H2156+H2160+H2163+H2206+H2201</f>
        <v>0</v>
      </c>
      <c r="I2153" s="87">
        <f>I2156+I2160+I2163+I2206+I2201</f>
        <v>0</v>
      </c>
      <c r="J2153" s="177"/>
      <c r="K2153" s="69"/>
      <c r="L2153" s="69"/>
      <c r="M2153" s="69"/>
      <c r="N2153" s="69"/>
      <c r="O2153" s="69"/>
      <c r="P2153" s="69"/>
      <c r="Q2153" s="69"/>
      <c r="R2153" s="69"/>
    </row>
    <row r="2154" spans="1:18" s="18" customFormat="1" ht="20.25" hidden="1" customHeight="1">
      <c r="A2154" s="82" t="s">
        <v>85</v>
      </c>
      <c r="B2154" s="149">
        <v>795</v>
      </c>
      <c r="C2154" s="84" t="s">
        <v>173</v>
      </c>
      <c r="D2154" s="84" t="s">
        <v>19</v>
      </c>
      <c r="E2154" s="84" t="s">
        <v>84</v>
      </c>
      <c r="F2154" s="84"/>
      <c r="G2154" s="87">
        <f t="shared" ref="G2154:I2155" si="541">G2155</f>
        <v>0</v>
      </c>
      <c r="H2154" s="87">
        <f t="shared" si="541"/>
        <v>0</v>
      </c>
      <c r="I2154" s="87">
        <f t="shared" si="541"/>
        <v>0</v>
      </c>
      <c r="J2154" s="177"/>
      <c r="K2154" s="184"/>
      <c r="L2154" s="184"/>
      <c r="M2154" s="184"/>
      <c r="N2154" s="184"/>
      <c r="O2154" s="184"/>
      <c r="P2154" s="184"/>
      <c r="Q2154" s="184"/>
      <c r="R2154" s="184"/>
    </row>
    <row r="2155" spans="1:18" ht="30.75" hidden="1" customHeight="1">
      <c r="A2155" s="82" t="s">
        <v>36</v>
      </c>
      <c r="B2155" s="149">
        <v>795</v>
      </c>
      <c r="C2155" s="84" t="s">
        <v>173</v>
      </c>
      <c r="D2155" s="84" t="s">
        <v>19</v>
      </c>
      <c r="E2155" s="84" t="s">
        <v>84</v>
      </c>
      <c r="F2155" s="84" t="s">
        <v>37</v>
      </c>
      <c r="G2155" s="87">
        <f t="shared" si="541"/>
        <v>0</v>
      </c>
      <c r="H2155" s="87">
        <f t="shared" si="541"/>
        <v>0</v>
      </c>
      <c r="I2155" s="87">
        <f t="shared" si="541"/>
        <v>0</v>
      </c>
      <c r="J2155" s="177"/>
      <c r="K2155" s="69"/>
      <c r="L2155" s="69"/>
      <c r="M2155" s="69"/>
      <c r="N2155" s="69"/>
      <c r="O2155" s="69"/>
      <c r="P2155" s="69"/>
      <c r="Q2155" s="69"/>
      <c r="R2155" s="69"/>
    </row>
    <row r="2156" spans="1:18" s="18" customFormat="1" ht="34.5" hidden="1" customHeight="1">
      <c r="A2156" s="82" t="s">
        <v>38</v>
      </c>
      <c r="B2156" s="149">
        <v>795</v>
      </c>
      <c r="C2156" s="84" t="s">
        <v>173</v>
      </c>
      <c r="D2156" s="84" t="s">
        <v>19</v>
      </c>
      <c r="E2156" s="84" t="s">
        <v>84</v>
      </c>
      <c r="F2156" s="84" t="s">
        <v>39</v>
      </c>
      <c r="G2156" s="87"/>
      <c r="H2156" s="87"/>
      <c r="I2156" s="87"/>
      <c r="J2156" s="177"/>
      <c r="K2156" s="184"/>
      <c r="L2156" s="184"/>
      <c r="M2156" s="184"/>
      <c r="N2156" s="184"/>
      <c r="O2156" s="184"/>
      <c r="P2156" s="184"/>
      <c r="Q2156" s="184"/>
      <c r="R2156" s="184"/>
    </row>
    <row r="2157" spans="1:18" s="3" customFormat="1" ht="52.5" hidden="1" customHeight="1">
      <c r="A2157" s="82"/>
      <c r="B2157" s="149">
        <v>795</v>
      </c>
      <c r="C2157" s="84"/>
      <c r="D2157" s="84"/>
      <c r="E2157" s="84"/>
      <c r="F2157" s="84"/>
      <c r="G2157" s="87"/>
      <c r="H2157" s="87"/>
      <c r="I2157" s="87"/>
      <c r="J2157" s="177"/>
      <c r="K2157" s="62"/>
      <c r="L2157" s="62"/>
      <c r="M2157" s="62"/>
      <c r="N2157" s="62"/>
      <c r="O2157" s="62"/>
      <c r="P2157" s="62"/>
      <c r="Q2157" s="62"/>
      <c r="R2157" s="62"/>
    </row>
    <row r="2158" spans="1:18" s="18" customFormat="1" ht="63" hidden="1" customHeight="1">
      <c r="A2158" s="82" t="s">
        <v>81</v>
      </c>
      <c r="B2158" s="149">
        <v>795</v>
      </c>
      <c r="C2158" s="84" t="s">
        <v>173</v>
      </c>
      <c r="D2158" s="84" t="s">
        <v>19</v>
      </c>
      <c r="E2158" s="84" t="s">
        <v>80</v>
      </c>
      <c r="F2158" s="84"/>
      <c r="G2158" s="87">
        <f t="shared" ref="G2158:I2159" si="542">G2159</f>
        <v>0</v>
      </c>
      <c r="H2158" s="87">
        <f t="shared" si="542"/>
        <v>0</v>
      </c>
      <c r="I2158" s="87">
        <f t="shared" si="542"/>
        <v>0</v>
      </c>
      <c r="J2158" s="177"/>
      <c r="K2158" s="184"/>
      <c r="L2158" s="184"/>
      <c r="M2158" s="184"/>
      <c r="N2158" s="184"/>
      <c r="O2158" s="184"/>
      <c r="P2158" s="184"/>
      <c r="Q2158" s="184"/>
      <c r="R2158" s="184"/>
    </row>
    <row r="2159" spans="1:18" ht="30.75" hidden="1" customHeight="1">
      <c r="A2159" s="82" t="s">
        <v>36</v>
      </c>
      <c r="B2159" s="149">
        <v>795</v>
      </c>
      <c r="C2159" s="84" t="s">
        <v>173</v>
      </c>
      <c r="D2159" s="84" t="s">
        <v>19</v>
      </c>
      <c r="E2159" s="84" t="s">
        <v>80</v>
      </c>
      <c r="F2159" s="84" t="s">
        <v>37</v>
      </c>
      <c r="G2159" s="87">
        <f t="shared" si="542"/>
        <v>0</v>
      </c>
      <c r="H2159" s="87">
        <f t="shared" si="542"/>
        <v>0</v>
      </c>
      <c r="I2159" s="87">
        <f t="shared" si="542"/>
        <v>0</v>
      </c>
      <c r="J2159" s="177"/>
      <c r="K2159" s="69"/>
      <c r="L2159" s="69"/>
      <c r="M2159" s="69"/>
      <c r="N2159" s="69"/>
      <c r="O2159" s="69"/>
      <c r="P2159" s="69"/>
      <c r="Q2159" s="69"/>
      <c r="R2159" s="69"/>
    </row>
    <row r="2160" spans="1:18" s="18" customFormat="1" ht="34.5" hidden="1" customHeight="1">
      <c r="A2160" s="82" t="s">
        <v>38</v>
      </c>
      <c r="B2160" s="149">
        <v>795</v>
      </c>
      <c r="C2160" s="84" t="s">
        <v>173</v>
      </c>
      <c r="D2160" s="84" t="s">
        <v>19</v>
      </c>
      <c r="E2160" s="84" t="s">
        <v>80</v>
      </c>
      <c r="F2160" s="84" t="s">
        <v>39</v>
      </c>
      <c r="G2160" s="87"/>
      <c r="H2160" s="87"/>
      <c r="I2160" s="87"/>
      <c r="J2160" s="177"/>
      <c r="K2160" s="184"/>
      <c r="L2160" s="184"/>
      <c r="M2160" s="184"/>
      <c r="N2160" s="184"/>
      <c r="O2160" s="184"/>
      <c r="P2160" s="184"/>
      <c r="Q2160" s="184"/>
      <c r="R2160" s="184"/>
    </row>
    <row r="2161" spans="1:18" s="18" customFormat="1" ht="35.25" customHeight="1">
      <c r="A2161" s="82" t="s">
        <v>85</v>
      </c>
      <c r="B2161" s="149">
        <v>795</v>
      </c>
      <c r="C2161" s="84" t="s">
        <v>173</v>
      </c>
      <c r="D2161" s="84" t="s">
        <v>19</v>
      </c>
      <c r="E2161" s="84" t="s">
        <v>84</v>
      </c>
      <c r="F2161" s="84"/>
      <c r="G2161" s="87">
        <f t="shared" ref="G2161:I2165" si="543">G2162</f>
        <v>38764.49</v>
      </c>
      <c r="H2161" s="87">
        <f t="shared" si="543"/>
        <v>0</v>
      </c>
      <c r="I2161" s="87">
        <f t="shared" si="543"/>
        <v>0</v>
      </c>
      <c r="J2161" s="177"/>
      <c r="K2161" s="184"/>
      <c r="L2161" s="184"/>
      <c r="M2161" s="184"/>
      <c r="N2161" s="184"/>
      <c r="O2161" s="184"/>
      <c r="P2161" s="184"/>
      <c r="Q2161" s="184"/>
      <c r="R2161" s="184"/>
    </row>
    <row r="2162" spans="1:18" ht="35.25" customHeight="1">
      <c r="A2162" s="82" t="s">
        <v>36</v>
      </c>
      <c r="B2162" s="149">
        <v>795</v>
      </c>
      <c r="C2162" s="84" t="s">
        <v>173</v>
      </c>
      <c r="D2162" s="84" t="s">
        <v>19</v>
      </c>
      <c r="E2162" s="84" t="s">
        <v>84</v>
      </c>
      <c r="F2162" s="84" t="s">
        <v>37</v>
      </c>
      <c r="G2162" s="87">
        <f t="shared" si="543"/>
        <v>38764.49</v>
      </c>
      <c r="H2162" s="87">
        <f t="shared" si="543"/>
        <v>0</v>
      </c>
      <c r="I2162" s="87">
        <f t="shared" si="543"/>
        <v>0</v>
      </c>
      <c r="J2162" s="177"/>
      <c r="K2162" s="69"/>
      <c r="L2162" s="69"/>
      <c r="M2162" s="69"/>
      <c r="N2162" s="69"/>
      <c r="O2162" s="69"/>
      <c r="P2162" s="69"/>
      <c r="Q2162" s="69"/>
      <c r="R2162" s="69"/>
    </row>
    <row r="2163" spans="1:18" s="18" customFormat="1" ht="35.25" customHeight="1">
      <c r="A2163" s="82" t="s">
        <v>38</v>
      </c>
      <c r="B2163" s="149">
        <v>795</v>
      </c>
      <c r="C2163" s="84" t="s">
        <v>173</v>
      </c>
      <c r="D2163" s="84" t="s">
        <v>19</v>
      </c>
      <c r="E2163" s="84" t="s">
        <v>84</v>
      </c>
      <c r="F2163" s="84" t="s">
        <v>39</v>
      </c>
      <c r="G2163" s="87">
        <v>38764.49</v>
      </c>
      <c r="H2163" s="87">
        <v>0</v>
      </c>
      <c r="I2163" s="87">
        <v>0</v>
      </c>
      <c r="J2163" s="177"/>
      <c r="K2163" s="184"/>
      <c r="L2163" s="184"/>
      <c r="M2163" s="184"/>
      <c r="N2163" s="184"/>
      <c r="O2163" s="184"/>
      <c r="P2163" s="184"/>
      <c r="Q2163" s="184"/>
      <c r="R2163" s="184"/>
    </row>
    <row r="2164" spans="1:18" s="18" customFormat="1" ht="60.75" customHeight="1">
      <c r="A2164" s="82" t="s">
        <v>81</v>
      </c>
      <c r="B2164" s="149">
        <v>795</v>
      </c>
      <c r="C2164" s="84" t="s">
        <v>173</v>
      </c>
      <c r="D2164" s="84" t="s">
        <v>19</v>
      </c>
      <c r="E2164" s="84" t="s">
        <v>80</v>
      </c>
      <c r="F2164" s="84"/>
      <c r="G2164" s="87">
        <f t="shared" si="543"/>
        <v>203124.22</v>
      </c>
      <c r="H2164" s="87">
        <f t="shared" si="543"/>
        <v>0</v>
      </c>
      <c r="I2164" s="87">
        <f t="shared" si="543"/>
        <v>0</v>
      </c>
      <c r="J2164" s="177"/>
      <c r="K2164" s="184"/>
      <c r="L2164" s="184"/>
      <c r="M2164" s="184"/>
      <c r="N2164" s="184"/>
      <c r="O2164" s="184"/>
      <c r="P2164" s="184"/>
      <c r="Q2164" s="184"/>
      <c r="R2164" s="184"/>
    </row>
    <row r="2165" spans="1:18" ht="35.25" customHeight="1">
      <c r="A2165" s="82" t="s">
        <v>36</v>
      </c>
      <c r="B2165" s="149">
        <v>795</v>
      </c>
      <c r="C2165" s="84" t="s">
        <v>173</v>
      </c>
      <c r="D2165" s="84" t="s">
        <v>19</v>
      </c>
      <c r="E2165" s="84" t="s">
        <v>80</v>
      </c>
      <c r="F2165" s="84" t="s">
        <v>37</v>
      </c>
      <c r="G2165" s="87">
        <f t="shared" si="543"/>
        <v>203124.22</v>
      </c>
      <c r="H2165" s="87">
        <f t="shared" si="543"/>
        <v>0</v>
      </c>
      <c r="I2165" s="87">
        <f t="shared" si="543"/>
        <v>0</v>
      </c>
      <c r="J2165" s="177"/>
      <c r="K2165" s="69"/>
      <c r="L2165" s="69"/>
      <c r="M2165" s="69"/>
      <c r="N2165" s="69"/>
      <c r="O2165" s="69"/>
      <c r="P2165" s="69"/>
      <c r="Q2165" s="69"/>
      <c r="R2165" s="69"/>
    </row>
    <row r="2166" spans="1:18" s="18" customFormat="1" ht="35.25" customHeight="1">
      <c r="A2166" s="82" t="s">
        <v>38</v>
      </c>
      <c r="B2166" s="149">
        <v>795</v>
      </c>
      <c r="C2166" s="84" t="s">
        <v>173</v>
      </c>
      <c r="D2166" s="84" t="s">
        <v>19</v>
      </c>
      <c r="E2166" s="84" t="s">
        <v>80</v>
      </c>
      <c r="F2166" s="84" t="s">
        <v>39</v>
      </c>
      <c r="G2166" s="87">
        <v>203124.22</v>
      </c>
      <c r="H2166" s="87">
        <v>0</v>
      </c>
      <c r="I2166" s="87">
        <v>0</v>
      </c>
      <c r="J2166" s="177"/>
      <c r="K2166" s="184"/>
      <c r="L2166" s="184"/>
      <c r="M2166" s="184"/>
      <c r="N2166" s="184"/>
      <c r="O2166" s="184"/>
      <c r="P2166" s="184"/>
      <c r="Q2166" s="184"/>
      <c r="R2166" s="184"/>
    </row>
    <row r="2167" spans="1:18" s="18" customFormat="1" ht="51">
      <c r="A2167" s="82" t="s">
        <v>514</v>
      </c>
      <c r="B2167" s="149">
        <v>795</v>
      </c>
      <c r="C2167" s="153" t="s">
        <v>173</v>
      </c>
      <c r="D2167" s="153" t="s">
        <v>19</v>
      </c>
      <c r="E2167" s="84" t="s">
        <v>214</v>
      </c>
      <c r="F2167" s="84"/>
      <c r="G2167" s="87">
        <f>G2174</f>
        <v>110000</v>
      </c>
      <c r="H2167" s="87">
        <f>H2168+H2174+H2171+H2202+H2207</f>
        <v>0</v>
      </c>
      <c r="I2167" s="87">
        <f>I2168+I2174+I2171+I2202+I2207</f>
        <v>0</v>
      </c>
      <c r="J2167" s="177"/>
      <c r="K2167" s="184"/>
      <c r="L2167" s="184"/>
      <c r="M2167" s="184"/>
      <c r="N2167" s="184"/>
      <c r="O2167" s="184"/>
      <c r="P2167" s="184"/>
      <c r="Q2167" s="184"/>
      <c r="R2167" s="184"/>
    </row>
    <row r="2168" spans="1:18" s="18" customFormat="1" ht="89.25" hidden="1">
      <c r="A2168" s="82" t="s">
        <v>439</v>
      </c>
      <c r="B2168" s="149">
        <v>795</v>
      </c>
      <c r="C2168" s="153" t="s">
        <v>173</v>
      </c>
      <c r="D2168" s="153" t="s">
        <v>19</v>
      </c>
      <c r="E2168" s="84" t="s">
        <v>525</v>
      </c>
      <c r="F2168" s="84"/>
      <c r="G2168" s="87">
        <f>G2169</f>
        <v>0</v>
      </c>
      <c r="H2168" s="87">
        <f t="shared" ref="H2168:I2172" si="544">H2169</f>
        <v>0</v>
      </c>
      <c r="I2168" s="87">
        <f t="shared" si="544"/>
        <v>0</v>
      </c>
      <c r="J2168" s="177"/>
      <c r="K2168" s="184"/>
      <c r="L2168" s="184"/>
      <c r="M2168" s="184"/>
      <c r="N2168" s="184"/>
      <c r="O2168" s="184"/>
      <c r="P2168" s="184"/>
      <c r="Q2168" s="184"/>
      <c r="R2168" s="184"/>
    </row>
    <row r="2169" spans="1:18" s="18" customFormat="1" ht="23.25" hidden="1" customHeight="1">
      <c r="A2169" s="82" t="s">
        <v>63</v>
      </c>
      <c r="B2169" s="149">
        <v>795</v>
      </c>
      <c r="C2169" s="153" t="s">
        <v>173</v>
      </c>
      <c r="D2169" s="153" t="s">
        <v>19</v>
      </c>
      <c r="E2169" s="84" t="s">
        <v>525</v>
      </c>
      <c r="F2169" s="84" t="s">
        <v>64</v>
      </c>
      <c r="G2169" s="87">
        <f>G2170</f>
        <v>0</v>
      </c>
      <c r="H2169" s="87">
        <f t="shared" si="544"/>
        <v>0</v>
      </c>
      <c r="I2169" s="87">
        <f t="shared" si="544"/>
        <v>0</v>
      </c>
      <c r="J2169" s="177"/>
      <c r="K2169" s="184"/>
      <c r="L2169" s="184"/>
      <c r="M2169" s="184"/>
      <c r="N2169" s="184"/>
      <c r="O2169" s="184"/>
      <c r="P2169" s="184"/>
      <c r="Q2169" s="184"/>
      <c r="R2169" s="184"/>
    </row>
    <row r="2170" spans="1:18" s="18" customFormat="1" ht="20.25" hidden="1" customHeight="1">
      <c r="A2170" s="133" t="s">
        <v>144</v>
      </c>
      <c r="B2170" s="149">
        <v>795</v>
      </c>
      <c r="C2170" s="153" t="s">
        <v>173</v>
      </c>
      <c r="D2170" s="153" t="s">
        <v>19</v>
      </c>
      <c r="E2170" s="84" t="s">
        <v>525</v>
      </c>
      <c r="F2170" s="84" t="s">
        <v>67</v>
      </c>
      <c r="G2170" s="87"/>
      <c r="H2170" s="87"/>
      <c r="I2170" s="87"/>
      <c r="J2170" s="177"/>
      <c r="K2170" s="184"/>
      <c r="L2170" s="184"/>
      <c r="M2170" s="184"/>
      <c r="N2170" s="184"/>
      <c r="O2170" s="184"/>
      <c r="P2170" s="184"/>
      <c r="Q2170" s="184"/>
      <c r="R2170" s="184"/>
    </row>
    <row r="2171" spans="1:18" s="18" customFormat="1" ht="76.5" hidden="1">
      <c r="A2171" s="82" t="s">
        <v>440</v>
      </c>
      <c r="B2171" s="149">
        <v>795</v>
      </c>
      <c r="C2171" s="153" t="s">
        <v>173</v>
      </c>
      <c r="D2171" s="153" t="s">
        <v>19</v>
      </c>
      <c r="E2171" s="84" t="s">
        <v>526</v>
      </c>
      <c r="F2171" s="84"/>
      <c r="G2171" s="87">
        <f>G2172</f>
        <v>0</v>
      </c>
      <c r="H2171" s="87">
        <f t="shared" si="544"/>
        <v>0</v>
      </c>
      <c r="I2171" s="87">
        <f t="shared" si="544"/>
        <v>0</v>
      </c>
      <c r="J2171" s="177"/>
      <c r="K2171" s="184"/>
      <c r="L2171" s="184"/>
      <c r="M2171" s="184"/>
      <c r="N2171" s="184"/>
      <c r="O2171" s="184"/>
      <c r="P2171" s="184"/>
      <c r="Q2171" s="184"/>
      <c r="R2171" s="184"/>
    </row>
    <row r="2172" spans="1:18" s="18" customFormat="1" ht="22.5" hidden="1" customHeight="1">
      <c r="A2172" s="82" t="s">
        <v>63</v>
      </c>
      <c r="B2172" s="149">
        <v>795</v>
      </c>
      <c r="C2172" s="153" t="s">
        <v>173</v>
      </c>
      <c r="D2172" s="153" t="s">
        <v>19</v>
      </c>
      <c r="E2172" s="84" t="s">
        <v>526</v>
      </c>
      <c r="F2172" s="84" t="s">
        <v>64</v>
      </c>
      <c r="G2172" s="87">
        <f>G2173</f>
        <v>0</v>
      </c>
      <c r="H2172" s="87">
        <f t="shared" si="544"/>
        <v>0</v>
      </c>
      <c r="I2172" s="87">
        <f t="shared" si="544"/>
        <v>0</v>
      </c>
      <c r="J2172" s="177"/>
      <c r="K2172" s="184"/>
      <c r="L2172" s="184"/>
      <c r="M2172" s="184"/>
      <c r="N2172" s="184"/>
      <c r="O2172" s="184"/>
      <c r="P2172" s="184"/>
      <c r="Q2172" s="184"/>
      <c r="R2172" s="184"/>
    </row>
    <row r="2173" spans="1:18" s="18" customFormat="1" ht="17.25" hidden="1" customHeight="1">
      <c r="A2173" s="133" t="s">
        <v>144</v>
      </c>
      <c r="B2173" s="149">
        <v>795</v>
      </c>
      <c r="C2173" s="153" t="s">
        <v>173</v>
      </c>
      <c r="D2173" s="153" t="s">
        <v>19</v>
      </c>
      <c r="E2173" s="84" t="s">
        <v>526</v>
      </c>
      <c r="F2173" s="84" t="s">
        <v>67</v>
      </c>
      <c r="G2173" s="87"/>
      <c r="H2173" s="87"/>
      <c r="I2173" s="87"/>
      <c r="J2173" s="177"/>
      <c r="K2173" s="184"/>
      <c r="L2173" s="184"/>
      <c r="M2173" s="184"/>
      <c r="N2173" s="184"/>
      <c r="O2173" s="184"/>
      <c r="P2173" s="184"/>
      <c r="Q2173" s="184"/>
      <c r="R2173" s="184"/>
    </row>
    <row r="2174" spans="1:18" s="46" customFormat="1" ht="48.75" customHeight="1">
      <c r="A2174" s="82" t="s">
        <v>424</v>
      </c>
      <c r="B2174" s="149">
        <v>795</v>
      </c>
      <c r="C2174" s="153" t="s">
        <v>173</v>
      </c>
      <c r="D2174" s="153" t="s">
        <v>19</v>
      </c>
      <c r="E2174" s="84" t="s">
        <v>379</v>
      </c>
      <c r="F2174" s="84"/>
      <c r="G2174" s="87">
        <f>G2175</f>
        <v>110000</v>
      </c>
      <c r="H2174" s="87">
        <f t="shared" ref="G2174:I2175" si="545">H2175</f>
        <v>0</v>
      </c>
      <c r="I2174" s="87">
        <f t="shared" si="545"/>
        <v>0</v>
      </c>
      <c r="J2174" s="177"/>
      <c r="K2174" s="58"/>
      <c r="L2174" s="58"/>
      <c r="M2174" s="58"/>
      <c r="N2174" s="58"/>
      <c r="O2174" s="58"/>
      <c r="P2174" s="58"/>
      <c r="Q2174" s="58"/>
      <c r="R2174" s="58"/>
    </row>
    <row r="2175" spans="1:18" s="46" customFormat="1" ht="21" customHeight="1">
      <c r="A2175" s="82" t="s">
        <v>324</v>
      </c>
      <c r="B2175" s="149">
        <v>795</v>
      </c>
      <c r="C2175" s="153" t="s">
        <v>173</v>
      </c>
      <c r="D2175" s="153" t="s">
        <v>19</v>
      </c>
      <c r="E2175" s="84" t="s">
        <v>379</v>
      </c>
      <c r="F2175" s="84" t="s">
        <v>37</v>
      </c>
      <c r="G2175" s="87">
        <f t="shared" si="545"/>
        <v>110000</v>
      </c>
      <c r="H2175" s="87">
        <f t="shared" si="545"/>
        <v>0</v>
      </c>
      <c r="I2175" s="87">
        <f t="shared" si="545"/>
        <v>0</v>
      </c>
      <c r="J2175" s="177"/>
      <c r="K2175" s="58"/>
      <c r="L2175" s="58"/>
      <c r="M2175" s="58"/>
      <c r="N2175" s="58"/>
      <c r="O2175" s="58"/>
      <c r="P2175" s="58"/>
      <c r="Q2175" s="58"/>
      <c r="R2175" s="58"/>
    </row>
    <row r="2176" spans="1:18" s="46" customFormat="1" ht="28.5" customHeight="1">
      <c r="A2176" s="82" t="s">
        <v>38</v>
      </c>
      <c r="B2176" s="149">
        <v>795</v>
      </c>
      <c r="C2176" s="153" t="s">
        <v>173</v>
      </c>
      <c r="D2176" s="153" t="s">
        <v>19</v>
      </c>
      <c r="E2176" s="84" t="s">
        <v>379</v>
      </c>
      <c r="F2176" s="84" t="s">
        <v>39</v>
      </c>
      <c r="G2176" s="87">
        <v>110000</v>
      </c>
      <c r="H2176" s="87"/>
      <c r="I2176" s="87"/>
      <c r="J2176" s="177"/>
      <c r="K2176" s="58"/>
      <c r="L2176" s="58"/>
      <c r="M2176" s="58"/>
      <c r="N2176" s="58"/>
      <c r="O2176" s="58"/>
      <c r="P2176" s="58"/>
      <c r="Q2176" s="58"/>
      <c r="R2176" s="58"/>
    </row>
    <row r="2177" spans="1:20">
      <c r="A2177" s="135" t="s">
        <v>175</v>
      </c>
      <c r="B2177" s="149">
        <v>795</v>
      </c>
      <c r="C2177" s="84" t="s">
        <v>173</v>
      </c>
      <c r="D2177" s="84" t="s">
        <v>28</v>
      </c>
      <c r="E2177" s="84"/>
      <c r="F2177" s="84"/>
      <c r="G2177" s="87">
        <f>G2178+G2185</f>
        <v>404554.61</v>
      </c>
      <c r="H2177" s="87">
        <f t="shared" ref="H2177:I2177" si="546">H2178</f>
        <v>0</v>
      </c>
      <c r="I2177" s="87">
        <f t="shared" si="546"/>
        <v>0</v>
      </c>
      <c r="J2177" s="177"/>
      <c r="K2177" s="69"/>
      <c r="L2177" s="69"/>
      <c r="M2177" s="69"/>
      <c r="N2177" s="69"/>
      <c r="O2177" s="69"/>
      <c r="P2177" s="69"/>
      <c r="Q2177" s="69"/>
      <c r="R2177" s="69"/>
    </row>
    <row r="2178" spans="1:20" s="3" customFormat="1" ht="52.5" customHeight="1">
      <c r="A2178" s="82" t="s">
        <v>495</v>
      </c>
      <c r="B2178" s="149">
        <v>795</v>
      </c>
      <c r="C2178" s="84" t="s">
        <v>173</v>
      </c>
      <c r="D2178" s="84" t="s">
        <v>28</v>
      </c>
      <c r="E2178" s="84" t="s">
        <v>296</v>
      </c>
      <c r="F2178" s="84"/>
      <c r="G2178" s="87">
        <f>G2181+G2251+G2253+G2223+G2182</f>
        <v>271694</v>
      </c>
      <c r="H2178" s="87">
        <f>H2181+H2251+H2253+H2223</f>
        <v>0</v>
      </c>
      <c r="I2178" s="87">
        <f>I2181+I2251+I2253+I2223</f>
        <v>0</v>
      </c>
      <c r="J2178" s="177"/>
      <c r="K2178" s="62"/>
      <c r="L2178" s="62"/>
      <c r="M2178" s="62"/>
      <c r="N2178" s="62"/>
      <c r="O2178" s="62"/>
      <c r="P2178" s="62"/>
      <c r="Q2178" s="62"/>
      <c r="R2178" s="62"/>
    </row>
    <row r="2179" spans="1:20" ht="28.5" customHeight="1">
      <c r="A2179" s="82" t="s">
        <v>757</v>
      </c>
      <c r="B2179" s="149">
        <v>795</v>
      </c>
      <c r="C2179" s="84" t="s">
        <v>173</v>
      </c>
      <c r="D2179" s="84" t="s">
        <v>28</v>
      </c>
      <c r="E2179" s="84" t="s">
        <v>297</v>
      </c>
      <c r="F2179" s="84"/>
      <c r="G2179" s="87">
        <f>G2180</f>
        <v>224021</v>
      </c>
      <c r="H2179" s="87">
        <f t="shared" ref="G2179:I2183" si="547">H2180</f>
        <v>0</v>
      </c>
      <c r="I2179" s="87">
        <f t="shared" si="547"/>
        <v>0</v>
      </c>
      <c r="J2179" s="177"/>
      <c r="K2179" s="69"/>
      <c r="L2179" s="69"/>
      <c r="M2179" s="69"/>
      <c r="N2179" s="69"/>
      <c r="O2179" s="69"/>
      <c r="P2179" s="69"/>
      <c r="Q2179" s="69"/>
      <c r="R2179" s="69"/>
    </row>
    <row r="2180" spans="1:20" ht="25.5">
      <c r="A2180" s="82" t="s">
        <v>36</v>
      </c>
      <c r="B2180" s="149">
        <v>795</v>
      </c>
      <c r="C2180" s="84" t="s">
        <v>173</v>
      </c>
      <c r="D2180" s="84" t="s">
        <v>28</v>
      </c>
      <c r="E2180" s="84" t="s">
        <v>297</v>
      </c>
      <c r="F2180" s="84" t="s">
        <v>37</v>
      </c>
      <c r="G2180" s="87">
        <f t="shared" si="547"/>
        <v>224021</v>
      </c>
      <c r="H2180" s="87">
        <f t="shared" si="547"/>
        <v>0</v>
      </c>
      <c r="I2180" s="87">
        <f t="shared" si="547"/>
        <v>0</v>
      </c>
      <c r="J2180" s="177"/>
      <c r="K2180" s="69"/>
      <c r="L2180" s="69"/>
      <c r="M2180" s="69"/>
      <c r="N2180" s="69"/>
      <c r="O2180" s="69"/>
      <c r="P2180" s="69"/>
      <c r="Q2180" s="69"/>
      <c r="R2180" s="69"/>
    </row>
    <row r="2181" spans="1:20" ht="25.5">
      <c r="A2181" s="82" t="s">
        <v>38</v>
      </c>
      <c r="B2181" s="149">
        <v>795</v>
      </c>
      <c r="C2181" s="84" t="s">
        <v>173</v>
      </c>
      <c r="D2181" s="84" t="s">
        <v>28</v>
      </c>
      <c r="E2181" s="84" t="s">
        <v>297</v>
      </c>
      <c r="F2181" s="84" t="s">
        <v>39</v>
      </c>
      <c r="G2181" s="87">
        <v>224021</v>
      </c>
      <c r="H2181" s="87">
        <v>0</v>
      </c>
      <c r="I2181" s="87">
        <v>0</v>
      </c>
      <c r="J2181" s="177"/>
      <c r="K2181" s="69"/>
      <c r="L2181" s="69"/>
      <c r="M2181" s="69"/>
      <c r="N2181" s="69"/>
      <c r="O2181" s="69"/>
      <c r="P2181" s="69"/>
      <c r="Q2181" s="69"/>
      <c r="R2181" s="69"/>
    </row>
    <row r="2182" spans="1:20" ht="28.5" customHeight="1">
      <c r="A2182" s="82" t="s">
        <v>536</v>
      </c>
      <c r="B2182" s="149">
        <v>795</v>
      </c>
      <c r="C2182" s="84" t="s">
        <v>173</v>
      </c>
      <c r="D2182" s="84" t="s">
        <v>28</v>
      </c>
      <c r="E2182" s="84" t="s">
        <v>535</v>
      </c>
      <c r="F2182" s="84"/>
      <c r="G2182" s="87">
        <f>G2183</f>
        <v>47673</v>
      </c>
      <c r="H2182" s="87">
        <f t="shared" si="547"/>
        <v>0</v>
      </c>
      <c r="I2182" s="87">
        <f t="shared" si="547"/>
        <v>0</v>
      </c>
      <c r="J2182" s="177"/>
      <c r="K2182" s="69"/>
      <c r="L2182" s="69"/>
      <c r="M2182" s="69"/>
      <c r="N2182" s="69"/>
      <c r="O2182" s="69"/>
      <c r="P2182" s="69"/>
      <c r="Q2182" s="69"/>
      <c r="R2182" s="69"/>
    </row>
    <row r="2183" spans="1:20" ht="25.5">
      <c r="A2183" s="82" t="s">
        <v>36</v>
      </c>
      <c r="B2183" s="149">
        <v>795</v>
      </c>
      <c r="C2183" s="84" t="s">
        <v>173</v>
      </c>
      <c r="D2183" s="84" t="s">
        <v>28</v>
      </c>
      <c r="E2183" s="84" t="s">
        <v>535</v>
      </c>
      <c r="F2183" s="84" t="s">
        <v>37</v>
      </c>
      <c r="G2183" s="87">
        <f t="shared" si="547"/>
        <v>47673</v>
      </c>
      <c r="H2183" s="87">
        <f t="shared" si="547"/>
        <v>0</v>
      </c>
      <c r="I2183" s="87">
        <f t="shared" si="547"/>
        <v>0</v>
      </c>
      <c r="J2183" s="177"/>
      <c r="K2183" s="69"/>
      <c r="L2183" s="69"/>
      <c r="M2183" s="69"/>
      <c r="N2183" s="69"/>
      <c r="O2183" s="69"/>
      <c r="P2183" s="69"/>
      <c r="Q2183" s="69"/>
      <c r="R2183" s="69"/>
    </row>
    <row r="2184" spans="1:20" ht="25.5">
      <c r="A2184" s="82" t="s">
        <v>38</v>
      </c>
      <c r="B2184" s="149">
        <v>795</v>
      </c>
      <c r="C2184" s="84" t="s">
        <v>173</v>
      </c>
      <c r="D2184" s="84" t="s">
        <v>28</v>
      </c>
      <c r="E2184" s="84" t="s">
        <v>535</v>
      </c>
      <c r="F2184" s="84" t="s">
        <v>39</v>
      </c>
      <c r="G2184" s="87">
        <v>47673</v>
      </c>
      <c r="H2184" s="87">
        <v>0</v>
      </c>
      <c r="I2184" s="87">
        <v>0</v>
      </c>
      <c r="J2184" s="177"/>
      <c r="K2184" s="69"/>
      <c r="L2184" s="69"/>
      <c r="M2184" s="69"/>
      <c r="N2184" s="69"/>
      <c r="O2184" s="69"/>
      <c r="P2184" s="69"/>
      <c r="Q2184" s="69"/>
      <c r="R2184" s="69"/>
    </row>
    <row r="2185" spans="1:20" s="124" customFormat="1" ht="26.25" customHeight="1">
      <c r="A2185" s="154" t="s">
        <v>164</v>
      </c>
      <c r="B2185" s="149">
        <v>795</v>
      </c>
      <c r="C2185" s="84" t="s">
        <v>173</v>
      </c>
      <c r="D2185" s="84" t="s">
        <v>28</v>
      </c>
      <c r="E2185" s="147" t="s">
        <v>210</v>
      </c>
      <c r="F2185" s="156"/>
      <c r="G2185" s="87">
        <f>G2189</f>
        <v>132860.60999999999</v>
      </c>
      <c r="H2185" s="157">
        <f t="shared" ref="H2185:I2185" si="548">H2186+H2189+H2194+H2197+H2212</f>
        <v>0</v>
      </c>
      <c r="I2185" s="157">
        <f t="shared" si="548"/>
        <v>0</v>
      </c>
      <c r="J2185" s="123"/>
      <c r="P2185" s="123"/>
      <c r="Q2185" s="123"/>
      <c r="R2185" s="123"/>
      <c r="S2185" s="123"/>
      <c r="T2185" s="123"/>
    </row>
    <row r="2186" spans="1:20" s="124" customFormat="1" ht="51.75" hidden="1" customHeight="1">
      <c r="A2186" s="82" t="s">
        <v>641</v>
      </c>
      <c r="B2186" s="149">
        <v>795</v>
      </c>
      <c r="C2186" s="84" t="s">
        <v>173</v>
      </c>
      <c r="D2186" s="84" t="s">
        <v>28</v>
      </c>
      <c r="E2186" s="84" t="s">
        <v>642</v>
      </c>
      <c r="F2186" s="84"/>
      <c r="G2186" s="87">
        <f t="shared" ref="G2186:I2187" si="549">G2187</f>
        <v>0</v>
      </c>
      <c r="H2186" s="87">
        <f t="shared" si="549"/>
        <v>0</v>
      </c>
      <c r="I2186" s="87">
        <f t="shared" si="549"/>
        <v>0</v>
      </c>
      <c r="J2186" s="123"/>
      <c r="P2186" s="123"/>
      <c r="Q2186" s="123"/>
      <c r="R2186" s="123"/>
      <c r="S2186" s="123"/>
      <c r="T2186" s="123"/>
    </row>
    <row r="2187" spans="1:20" s="124" customFormat="1" ht="26.25" hidden="1" customHeight="1">
      <c r="A2187" s="82" t="s">
        <v>324</v>
      </c>
      <c r="B2187" s="149">
        <v>795</v>
      </c>
      <c r="C2187" s="84" t="s">
        <v>173</v>
      </c>
      <c r="D2187" s="84" t="s">
        <v>28</v>
      </c>
      <c r="E2187" s="84" t="s">
        <v>642</v>
      </c>
      <c r="F2187" s="84" t="s">
        <v>37</v>
      </c>
      <c r="G2187" s="87">
        <f t="shared" si="549"/>
        <v>0</v>
      </c>
      <c r="H2187" s="87">
        <f t="shared" si="549"/>
        <v>0</v>
      </c>
      <c r="I2187" s="87">
        <f t="shared" si="549"/>
        <v>0</v>
      </c>
      <c r="J2187" s="123"/>
      <c r="P2187" s="123"/>
      <c r="Q2187" s="123"/>
      <c r="R2187" s="123"/>
      <c r="S2187" s="123"/>
      <c r="T2187" s="123"/>
    </row>
    <row r="2188" spans="1:20" s="124" customFormat="1" ht="26.25" hidden="1" customHeight="1">
      <c r="A2188" s="82" t="s">
        <v>38</v>
      </c>
      <c r="B2188" s="149">
        <v>795</v>
      </c>
      <c r="C2188" s="84" t="s">
        <v>173</v>
      </c>
      <c r="D2188" s="84" t="s">
        <v>28</v>
      </c>
      <c r="E2188" s="84" t="s">
        <v>642</v>
      </c>
      <c r="F2188" s="84" t="s">
        <v>39</v>
      </c>
      <c r="G2188" s="87">
        <f>'прил 5,'!G1966</f>
        <v>0</v>
      </c>
      <c r="H2188" s="87"/>
      <c r="I2188" s="87"/>
      <c r="J2188" s="123"/>
      <c r="P2188" s="123"/>
      <c r="Q2188" s="123"/>
      <c r="R2188" s="123"/>
      <c r="S2188" s="123"/>
      <c r="T2188" s="123"/>
    </row>
    <row r="2189" spans="1:20" s="90" customFormat="1" ht="20.25" customHeight="1">
      <c r="A2189" s="82" t="s">
        <v>334</v>
      </c>
      <c r="B2189" s="149">
        <v>795</v>
      </c>
      <c r="C2189" s="84" t="s">
        <v>173</v>
      </c>
      <c r="D2189" s="84" t="s">
        <v>28</v>
      </c>
      <c r="E2189" s="84" t="s">
        <v>211</v>
      </c>
      <c r="F2189" s="84"/>
      <c r="G2189" s="87">
        <f>G2192</f>
        <v>132860.60999999999</v>
      </c>
      <c r="H2189" s="87">
        <f t="shared" ref="H2189:I2189" si="550">H2192+H2200</f>
        <v>0</v>
      </c>
      <c r="I2189" s="87">
        <f t="shared" si="550"/>
        <v>0</v>
      </c>
      <c r="J2189" s="126"/>
      <c r="P2189" s="126"/>
      <c r="Q2189" s="126"/>
      <c r="R2189" s="126"/>
      <c r="S2189" s="126"/>
      <c r="T2189" s="126"/>
    </row>
    <row r="2190" spans="1:20" s="90" customFormat="1" ht="29.25" hidden="1" customHeight="1">
      <c r="A2190" s="82" t="s">
        <v>30</v>
      </c>
      <c r="B2190" s="149">
        <v>795</v>
      </c>
      <c r="C2190" s="84" t="s">
        <v>173</v>
      </c>
      <c r="D2190" s="84" t="s">
        <v>28</v>
      </c>
      <c r="E2190" s="84" t="s">
        <v>211</v>
      </c>
      <c r="F2190" s="84" t="s">
        <v>31</v>
      </c>
      <c r="G2190" s="87">
        <f>G2191</f>
        <v>0</v>
      </c>
      <c r="H2190" s="87"/>
      <c r="I2190" s="87"/>
      <c r="J2190" s="126"/>
      <c r="P2190" s="126"/>
      <c r="Q2190" s="126"/>
      <c r="R2190" s="126"/>
      <c r="S2190" s="126"/>
      <c r="T2190" s="126"/>
    </row>
    <row r="2191" spans="1:20" s="90" customFormat="1" ht="19.5" hidden="1" customHeight="1">
      <c r="A2191" s="82" t="s">
        <v>32</v>
      </c>
      <c r="B2191" s="149">
        <v>795</v>
      </c>
      <c r="C2191" s="84" t="s">
        <v>173</v>
      </c>
      <c r="D2191" s="84" t="s">
        <v>28</v>
      </c>
      <c r="E2191" s="84" t="s">
        <v>211</v>
      </c>
      <c r="F2191" s="84" t="s">
        <v>33</v>
      </c>
      <c r="G2191" s="87"/>
      <c r="H2191" s="87"/>
      <c r="I2191" s="87"/>
      <c r="J2191" s="126"/>
      <c r="P2191" s="126"/>
      <c r="Q2191" s="126"/>
      <c r="R2191" s="126"/>
      <c r="S2191" s="126"/>
      <c r="T2191" s="126"/>
    </row>
    <row r="2192" spans="1:20" s="90" customFormat="1">
      <c r="A2192" s="82" t="s">
        <v>63</v>
      </c>
      <c r="B2192" s="149">
        <v>795</v>
      </c>
      <c r="C2192" s="84" t="s">
        <v>173</v>
      </c>
      <c r="D2192" s="84" t="s">
        <v>28</v>
      </c>
      <c r="E2192" s="84" t="s">
        <v>211</v>
      </c>
      <c r="F2192" s="84" t="s">
        <v>37</v>
      </c>
      <c r="G2192" s="87">
        <f t="shared" ref="G2192:I2192" si="551">G2193</f>
        <v>132860.60999999999</v>
      </c>
      <c r="H2192" s="87">
        <f t="shared" si="551"/>
        <v>0</v>
      </c>
      <c r="I2192" s="87">
        <f t="shared" si="551"/>
        <v>0</v>
      </c>
      <c r="J2192" s="126"/>
      <c r="P2192" s="126"/>
      <c r="Q2192" s="126"/>
      <c r="R2192" s="126"/>
      <c r="S2192" s="126"/>
      <c r="T2192" s="126"/>
    </row>
    <row r="2193" spans="1:20" s="90" customFormat="1" ht="18.75" customHeight="1">
      <c r="A2193" s="82" t="s">
        <v>329</v>
      </c>
      <c r="B2193" s="149">
        <v>795</v>
      </c>
      <c r="C2193" s="84" t="s">
        <v>173</v>
      </c>
      <c r="D2193" s="84" t="s">
        <v>28</v>
      </c>
      <c r="E2193" s="84" t="s">
        <v>211</v>
      </c>
      <c r="F2193" s="84" t="s">
        <v>39</v>
      </c>
      <c r="G2193" s="87">
        <v>132860.60999999999</v>
      </c>
      <c r="H2193" s="87"/>
      <c r="I2193" s="87"/>
      <c r="J2193" s="126"/>
      <c r="P2193" s="126"/>
      <c r="Q2193" s="126"/>
      <c r="R2193" s="126"/>
      <c r="S2193" s="126"/>
      <c r="T2193" s="126"/>
    </row>
    <row r="2194" spans="1:20" s="46" customFormat="1" ht="17.25" customHeight="1">
      <c r="A2194" s="82" t="s">
        <v>285</v>
      </c>
      <c r="B2194" s="149">
        <v>795</v>
      </c>
      <c r="C2194" s="84" t="s">
        <v>173</v>
      </c>
      <c r="D2194" s="84" t="s">
        <v>70</v>
      </c>
      <c r="E2194" s="84"/>
      <c r="F2194" s="84"/>
      <c r="G2194" s="87">
        <f>G2197</f>
        <v>800</v>
      </c>
      <c r="H2194" s="87">
        <f t="shared" ref="H2194:I2194" si="552">H2197</f>
        <v>0</v>
      </c>
      <c r="I2194" s="87">
        <f t="shared" si="552"/>
        <v>0</v>
      </c>
      <c r="J2194" s="177"/>
      <c r="K2194" s="58"/>
      <c r="L2194" s="58"/>
      <c r="M2194" s="58"/>
      <c r="N2194" s="58"/>
      <c r="O2194" s="58"/>
      <c r="P2194" s="58"/>
      <c r="Q2194" s="58"/>
      <c r="R2194" s="58"/>
    </row>
    <row r="2195" spans="1:20" s="46" customFormat="1" ht="17.25" hidden="1" customHeight="1">
      <c r="A2195" s="82"/>
      <c r="B2195" s="149">
        <v>795</v>
      </c>
      <c r="C2195" s="84"/>
      <c r="D2195" s="84"/>
      <c r="E2195" s="84"/>
      <c r="F2195" s="84"/>
      <c r="G2195" s="87"/>
      <c r="H2195" s="87"/>
      <c r="I2195" s="87"/>
      <c r="J2195" s="177"/>
      <c r="K2195" s="58"/>
      <c r="L2195" s="58"/>
      <c r="M2195" s="58"/>
      <c r="N2195" s="58"/>
      <c r="O2195" s="58"/>
      <c r="P2195" s="58"/>
      <c r="Q2195" s="58"/>
      <c r="R2195" s="58"/>
    </row>
    <row r="2196" spans="1:20" s="46" customFormat="1" ht="17.25" hidden="1" customHeight="1">
      <c r="A2196" s="82"/>
      <c r="B2196" s="149">
        <v>795</v>
      </c>
      <c r="C2196" s="84"/>
      <c r="D2196" s="84"/>
      <c r="E2196" s="84"/>
      <c r="F2196" s="84"/>
      <c r="G2196" s="87"/>
      <c r="H2196" s="87"/>
      <c r="I2196" s="87"/>
      <c r="J2196" s="177"/>
      <c r="K2196" s="58"/>
      <c r="L2196" s="58"/>
      <c r="M2196" s="58"/>
      <c r="N2196" s="58"/>
      <c r="O2196" s="58"/>
      <c r="P2196" s="58"/>
      <c r="Q2196" s="58"/>
      <c r="R2196" s="58"/>
    </row>
    <row r="2197" spans="1:20" ht="51">
      <c r="A2197" s="82" t="s">
        <v>495</v>
      </c>
      <c r="B2197" s="149">
        <v>795</v>
      </c>
      <c r="C2197" s="84" t="s">
        <v>173</v>
      </c>
      <c r="D2197" s="84" t="s">
        <v>70</v>
      </c>
      <c r="E2197" s="84" t="s">
        <v>296</v>
      </c>
      <c r="F2197" s="84"/>
      <c r="G2197" s="87">
        <f>G2198</f>
        <v>800</v>
      </c>
      <c r="H2197" s="87">
        <f t="shared" ref="H2197:I2197" si="553">H2198</f>
        <v>0</v>
      </c>
      <c r="I2197" s="87">
        <f t="shared" si="553"/>
        <v>0</v>
      </c>
      <c r="J2197" s="177"/>
      <c r="K2197" s="69"/>
      <c r="L2197" s="69"/>
      <c r="M2197" s="69"/>
      <c r="N2197" s="69"/>
      <c r="O2197" s="69"/>
      <c r="P2197" s="69"/>
      <c r="Q2197" s="69"/>
      <c r="R2197" s="69"/>
    </row>
    <row r="2198" spans="1:20">
      <c r="A2198" s="82" t="s">
        <v>79</v>
      </c>
      <c r="B2198" s="149">
        <v>795</v>
      </c>
      <c r="C2198" s="84" t="s">
        <v>173</v>
      </c>
      <c r="D2198" s="84" t="s">
        <v>70</v>
      </c>
      <c r="E2198" s="84" t="s">
        <v>100</v>
      </c>
      <c r="F2198" s="84"/>
      <c r="G2198" s="87">
        <f>G2199</f>
        <v>800</v>
      </c>
      <c r="H2198" s="87">
        <f t="shared" ref="H2198:I2198" si="554">H2199</f>
        <v>0</v>
      </c>
      <c r="I2198" s="87">
        <f t="shared" si="554"/>
        <v>0</v>
      </c>
      <c r="J2198" s="177"/>
      <c r="K2198" s="69"/>
      <c r="L2198" s="69"/>
      <c r="M2198" s="69"/>
      <c r="N2198" s="69"/>
      <c r="O2198" s="69"/>
      <c r="P2198" s="69"/>
      <c r="Q2198" s="69"/>
      <c r="R2198" s="69"/>
    </row>
    <row r="2199" spans="1:20" ht="25.5">
      <c r="A2199" s="82" t="s">
        <v>36</v>
      </c>
      <c r="B2199" s="149">
        <v>795</v>
      </c>
      <c r="C2199" s="84" t="s">
        <v>173</v>
      </c>
      <c r="D2199" s="84" t="s">
        <v>70</v>
      </c>
      <c r="E2199" s="84" t="s">
        <v>100</v>
      </c>
      <c r="F2199" s="84" t="s">
        <v>37</v>
      </c>
      <c r="G2199" s="87">
        <f>G2200</f>
        <v>800</v>
      </c>
      <c r="H2199" s="87">
        <f>H2200</f>
        <v>0</v>
      </c>
      <c r="I2199" s="87">
        <f>I2200</f>
        <v>0</v>
      </c>
      <c r="J2199" s="177"/>
      <c r="K2199" s="69"/>
      <c r="L2199" s="69"/>
      <c r="M2199" s="69"/>
      <c r="N2199" s="69"/>
      <c r="O2199" s="69"/>
      <c r="P2199" s="69"/>
      <c r="Q2199" s="69"/>
      <c r="R2199" s="69"/>
    </row>
    <row r="2200" spans="1:20" ht="30.75" customHeight="1">
      <c r="A2200" s="82" t="s">
        <v>38</v>
      </c>
      <c r="B2200" s="149">
        <v>795</v>
      </c>
      <c r="C2200" s="84" t="s">
        <v>173</v>
      </c>
      <c r="D2200" s="84" t="s">
        <v>70</v>
      </c>
      <c r="E2200" s="84" t="s">
        <v>100</v>
      </c>
      <c r="F2200" s="84" t="s">
        <v>39</v>
      </c>
      <c r="G2200" s="87">
        <v>800</v>
      </c>
      <c r="H2200" s="87">
        <v>0</v>
      </c>
      <c r="I2200" s="87">
        <v>0</v>
      </c>
      <c r="J2200" s="177"/>
      <c r="K2200" s="69"/>
      <c r="L2200" s="69"/>
      <c r="M2200" s="69"/>
      <c r="N2200" s="69"/>
      <c r="O2200" s="69"/>
      <c r="P2200" s="69"/>
      <c r="Q2200" s="69"/>
      <c r="R2200" s="69"/>
    </row>
    <row r="2201" spans="1:20" s="22" customFormat="1" ht="22.5" customHeight="1">
      <c r="A2201" s="154" t="s">
        <v>2</v>
      </c>
      <c r="B2201" s="155">
        <v>795</v>
      </c>
      <c r="C2201" s="156" t="s">
        <v>161</v>
      </c>
      <c r="D2201" s="156"/>
      <c r="E2201" s="156"/>
      <c r="F2201" s="156"/>
      <c r="G2201" s="157">
        <f>G2202</f>
        <v>28332.400000000001</v>
      </c>
      <c r="H2201" s="157">
        <f t="shared" ref="H2201:I2202" si="555">H2202</f>
        <v>0</v>
      </c>
      <c r="I2201" s="157">
        <f t="shared" si="555"/>
        <v>0</v>
      </c>
      <c r="J2201" s="196"/>
      <c r="K2201" s="61"/>
      <c r="L2201" s="61"/>
      <c r="M2201" s="61"/>
      <c r="N2201" s="61"/>
      <c r="O2201" s="61"/>
      <c r="P2201" s="61"/>
      <c r="Q2201" s="252"/>
      <c r="R2201" s="61"/>
    </row>
    <row r="2202" spans="1:20" s="3" customFormat="1" ht="24.75" customHeight="1">
      <c r="A2202" s="82" t="s">
        <v>353</v>
      </c>
      <c r="B2202" s="149">
        <v>795</v>
      </c>
      <c r="C2202" s="84" t="s">
        <v>161</v>
      </c>
      <c r="D2202" s="84" t="s">
        <v>173</v>
      </c>
      <c r="E2202" s="84"/>
      <c r="F2202" s="84"/>
      <c r="G2202" s="87">
        <f>G2203</f>
        <v>28332.400000000001</v>
      </c>
      <c r="H2202" s="87">
        <f t="shared" si="555"/>
        <v>0</v>
      </c>
      <c r="I2202" s="87">
        <f t="shared" si="555"/>
        <v>0</v>
      </c>
      <c r="J2202" s="177"/>
      <c r="K2202" s="62"/>
      <c r="L2202" s="62"/>
      <c r="M2202" s="62"/>
      <c r="N2202" s="62"/>
      <c r="O2202" s="62"/>
      <c r="P2202" s="62"/>
      <c r="Q2202" s="62"/>
      <c r="R2202" s="62"/>
    </row>
    <row r="2203" spans="1:20" s="3" customFormat="1" ht="38.25" customHeight="1">
      <c r="A2203" s="82" t="s">
        <v>480</v>
      </c>
      <c r="B2203" s="149">
        <v>795</v>
      </c>
      <c r="C2203" s="84" t="s">
        <v>161</v>
      </c>
      <c r="D2203" s="84" t="s">
        <v>173</v>
      </c>
      <c r="E2203" s="84" t="s">
        <v>262</v>
      </c>
      <c r="F2203" s="84"/>
      <c r="G2203" s="87">
        <f>G2206</f>
        <v>28332.400000000001</v>
      </c>
      <c r="H2203" s="87">
        <f t="shared" ref="H2203:I2203" si="556">H2206</f>
        <v>0</v>
      </c>
      <c r="I2203" s="87">
        <f t="shared" si="556"/>
        <v>0</v>
      </c>
      <c r="J2203" s="177"/>
      <c r="K2203" s="62"/>
      <c r="L2203" s="62"/>
      <c r="M2203" s="62"/>
      <c r="N2203" s="62"/>
      <c r="O2203" s="62"/>
      <c r="P2203" s="62"/>
      <c r="Q2203" s="62"/>
      <c r="R2203" s="62"/>
    </row>
    <row r="2204" spans="1:20" s="3" customFormat="1" ht="38.25" customHeight="1">
      <c r="A2204" s="82" t="s">
        <v>533</v>
      </c>
      <c r="B2204" s="149">
        <v>795</v>
      </c>
      <c r="C2204" s="84" t="s">
        <v>161</v>
      </c>
      <c r="D2204" s="84" t="s">
        <v>173</v>
      </c>
      <c r="E2204" s="84" t="s">
        <v>534</v>
      </c>
      <c r="F2204" s="84"/>
      <c r="G2204" s="87">
        <f>G2205</f>
        <v>28332.400000000001</v>
      </c>
      <c r="H2204" s="87">
        <f t="shared" ref="H2204:I2205" si="557">H2205</f>
        <v>0</v>
      </c>
      <c r="I2204" s="87">
        <f t="shared" si="557"/>
        <v>0</v>
      </c>
      <c r="J2204" s="178"/>
      <c r="K2204" s="62"/>
      <c r="L2204" s="62"/>
      <c r="M2204" s="62"/>
      <c r="N2204" s="62"/>
      <c r="O2204" s="62"/>
      <c r="P2204" s="62"/>
      <c r="Q2204" s="62"/>
      <c r="R2204" s="62"/>
    </row>
    <row r="2205" spans="1:20" s="3" customFormat="1" ht="38.25" customHeight="1">
      <c r="A2205" s="82" t="s">
        <v>36</v>
      </c>
      <c r="B2205" s="149">
        <v>795</v>
      </c>
      <c r="C2205" s="84" t="s">
        <v>161</v>
      </c>
      <c r="D2205" s="84" t="s">
        <v>173</v>
      </c>
      <c r="E2205" s="84" t="s">
        <v>534</v>
      </c>
      <c r="F2205" s="84" t="s">
        <v>37</v>
      </c>
      <c r="G2205" s="87">
        <f>G2206</f>
        <v>28332.400000000001</v>
      </c>
      <c r="H2205" s="87">
        <f t="shared" si="557"/>
        <v>0</v>
      </c>
      <c r="I2205" s="87">
        <f t="shared" si="557"/>
        <v>0</v>
      </c>
      <c r="J2205" s="178"/>
      <c r="K2205" s="62"/>
      <c r="L2205" s="62"/>
      <c r="M2205" s="62"/>
      <c r="N2205" s="62"/>
      <c r="O2205" s="62"/>
      <c r="P2205" s="62"/>
      <c r="Q2205" s="62"/>
      <c r="R2205" s="62"/>
    </row>
    <row r="2206" spans="1:20" s="3" customFormat="1" ht="38.25" customHeight="1">
      <c r="A2206" s="82" t="s">
        <v>38</v>
      </c>
      <c r="B2206" s="149">
        <v>795</v>
      </c>
      <c r="C2206" s="84" t="s">
        <v>161</v>
      </c>
      <c r="D2206" s="84" t="s">
        <v>173</v>
      </c>
      <c r="E2206" s="84" t="s">
        <v>534</v>
      </c>
      <c r="F2206" s="84" t="s">
        <v>39</v>
      </c>
      <c r="G2206" s="87">
        <v>28332.400000000001</v>
      </c>
      <c r="H2206" s="87">
        <v>0</v>
      </c>
      <c r="I2206" s="87">
        <v>0</v>
      </c>
      <c r="J2206" s="177"/>
      <c r="K2206" s="62"/>
      <c r="L2206" s="62"/>
      <c r="M2206" s="62"/>
      <c r="N2206" s="62"/>
      <c r="O2206" s="62"/>
      <c r="P2206" s="62"/>
      <c r="Q2206" s="62"/>
      <c r="R2206" s="62"/>
    </row>
    <row r="2207" spans="1:20" s="124" customFormat="1">
      <c r="A2207" s="287" t="s">
        <v>74</v>
      </c>
      <c r="B2207" s="275"/>
      <c r="C2207" s="162"/>
      <c r="D2207" s="162"/>
      <c r="E2207" s="162"/>
      <c r="F2207" s="162"/>
      <c r="G2207" s="96">
        <f>G2116+G2201+G2151+G2110</f>
        <v>2499920.1899999995</v>
      </c>
      <c r="H2207" s="96">
        <f>H2116</f>
        <v>0</v>
      </c>
      <c r="I2207" s="96">
        <f>I2116</f>
        <v>0</v>
      </c>
      <c r="J2207" s="192"/>
      <c r="K2207" s="207"/>
      <c r="L2207" s="207"/>
      <c r="M2207" s="207"/>
      <c r="N2207" s="207"/>
      <c r="O2207" s="207"/>
      <c r="P2207" s="207"/>
      <c r="Q2207" s="207"/>
      <c r="R2207" s="207"/>
    </row>
    <row r="2208" spans="1:20" s="90" customFormat="1" ht="25.5">
      <c r="A2208" s="279" t="s">
        <v>992</v>
      </c>
      <c r="B2208" s="267">
        <v>799</v>
      </c>
      <c r="C2208" s="295"/>
      <c r="D2208" s="295"/>
      <c r="E2208" s="295"/>
      <c r="F2208" s="295"/>
      <c r="G2208" s="282"/>
      <c r="H2208" s="282"/>
      <c r="I2208" s="282"/>
      <c r="J2208" s="197"/>
      <c r="K2208" s="209"/>
      <c r="L2208" s="186"/>
      <c r="M2208" s="186"/>
      <c r="N2208" s="186"/>
      <c r="O2208" s="186"/>
      <c r="P2208" s="186"/>
      <c r="Q2208" s="186"/>
      <c r="R2208" s="186"/>
    </row>
    <row r="2209" spans="1:18" s="33" customFormat="1" ht="39" customHeight="1">
      <c r="A2209" s="136" t="s">
        <v>367</v>
      </c>
      <c r="B2209" s="149">
        <v>799</v>
      </c>
      <c r="C2209" s="84" t="s">
        <v>19</v>
      </c>
      <c r="D2209" s="84" t="s">
        <v>161</v>
      </c>
      <c r="E2209" s="84"/>
      <c r="F2209" s="84"/>
      <c r="G2209" s="87">
        <f>G2211+G2218</f>
        <v>2498291.29</v>
      </c>
      <c r="H2209" s="87">
        <f t="shared" ref="H2209:I2209" si="558">H2211</f>
        <v>2448139.29</v>
      </c>
      <c r="I2209" s="87">
        <f t="shared" si="558"/>
        <v>2467096.29</v>
      </c>
      <c r="J2209" s="177"/>
      <c r="K2209" s="211"/>
      <c r="L2209" s="211"/>
      <c r="M2209" s="211"/>
      <c r="N2209" s="211"/>
      <c r="O2209" s="211"/>
      <c r="P2209" s="211"/>
      <c r="Q2209" s="211"/>
      <c r="R2209" s="211"/>
    </row>
    <row r="2210" spans="1:18" s="3" customFormat="1" ht="38.25" hidden="1">
      <c r="A2210" s="82" t="s">
        <v>160</v>
      </c>
      <c r="B2210" s="149"/>
      <c r="C2210" s="84" t="s">
        <v>19</v>
      </c>
      <c r="D2210" s="84" t="s">
        <v>161</v>
      </c>
      <c r="E2210" s="84"/>
      <c r="F2210" s="84"/>
      <c r="G2210" s="87"/>
      <c r="H2210" s="87"/>
      <c r="I2210" s="87"/>
      <c r="J2210" s="177"/>
      <c r="K2210" s="199"/>
      <c r="L2210" s="199"/>
      <c r="M2210" s="199"/>
      <c r="N2210" s="199"/>
      <c r="O2210" s="199"/>
      <c r="P2210" s="199"/>
      <c r="Q2210" s="199"/>
      <c r="R2210" s="199"/>
    </row>
    <row r="2211" spans="1:18" s="46" customFormat="1" ht="25.5">
      <c r="A2211" s="82" t="s">
        <v>846</v>
      </c>
      <c r="B2211" s="149">
        <v>799</v>
      </c>
      <c r="C2211" s="84" t="s">
        <v>19</v>
      </c>
      <c r="D2211" s="84" t="s">
        <v>161</v>
      </c>
      <c r="E2211" s="84" t="s">
        <v>847</v>
      </c>
      <c r="F2211" s="84"/>
      <c r="G2211" s="87">
        <f>G2213</f>
        <v>2429370.29</v>
      </c>
      <c r="H2211" s="87">
        <f t="shared" ref="H2211:I2211" si="559">H2213</f>
        <v>2448139.29</v>
      </c>
      <c r="I2211" s="87">
        <f t="shared" si="559"/>
        <v>2467096.29</v>
      </c>
      <c r="J2211" s="177"/>
      <c r="K2211" s="222"/>
      <c r="L2211" s="222"/>
      <c r="M2211" s="222"/>
      <c r="N2211" s="222"/>
      <c r="O2211" s="222"/>
      <c r="P2211" s="222"/>
      <c r="Q2211" s="222"/>
      <c r="R2211" s="222"/>
    </row>
    <row r="2212" spans="1:18" s="46" customFormat="1" hidden="1">
      <c r="A2212" s="146"/>
      <c r="B2212" s="149"/>
      <c r="C2212" s="84"/>
      <c r="D2212" s="84"/>
      <c r="E2212" s="84"/>
      <c r="F2212" s="84"/>
      <c r="G2212" s="87"/>
      <c r="H2212" s="87"/>
      <c r="I2212" s="87"/>
      <c r="J2212" s="177"/>
      <c r="K2212" s="222"/>
      <c r="L2212" s="222"/>
      <c r="M2212" s="222"/>
      <c r="N2212" s="222"/>
      <c r="O2212" s="222"/>
      <c r="P2212" s="186"/>
      <c r="Q2212" s="222"/>
      <c r="R2212" s="222"/>
    </row>
    <row r="2213" spans="1:18" s="46" customFormat="1" ht="25.5">
      <c r="A2213" s="82" t="s">
        <v>76</v>
      </c>
      <c r="B2213" s="149">
        <v>799</v>
      </c>
      <c r="C2213" s="84" t="s">
        <v>19</v>
      </c>
      <c r="D2213" s="84" t="s">
        <v>161</v>
      </c>
      <c r="E2213" s="84" t="s">
        <v>848</v>
      </c>
      <c r="F2213" s="84"/>
      <c r="G2213" s="87">
        <f>G2214+G2216</f>
        <v>2429370.29</v>
      </c>
      <c r="H2213" s="87">
        <f t="shared" ref="H2213:I2213" si="560">H2214+H2216</f>
        <v>2448139.29</v>
      </c>
      <c r="I2213" s="87">
        <f t="shared" si="560"/>
        <v>2467096.29</v>
      </c>
      <c r="J2213" s="177"/>
      <c r="K2213" s="222"/>
      <c r="L2213" s="222"/>
      <c r="M2213" s="222"/>
      <c r="N2213" s="222"/>
      <c r="O2213" s="222"/>
      <c r="P2213" s="222"/>
      <c r="Q2213" s="222"/>
      <c r="R2213" s="222"/>
    </row>
    <row r="2214" spans="1:18" s="3" customFormat="1" ht="63.75">
      <c r="A2214" s="146" t="s">
        <v>55</v>
      </c>
      <c r="B2214" s="149">
        <v>799</v>
      </c>
      <c r="C2214" s="84" t="s">
        <v>19</v>
      </c>
      <c r="D2214" s="84" t="s">
        <v>161</v>
      </c>
      <c r="E2214" s="84" t="s">
        <v>848</v>
      </c>
      <c r="F2214" s="84" t="s">
        <v>58</v>
      </c>
      <c r="G2214" s="87">
        <f>G2215</f>
        <v>2295770.29</v>
      </c>
      <c r="H2214" s="87">
        <f>H2215</f>
        <v>2314539.29</v>
      </c>
      <c r="I2214" s="87">
        <f>I2215</f>
        <v>2333496.29</v>
      </c>
      <c r="J2214" s="177"/>
      <c r="K2214" s="199"/>
      <c r="L2214" s="199"/>
      <c r="M2214" s="199"/>
      <c r="N2214" s="199"/>
      <c r="O2214" s="199"/>
      <c r="P2214" s="199"/>
      <c r="Q2214" s="222"/>
      <c r="R2214" s="199"/>
    </row>
    <row r="2215" spans="1:18" s="3" customFormat="1" ht="25.5">
      <c r="A2215" s="146" t="s">
        <v>56</v>
      </c>
      <c r="B2215" s="149">
        <v>799</v>
      </c>
      <c r="C2215" s="84" t="s">
        <v>19</v>
      </c>
      <c r="D2215" s="84" t="s">
        <v>161</v>
      </c>
      <c r="E2215" s="84" t="s">
        <v>848</v>
      </c>
      <c r="F2215" s="84" t="s">
        <v>59</v>
      </c>
      <c r="G2215" s="87">
        <f>1944977+350793.29</f>
        <v>2295770.29</v>
      </c>
      <c r="H2215" s="87">
        <f>1456026+439720+68000+350793.29</f>
        <v>2314539.29</v>
      </c>
      <c r="I2215" s="87">
        <f>1470586+444117+68000+350793.29</f>
        <v>2333496.29</v>
      </c>
      <c r="J2215" s="177"/>
      <c r="K2215" s="199"/>
      <c r="L2215" s="199"/>
      <c r="M2215" s="199"/>
      <c r="N2215" s="199"/>
      <c r="O2215" s="199"/>
      <c r="P2215" s="199"/>
      <c r="Q2215" s="222"/>
      <c r="R2215" s="199"/>
    </row>
    <row r="2216" spans="1:18" s="3" customFormat="1" ht="25.5">
      <c r="A2216" s="82" t="s">
        <v>36</v>
      </c>
      <c r="B2216" s="149">
        <v>799</v>
      </c>
      <c r="C2216" s="84" t="s">
        <v>19</v>
      </c>
      <c r="D2216" s="84" t="s">
        <v>161</v>
      </c>
      <c r="E2216" s="84" t="s">
        <v>848</v>
      </c>
      <c r="F2216" s="84" t="s">
        <v>37</v>
      </c>
      <c r="G2216" s="87">
        <f>G2217</f>
        <v>133600</v>
      </c>
      <c r="H2216" s="87">
        <f>H2217</f>
        <v>133600</v>
      </c>
      <c r="I2216" s="87">
        <f>I2217</f>
        <v>133600</v>
      </c>
      <c r="J2216" s="177"/>
      <c r="K2216" s="199"/>
      <c r="L2216" s="199"/>
      <c r="M2216" s="199"/>
      <c r="N2216" s="199"/>
      <c r="O2216" s="199"/>
      <c r="P2216" s="199"/>
      <c r="Q2216" s="222"/>
      <c r="R2216" s="199"/>
    </row>
    <row r="2217" spans="1:18" s="3" customFormat="1" ht="25.5">
      <c r="A2217" s="82" t="s">
        <v>38</v>
      </c>
      <c r="B2217" s="149">
        <v>799</v>
      </c>
      <c r="C2217" s="84" t="s">
        <v>19</v>
      </c>
      <c r="D2217" s="84" t="s">
        <v>161</v>
      </c>
      <c r="E2217" s="84" t="s">
        <v>848</v>
      </c>
      <c r="F2217" s="84" t="s">
        <v>39</v>
      </c>
      <c r="G2217" s="87">
        <v>133600</v>
      </c>
      <c r="H2217" s="87">
        <v>133600</v>
      </c>
      <c r="I2217" s="87">
        <v>133600</v>
      </c>
      <c r="J2217" s="177"/>
      <c r="K2217" s="199"/>
      <c r="L2217" s="199"/>
      <c r="M2217" s="199"/>
      <c r="N2217" s="199"/>
      <c r="O2217" s="199"/>
      <c r="P2217" s="199"/>
      <c r="Q2217" s="222"/>
      <c r="R2217" s="199"/>
    </row>
    <row r="2218" spans="1:18" s="3" customFormat="1" ht="66" customHeight="1">
      <c r="A2218" s="136" t="s">
        <v>140</v>
      </c>
      <c r="B2218" s="149">
        <v>799</v>
      </c>
      <c r="C2218" s="84" t="s">
        <v>19</v>
      </c>
      <c r="D2218" s="84" t="s">
        <v>161</v>
      </c>
      <c r="E2218" s="84" t="s">
        <v>956</v>
      </c>
      <c r="F2218" s="84"/>
      <c r="G2218" s="87">
        <f t="shared" ref="G2218:I2219" si="561">G2219</f>
        <v>68921</v>
      </c>
      <c r="H2218" s="87">
        <f t="shared" si="561"/>
        <v>0</v>
      </c>
      <c r="I2218" s="87">
        <f t="shared" si="561"/>
        <v>0</v>
      </c>
      <c r="J2218" s="177"/>
      <c r="K2218" s="199"/>
      <c r="L2218" s="199"/>
      <c r="M2218" s="199"/>
      <c r="N2218" s="199"/>
      <c r="O2218" s="199"/>
      <c r="P2218" s="199"/>
      <c r="Q2218" s="199"/>
      <c r="R2218" s="199"/>
    </row>
    <row r="2219" spans="1:18" s="3" customFormat="1" ht="25.5">
      <c r="A2219" s="82" t="s">
        <v>36</v>
      </c>
      <c r="B2219" s="149">
        <v>799</v>
      </c>
      <c r="C2219" s="84" t="s">
        <v>19</v>
      </c>
      <c r="D2219" s="84" t="s">
        <v>161</v>
      </c>
      <c r="E2219" s="84" t="s">
        <v>956</v>
      </c>
      <c r="F2219" s="84" t="s">
        <v>37</v>
      </c>
      <c r="G2219" s="87">
        <f t="shared" si="561"/>
        <v>68921</v>
      </c>
      <c r="H2219" s="87">
        <f t="shared" si="561"/>
        <v>0</v>
      </c>
      <c r="I2219" s="87">
        <f t="shared" si="561"/>
        <v>0</v>
      </c>
      <c r="J2219" s="177"/>
      <c r="K2219" s="199"/>
      <c r="L2219" s="199"/>
      <c r="M2219" s="199"/>
      <c r="N2219" s="199"/>
      <c r="O2219" s="199"/>
      <c r="P2219" s="199"/>
      <c r="Q2219" s="199"/>
      <c r="R2219" s="199"/>
    </row>
    <row r="2220" spans="1:18" s="3" customFormat="1" ht="25.5">
      <c r="A2220" s="82" t="s">
        <v>38</v>
      </c>
      <c r="B2220" s="149">
        <v>799</v>
      </c>
      <c r="C2220" s="84" t="s">
        <v>19</v>
      </c>
      <c r="D2220" s="84" t="s">
        <v>161</v>
      </c>
      <c r="E2220" s="84" t="s">
        <v>956</v>
      </c>
      <c r="F2220" s="84" t="s">
        <v>39</v>
      </c>
      <c r="G2220" s="87">
        <v>68921</v>
      </c>
      <c r="H2220" s="87">
        <v>0</v>
      </c>
      <c r="I2220" s="87">
        <v>0</v>
      </c>
      <c r="J2220" s="177"/>
      <c r="K2220" s="199"/>
      <c r="L2220" s="199"/>
      <c r="M2220" s="199"/>
      <c r="N2220" s="199"/>
      <c r="O2220" s="199"/>
      <c r="P2220" s="199"/>
      <c r="Q2220" s="199"/>
      <c r="R2220" s="199"/>
    </row>
    <row r="2221" spans="1:18" s="124" customFormat="1">
      <c r="A2221" s="287" t="s">
        <v>74</v>
      </c>
      <c r="B2221" s="275"/>
      <c r="C2221" s="162"/>
      <c r="D2221" s="162"/>
      <c r="E2221" s="162"/>
      <c r="F2221" s="162"/>
      <c r="G2221" s="96">
        <f>G2209</f>
        <v>2498291.29</v>
      </c>
      <c r="H2221" s="96">
        <f t="shared" ref="H2221:I2221" si="562">H2209</f>
        <v>2448139.29</v>
      </c>
      <c r="I2221" s="96">
        <f t="shared" si="562"/>
        <v>2467096.29</v>
      </c>
      <c r="J2221" s="192"/>
      <c r="K2221" s="207"/>
      <c r="L2221" s="207"/>
      <c r="M2221" s="207"/>
      <c r="N2221" s="207"/>
      <c r="O2221" s="207"/>
      <c r="P2221" s="207"/>
      <c r="Q2221" s="207"/>
      <c r="R2221" s="207"/>
    </row>
    <row r="2222" spans="1:18" s="22" customFormat="1" ht="21" customHeight="1">
      <c r="A2222" s="260" t="s">
        <v>369</v>
      </c>
      <c r="B2222" s="275"/>
      <c r="C2222" s="275"/>
      <c r="D2222" s="275"/>
      <c r="E2222" s="275"/>
      <c r="F2222" s="275"/>
      <c r="G2222" s="96">
        <f>G380+G451+G1046+G1114+G1769+G2221+G2108++G1797+G2207</f>
        <v>1772855683.0100002</v>
      </c>
      <c r="H2222" s="96">
        <f>H380+H451+H1046+H1114+H1769+H2221+H2108++H1797+H2207</f>
        <v>1435817073.3499999</v>
      </c>
      <c r="I2222" s="96">
        <f>I380+I451+I1046+I1114+I1769+I2221+I2108++I1797+I2207</f>
        <v>1646941446.9099998</v>
      </c>
      <c r="J2222" s="192"/>
      <c r="K2222" s="208"/>
      <c r="L2222" s="208"/>
      <c r="M2222" s="208"/>
      <c r="N2222" s="207"/>
      <c r="O2222" s="207"/>
      <c r="P2222" s="207"/>
      <c r="Q2222" s="207"/>
      <c r="R2222" s="207"/>
    </row>
    <row r="2223" spans="1:18">
      <c r="A2223" s="90"/>
      <c r="B2223" s="299"/>
      <c r="C2223" s="299"/>
      <c r="D2223" s="299"/>
      <c r="E2223" s="299"/>
      <c r="F2223" s="299"/>
      <c r="G2223" s="89"/>
      <c r="H2223" s="89"/>
      <c r="I2223" s="89"/>
      <c r="K2223" s="207"/>
      <c r="L2223" s="207"/>
    </row>
    <row r="2224" spans="1:18">
      <c r="A2224" s="90"/>
      <c r="B2224" s="299"/>
      <c r="C2224" s="299"/>
      <c r="D2224" s="299"/>
      <c r="E2224" s="299"/>
      <c r="F2224" s="299"/>
      <c r="G2224" s="89"/>
      <c r="H2224" s="89"/>
      <c r="I2224" s="89"/>
      <c r="K2224" s="207"/>
      <c r="L2224" s="207"/>
    </row>
    <row r="2225" spans="1:12">
      <c r="A2225" s="90"/>
      <c r="B2225" s="299"/>
      <c r="C2225" s="299"/>
      <c r="D2225" s="299"/>
      <c r="E2225" s="299"/>
      <c r="F2225" s="299"/>
      <c r="G2225" s="89"/>
      <c r="H2225" s="89"/>
      <c r="I2225" s="89"/>
      <c r="K2225" s="207"/>
      <c r="L2225" s="207"/>
    </row>
    <row r="2226" spans="1:12">
      <c r="G2226" s="60">
        <v>1772855683.01</v>
      </c>
      <c r="H2226" s="60">
        <v>1429134032.75</v>
      </c>
      <c r="I2226" s="60">
        <v>1646941446.9100001</v>
      </c>
      <c r="K2226" s="207"/>
      <c r="L2226" s="207"/>
    </row>
    <row r="2227" spans="1:12">
      <c r="G2227" s="60">
        <f>G2222-G2226</f>
        <v>0</v>
      </c>
      <c r="H2227" s="316">
        <f t="shared" ref="H2227:I2227" si="563">H2222-H2226</f>
        <v>6683040.5999999046</v>
      </c>
      <c r="I2227" s="60">
        <f t="shared" si="563"/>
        <v>0</v>
      </c>
      <c r="K2227" s="207"/>
      <c r="L2227" s="207"/>
    </row>
    <row r="2228" spans="1:12">
      <c r="K2228" s="207"/>
      <c r="L2228" s="207"/>
    </row>
    <row r="2229" spans="1:12">
      <c r="K2229" s="207"/>
      <c r="L2229" s="207"/>
    </row>
    <row r="2230" spans="1:12">
      <c r="B2230" s="1"/>
      <c r="C2230" s="1"/>
      <c r="D2230" s="1"/>
      <c r="K2230" s="207"/>
      <c r="L2230" s="207"/>
    </row>
    <row r="2231" spans="1:12">
      <c r="B2231" s="1"/>
      <c r="C2231" s="1"/>
      <c r="D2231" s="1"/>
      <c r="K2231" s="207"/>
      <c r="L2231" s="207"/>
    </row>
    <row r="2232" spans="1:12">
      <c r="B2232" s="1"/>
      <c r="C2232" s="1"/>
      <c r="D2232" s="1"/>
      <c r="K2232" s="208"/>
      <c r="L2232" s="207"/>
    </row>
    <row r="2234" spans="1:12">
      <c r="G2234" s="89"/>
      <c r="H2234" s="89"/>
      <c r="I2234" s="89"/>
    </row>
    <row r="2237" spans="1:12">
      <c r="B2237" s="1"/>
      <c r="C2237" s="1"/>
      <c r="D2237" s="1"/>
      <c r="E2237" s="1"/>
      <c r="F2237" s="1"/>
      <c r="G2237" s="1"/>
      <c r="H2237" s="1"/>
      <c r="I2237" s="1"/>
      <c r="J2237" s="186"/>
    </row>
    <row r="2238" spans="1:12">
      <c r="J2238" s="178"/>
    </row>
    <row r="2240" spans="1:12">
      <c r="K2240" s="179"/>
      <c r="L2240" s="179"/>
    </row>
    <row r="2253" spans="17:17">
      <c r="Q2253" s="209"/>
    </row>
    <row r="2254" spans="17:17">
      <c r="Q2254" s="209"/>
    </row>
  </sheetData>
  <mergeCells count="23">
    <mergeCell ref="F12:H12"/>
    <mergeCell ref="A14:A16"/>
    <mergeCell ref="D14:D16"/>
    <mergeCell ref="C14:C16"/>
    <mergeCell ref="B14:B16"/>
    <mergeCell ref="A13:I13"/>
    <mergeCell ref="H15:H16"/>
    <mergeCell ref="I15:I16"/>
    <mergeCell ref="G14:I14"/>
    <mergeCell ref="F14:F16"/>
    <mergeCell ref="E14:E16"/>
    <mergeCell ref="G15:G16"/>
    <mergeCell ref="F1:H1"/>
    <mergeCell ref="F2:H2"/>
    <mergeCell ref="F7:H7"/>
    <mergeCell ref="F8:H8"/>
    <mergeCell ref="F11:I11"/>
    <mergeCell ref="F10:H10"/>
    <mergeCell ref="F9:H9"/>
    <mergeCell ref="F3:H3"/>
    <mergeCell ref="F4:H4"/>
    <mergeCell ref="F5:K5"/>
    <mergeCell ref="F6:H6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54" fitToHeight="3" orientation="portrait" r:id="rId1"/>
  <rowBreaks count="5" manualBreakCount="5">
    <brk id="1513" max="8" man="1"/>
    <brk id="1586" max="8" man="1"/>
    <brk id="1715" max="8" man="1"/>
    <brk id="2150" max="8" man="1"/>
    <brk id="222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551"/>
  <sheetViews>
    <sheetView topLeftCell="A1474" zoomScale="93" zoomScaleNormal="93" zoomScaleSheetLayoutView="100" workbookViewId="0">
      <selection activeCell="A1488" sqref="A1488:A1490"/>
    </sheetView>
  </sheetViews>
  <sheetFormatPr defaultColWidth="9.140625" defaultRowHeight="12.75"/>
  <cols>
    <col min="1" max="1" width="54.5703125" style="1" customWidth="1"/>
    <col min="2" max="2" width="6.85546875" style="59" hidden="1" customWidth="1"/>
    <col min="3" max="3" width="4.5703125" style="59" hidden="1" customWidth="1"/>
    <col min="4" max="4" width="4.7109375" style="59" hidden="1" customWidth="1"/>
    <col min="5" max="5" width="20.42578125" style="59" customWidth="1"/>
    <col min="6" max="6" width="9.85546875" style="59" customWidth="1"/>
    <col min="7" max="7" width="26.28515625" style="89" customWidth="1"/>
    <col min="8" max="8" width="21.5703125" style="89" customWidth="1"/>
    <col min="9" max="9" width="29" style="89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2" bestFit="1" customWidth="1"/>
    <col min="17" max="17" width="16.140625" style="2" customWidth="1"/>
    <col min="18" max="18" width="14.7109375" style="2" customWidth="1"/>
    <col min="19" max="19" width="13.42578125" style="2" customWidth="1"/>
    <col min="20" max="20" width="9.140625" style="2"/>
    <col min="21" max="16384" width="9.140625" style="1"/>
  </cols>
  <sheetData>
    <row r="1" spans="1:20" customFormat="1" ht="19.5" customHeight="1">
      <c r="B1" s="62"/>
      <c r="C1" s="65"/>
      <c r="D1" s="65"/>
      <c r="E1" s="301" t="s">
        <v>924</v>
      </c>
      <c r="F1" s="301"/>
      <c r="G1" s="301"/>
      <c r="H1" s="301"/>
      <c r="I1" s="301"/>
      <c r="J1" s="301"/>
      <c r="K1" s="301"/>
    </row>
    <row r="2" spans="1:20" customFormat="1" ht="33" customHeight="1">
      <c r="B2" s="62"/>
      <c r="C2" s="302"/>
      <c r="D2" s="65"/>
      <c r="E2" s="329" t="s">
        <v>1116</v>
      </c>
      <c r="F2" s="329"/>
      <c r="G2" s="329"/>
      <c r="H2" s="301"/>
      <c r="I2" s="97"/>
      <c r="J2" s="99"/>
    </row>
    <row r="3" spans="1:20" customFormat="1" ht="19.5" customHeight="1">
      <c r="B3" s="62"/>
      <c r="C3" s="65"/>
      <c r="D3" s="65"/>
      <c r="E3" s="257" t="s">
        <v>924</v>
      </c>
      <c r="F3" s="257"/>
      <c r="G3" s="257"/>
      <c r="H3" s="257"/>
      <c r="I3" s="257"/>
      <c r="J3" s="257"/>
      <c r="K3" s="257"/>
    </row>
    <row r="4" spans="1:20" customFormat="1" ht="33" customHeight="1">
      <c r="B4" s="62"/>
      <c r="C4" s="258"/>
      <c r="D4" s="65"/>
      <c r="E4" s="329" t="s">
        <v>1081</v>
      </c>
      <c r="F4" s="329"/>
      <c r="G4" s="329"/>
      <c r="H4" s="257"/>
      <c r="I4" s="97"/>
      <c r="J4" s="99"/>
    </row>
    <row r="5" spans="1:20" customFormat="1" ht="19.5" customHeight="1">
      <c r="B5" s="62"/>
      <c r="C5" s="65"/>
      <c r="D5" s="65"/>
      <c r="E5" s="255" t="s">
        <v>924</v>
      </c>
      <c r="F5" s="255"/>
      <c r="G5" s="255"/>
      <c r="H5" s="255"/>
      <c r="I5" s="255"/>
      <c r="J5" s="255"/>
      <c r="K5" s="255"/>
    </row>
    <row r="6" spans="1:20" customFormat="1" ht="33" customHeight="1">
      <c r="B6" s="62"/>
      <c r="C6" s="256"/>
      <c r="D6" s="65"/>
      <c r="E6" s="329" t="s">
        <v>1057</v>
      </c>
      <c r="F6" s="329"/>
      <c r="G6" s="329"/>
      <c r="H6" s="255"/>
      <c r="I6" s="97"/>
      <c r="J6" s="99"/>
    </row>
    <row r="7" spans="1:20" ht="19.5" customHeight="1">
      <c r="B7" s="333" t="s">
        <v>371</v>
      </c>
      <c r="C7" s="334"/>
      <c r="D7" s="334"/>
      <c r="E7" s="335" t="s">
        <v>924</v>
      </c>
      <c r="F7" s="335"/>
      <c r="G7" s="335"/>
      <c r="H7" s="90"/>
      <c r="I7" s="1"/>
    </row>
    <row r="8" spans="1:20" ht="35.25" customHeight="1">
      <c r="B8" s="319" t="s">
        <v>717</v>
      </c>
      <c r="C8" s="319"/>
      <c r="D8" s="319" t="s">
        <v>1042</v>
      </c>
      <c r="E8" s="319"/>
      <c r="F8" s="336"/>
      <c r="G8" s="336"/>
      <c r="H8" s="90"/>
      <c r="I8" s="1"/>
    </row>
    <row r="9" spans="1:20" ht="19.5" customHeight="1">
      <c r="B9" s="333" t="s">
        <v>371</v>
      </c>
      <c r="C9" s="334"/>
      <c r="D9" s="334"/>
      <c r="E9" s="335" t="s">
        <v>924</v>
      </c>
      <c r="F9" s="335"/>
      <c r="G9" s="335"/>
      <c r="H9" s="90"/>
      <c r="I9" s="1"/>
    </row>
    <row r="10" spans="1:20" ht="35.25" customHeight="1">
      <c r="B10" s="319" t="s">
        <v>717</v>
      </c>
      <c r="C10" s="319"/>
      <c r="D10" s="319" t="s">
        <v>1007</v>
      </c>
      <c r="E10" s="319"/>
      <c r="F10" s="336"/>
      <c r="G10" s="336"/>
      <c r="H10" s="90"/>
      <c r="I10" s="1"/>
    </row>
    <row r="11" spans="1:20" ht="19.5" customHeight="1">
      <c r="B11" s="333" t="s">
        <v>371</v>
      </c>
      <c r="C11" s="334"/>
      <c r="D11" s="334"/>
      <c r="E11" s="335" t="s">
        <v>925</v>
      </c>
      <c r="F11" s="335"/>
      <c r="G11" s="335"/>
      <c r="H11" s="90"/>
      <c r="I11" s="1"/>
    </row>
    <row r="12" spans="1:20" ht="35.25" customHeight="1">
      <c r="B12" s="319" t="s">
        <v>717</v>
      </c>
      <c r="C12" s="319"/>
      <c r="D12" s="319" t="s">
        <v>926</v>
      </c>
      <c r="E12" s="319"/>
      <c r="F12" s="336"/>
      <c r="G12" s="336"/>
      <c r="H12" s="90"/>
      <c r="I12" s="1"/>
    </row>
    <row r="13" spans="1:20" ht="61.5" customHeight="1">
      <c r="A13" s="338" t="s">
        <v>975</v>
      </c>
      <c r="B13" s="338"/>
      <c r="C13" s="338"/>
      <c r="D13" s="338"/>
      <c r="E13" s="338"/>
      <c r="F13" s="338"/>
      <c r="G13" s="338"/>
      <c r="H13" s="339"/>
      <c r="I13" s="339"/>
    </row>
    <row r="14" spans="1:20" ht="14.25" customHeight="1">
      <c r="A14" s="330" t="s">
        <v>12</v>
      </c>
      <c r="B14" s="102"/>
      <c r="C14" s="102"/>
      <c r="D14" s="102"/>
      <c r="E14" s="332" t="s">
        <v>16</v>
      </c>
      <c r="F14" s="332" t="s">
        <v>17</v>
      </c>
      <c r="G14" s="342" t="s">
        <v>372</v>
      </c>
      <c r="H14" s="337"/>
      <c r="I14" s="337"/>
    </row>
    <row r="15" spans="1:20" s="3" customFormat="1" ht="23.25" customHeight="1">
      <c r="A15" s="337"/>
      <c r="B15" s="332" t="s">
        <v>13</v>
      </c>
      <c r="C15" s="332" t="s">
        <v>14</v>
      </c>
      <c r="D15" s="332" t="s">
        <v>15</v>
      </c>
      <c r="E15" s="331"/>
      <c r="F15" s="331"/>
      <c r="G15" s="340" t="s">
        <v>434</v>
      </c>
      <c r="H15" s="340" t="s">
        <v>661</v>
      </c>
      <c r="I15" s="340" t="s">
        <v>911</v>
      </c>
      <c r="J15" s="111"/>
      <c r="K15" s="90"/>
      <c r="P15" s="111"/>
      <c r="Q15" s="111"/>
      <c r="R15" s="111"/>
      <c r="S15" s="111"/>
      <c r="T15" s="111"/>
    </row>
    <row r="16" spans="1:20" s="3" customFormat="1" ht="69.75" customHeight="1">
      <c r="A16" s="337"/>
      <c r="B16" s="341"/>
      <c r="C16" s="341"/>
      <c r="D16" s="341"/>
      <c r="E16" s="331"/>
      <c r="F16" s="331"/>
      <c r="G16" s="325"/>
      <c r="H16" s="325"/>
      <c r="I16" s="325"/>
      <c r="J16" s="111"/>
      <c r="P16" s="111"/>
      <c r="Q16" s="111"/>
      <c r="R16" s="111"/>
      <c r="S16" s="111"/>
      <c r="T16" s="111"/>
    </row>
    <row r="17" spans="1:20" s="3" customFormat="1">
      <c r="A17" s="4">
        <v>1</v>
      </c>
      <c r="B17" s="4">
        <v>2</v>
      </c>
      <c r="C17" s="4">
        <v>3</v>
      </c>
      <c r="D17" s="4">
        <v>4</v>
      </c>
      <c r="E17" s="4">
        <v>2</v>
      </c>
      <c r="F17" s="4">
        <v>3</v>
      </c>
      <c r="G17" s="91">
        <v>4</v>
      </c>
      <c r="H17" s="91">
        <v>5</v>
      </c>
      <c r="I17" s="91">
        <v>6</v>
      </c>
      <c r="J17" s="111"/>
      <c r="P17" s="111"/>
      <c r="Q17" s="111"/>
      <c r="R17" s="111"/>
      <c r="S17" s="111"/>
      <c r="T17" s="111"/>
    </row>
    <row r="18" spans="1:20" s="74" customFormat="1" ht="42" customHeight="1">
      <c r="A18" s="78" t="s">
        <v>109</v>
      </c>
      <c r="B18" s="73"/>
      <c r="C18" s="73"/>
      <c r="D18" s="73"/>
      <c r="E18" s="73"/>
      <c r="F18" s="73"/>
      <c r="G18" s="92">
        <f>G20+G30+G56+G100+G130+G153+G303+G343+G681+G701+G765+G1002+G1027+G1032+G1044+G1054+G1060+G1066+G1096+G1129+G1145+G1316+G1341+G1353</f>
        <v>1688068139.8199995</v>
      </c>
      <c r="H18" s="92">
        <f>H20+H30+H56+H100+H130+H153+H303+H343+H681+H701+H765+H1002+H1027+H1032+H1044+H1054+H1060+H1066+H1096+H1129+H1145+H1316+H1341+H1353</f>
        <v>1359781713.5999997</v>
      </c>
      <c r="I18" s="92">
        <f>I20+I30+I56+I100+I130+I153+I303+I343+I681+I701+I765+I1002+I1027+I1032+I1044+I1054+I1060+I1066+I1096+I1129+I1145+I1316+I1341+I1353</f>
        <v>1569449655.8699996</v>
      </c>
      <c r="J18" s="112"/>
      <c r="P18" s="112"/>
      <c r="Q18" s="112"/>
      <c r="R18" s="112"/>
      <c r="S18" s="112"/>
      <c r="T18" s="112"/>
    </row>
    <row r="19" spans="1:20" s="3" customFormat="1">
      <c r="A19" s="4"/>
      <c r="B19" s="4"/>
      <c r="C19" s="4"/>
      <c r="D19" s="4"/>
      <c r="E19" s="4"/>
      <c r="F19" s="4"/>
      <c r="G19" s="91"/>
      <c r="H19" s="91"/>
      <c r="I19" s="91"/>
      <c r="J19" s="111"/>
      <c r="P19" s="111"/>
      <c r="Q19" s="111"/>
      <c r="R19" s="111"/>
      <c r="S19" s="111"/>
      <c r="T19" s="111"/>
    </row>
    <row r="20" spans="1:20" s="74" customFormat="1" ht="42" customHeight="1">
      <c r="A20" s="228" t="s">
        <v>471</v>
      </c>
      <c r="B20" s="229"/>
      <c r="C20" s="229"/>
      <c r="D20" s="229"/>
      <c r="E20" s="19" t="s">
        <v>110</v>
      </c>
      <c r="F20" s="73"/>
      <c r="G20" s="230">
        <f>G21+G27+G24</f>
        <v>3685500</v>
      </c>
      <c r="H20" s="230">
        <f>H21+H27</f>
        <v>2225475</v>
      </c>
      <c r="I20" s="230">
        <f>I21+I27</f>
        <v>2225475</v>
      </c>
      <c r="J20" s="112">
        <v>2271304</v>
      </c>
      <c r="P20" s="112"/>
      <c r="Q20" s="112"/>
      <c r="R20" s="112"/>
      <c r="S20" s="112"/>
      <c r="T20" s="112"/>
    </row>
    <row r="21" spans="1:20" ht="33" customHeight="1">
      <c r="A21" s="16" t="s">
        <v>185</v>
      </c>
      <c r="B21" s="14">
        <v>757</v>
      </c>
      <c r="C21" s="15" t="s">
        <v>69</v>
      </c>
      <c r="D21" s="15" t="s">
        <v>70</v>
      </c>
      <c r="E21" s="15" t="s">
        <v>411</v>
      </c>
      <c r="F21" s="15"/>
      <c r="G21" s="70">
        <f t="shared" ref="G21:I22" si="0">G22</f>
        <v>3685500</v>
      </c>
      <c r="H21" s="70">
        <f t="shared" si="0"/>
        <v>2225475</v>
      </c>
      <c r="I21" s="70">
        <f t="shared" si="0"/>
        <v>2225475</v>
      </c>
    </row>
    <row r="22" spans="1:20" ht="33" customHeight="1">
      <c r="A22" s="16" t="s">
        <v>148</v>
      </c>
      <c r="B22" s="14">
        <v>757</v>
      </c>
      <c r="C22" s="15" t="s">
        <v>69</v>
      </c>
      <c r="D22" s="15" t="s">
        <v>70</v>
      </c>
      <c r="E22" s="15" t="s">
        <v>411</v>
      </c>
      <c r="F22" s="15" t="s">
        <v>149</v>
      </c>
      <c r="G22" s="70">
        <f t="shared" si="0"/>
        <v>3685500</v>
      </c>
      <c r="H22" s="70">
        <f t="shared" si="0"/>
        <v>2225475</v>
      </c>
      <c r="I22" s="70">
        <f t="shared" si="0"/>
        <v>2225475</v>
      </c>
    </row>
    <row r="23" spans="1:20" ht="33" customHeight="1">
      <c r="A23" s="16" t="s">
        <v>150</v>
      </c>
      <c r="B23" s="14">
        <v>757</v>
      </c>
      <c r="C23" s="15" t="s">
        <v>69</v>
      </c>
      <c r="D23" s="15" t="s">
        <v>70</v>
      </c>
      <c r="E23" s="15" t="s">
        <v>411</v>
      </c>
      <c r="F23" s="15" t="s">
        <v>151</v>
      </c>
      <c r="G23" s="70">
        <f>'прил 5,'!G1721</f>
        <v>3685500</v>
      </c>
      <c r="H23" s="70">
        <f>'прил 5,'!H1721</f>
        <v>2225475</v>
      </c>
      <c r="I23" s="70">
        <f>'прил 5,'!I1721</f>
        <v>2225475</v>
      </c>
    </row>
    <row r="24" spans="1:20" ht="33" hidden="1" customHeight="1">
      <c r="A24" s="16" t="s">
        <v>825</v>
      </c>
      <c r="B24" s="14">
        <v>757</v>
      </c>
      <c r="C24" s="15" t="s">
        <v>69</v>
      </c>
      <c r="D24" s="15" t="s">
        <v>54</v>
      </c>
      <c r="E24" s="15" t="s">
        <v>824</v>
      </c>
      <c r="F24" s="15"/>
      <c r="G24" s="70">
        <f t="shared" ref="G24:I25" si="1">G25</f>
        <v>0</v>
      </c>
      <c r="H24" s="70">
        <f t="shared" si="1"/>
        <v>0</v>
      </c>
      <c r="I24" s="70">
        <f t="shared" si="1"/>
        <v>0</v>
      </c>
      <c r="J24" s="1"/>
    </row>
    <row r="25" spans="1:20" ht="33" hidden="1" customHeight="1">
      <c r="A25" s="16" t="s">
        <v>148</v>
      </c>
      <c r="B25" s="14">
        <v>757</v>
      </c>
      <c r="C25" s="15" t="s">
        <v>69</v>
      </c>
      <c r="D25" s="15" t="s">
        <v>54</v>
      </c>
      <c r="E25" s="15" t="s">
        <v>824</v>
      </c>
      <c r="F25" s="15" t="s">
        <v>149</v>
      </c>
      <c r="G25" s="70">
        <f t="shared" si="1"/>
        <v>0</v>
      </c>
      <c r="H25" s="70">
        <f t="shared" si="1"/>
        <v>0</v>
      </c>
      <c r="I25" s="70">
        <f t="shared" si="1"/>
        <v>0</v>
      </c>
      <c r="J25" s="1"/>
    </row>
    <row r="26" spans="1:20" ht="33" hidden="1" customHeight="1">
      <c r="A26" s="16" t="s">
        <v>150</v>
      </c>
      <c r="B26" s="14">
        <v>757</v>
      </c>
      <c r="C26" s="15" t="s">
        <v>69</v>
      </c>
      <c r="D26" s="15" t="s">
        <v>54</v>
      </c>
      <c r="E26" s="15" t="s">
        <v>824</v>
      </c>
      <c r="F26" s="15" t="s">
        <v>151</v>
      </c>
      <c r="G26" s="70">
        <f>'прил 5,'!G355</f>
        <v>0</v>
      </c>
      <c r="H26" s="70">
        <v>0</v>
      </c>
      <c r="I26" s="70">
        <v>0</v>
      </c>
      <c r="J26" s="1"/>
    </row>
    <row r="27" spans="1:20" ht="82.5" hidden="1" customHeight="1">
      <c r="A27" s="50" t="s">
        <v>413</v>
      </c>
      <c r="B27" s="14">
        <v>757</v>
      </c>
      <c r="C27" s="15" t="s">
        <v>69</v>
      </c>
      <c r="D27" s="15" t="s">
        <v>70</v>
      </c>
      <c r="E27" s="15" t="s">
        <v>412</v>
      </c>
      <c r="F27" s="15"/>
      <c r="G27" s="70">
        <f t="shared" ref="G27:I28" si="2">G28</f>
        <v>0</v>
      </c>
      <c r="H27" s="70">
        <f>H28</f>
        <v>0</v>
      </c>
      <c r="I27" s="70">
        <f t="shared" si="2"/>
        <v>0</v>
      </c>
    </row>
    <row r="28" spans="1:20" ht="33" hidden="1" customHeight="1">
      <c r="A28" s="16" t="s">
        <v>148</v>
      </c>
      <c r="B28" s="14">
        <v>757</v>
      </c>
      <c r="C28" s="15" t="s">
        <v>69</v>
      </c>
      <c r="D28" s="15" t="s">
        <v>70</v>
      </c>
      <c r="E28" s="15" t="s">
        <v>412</v>
      </c>
      <c r="F28" s="15" t="s">
        <v>149</v>
      </c>
      <c r="G28" s="70">
        <f t="shared" si="2"/>
        <v>0</v>
      </c>
      <c r="H28" s="70">
        <f t="shared" si="2"/>
        <v>0</v>
      </c>
      <c r="I28" s="70">
        <f t="shared" si="2"/>
        <v>0</v>
      </c>
    </row>
    <row r="29" spans="1:20" ht="33" hidden="1" customHeight="1">
      <c r="A29" s="16" t="s">
        <v>150</v>
      </c>
      <c r="B29" s="14">
        <v>757</v>
      </c>
      <c r="C29" s="15" t="s">
        <v>69</v>
      </c>
      <c r="D29" s="15" t="s">
        <v>70</v>
      </c>
      <c r="E29" s="15" t="s">
        <v>412</v>
      </c>
      <c r="F29" s="15" t="s">
        <v>151</v>
      </c>
      <c r="G29" s="70">
        <f>'прил 5,'!G358</f>
        <v>0</v>
      </c>
      <c r="H29" s="70">
        <f>'прил 5,'!AH358</f>
        <v>0</v>
      </c>
      <c r="I29" s="70">
        <f>'прил 5,'!AI358</f>
        <v>0</v>
      </c>
    </row>
    <row r="30" spans="1:20" s="232" customFormat="1" ht="51">
      <c r="A30" s="34" t="s">
        <v>473</v>
      </c>
      <c r="B30" s="35">
        <v>793</v>
      </c>
      <c r="C30" s="36" t="s">
        <v>19</v>
      </c>
      <c r="D30" s="36" t="s">
        <v>23</v>
      </c>
      <c r="E30" s="35" t="s">
        <v>248</v>
      </c>
      <c r="F30" s="36"/>
      <c r="G30" s="71">
        <f>G31+G34+G46+G53+G41</f>
        <v>3135495.99</v>
      </c>
      <c r="H30" s="71">
        <f t="shared" ref="H30:I30" si="3">H31+H34+H46+H53+H41</f>
        <v>1262498.49</v>
      </c>
      <c r="I30" s="71">
        <f t="shared" si="3"/>
        <v>2222880.63</v>
      </c>
      <c r="J30" s="231">
        <v>465200</v>
      </c>
      <c r="P30" s="231"/>
      <c r="Q30" s="231"/>
      <c r="R30" s="231"/>
      <c r="S30" s="231"/>
      <c r="T30" s="231"/>
    </row>
    <row r="31" spans="1:20" s="33" customFormat="1" ht="27.75" customHeight="1">
      <c r="A31" s="16" t="s">
        <v>188</v>
      </c>
      <c r="B31" s="14">
        <v>793</v>
      </c>
      <c r="C31" s="15" t="s">
        <v>19</v>
      </c>
      <c r="D31" s="15" t="s">
        <v>23</v>
      </c>
      <c r="E31" s="15" t="s">
        <v>383</v>
      </c>
      <c r="F31" s="15"/>
      <c r="G31" s="87">
        <f t="shared" ref="G31:I32" si="4">G32</f>
        <v>1048486</v>
      </c>
      <c r="H31" s="87">
        <f t="shared" si="4"/>
        <v>500000</v>
      </c>
      <c r="I31" s="87">
        <f t="shared" si="4"/>
        <v>500000</v>
      </c>
      <c r="J31" s="113"/>
      <c r="P31" s="113"/>
      <c r="Q31" s="113"/>
      <c r="R31" s="113"/>
      <c r="S31" s="113"/>
      <c r="T31" s="113"/>
    </row>
    <row r="32" spans="1:20" s="33" customFormat="1" ht="28.5" customHeight="1">
      <c r="A32" s="16" t="s">
        <v>30</v>
      </c>
      <c r="B32" s="14">
        <v>793</v>
      </c>
      <c r="C32" s="15" t="s">
        <v>19</v>
      </c>
      <c r="D32" s="15" t="s">
        <v>23</v>
      </c>
      <c r="E32" s="15" t="s">
        <v>383</v>
      </c>
      <c r="F32" s="15" t="s">
        <v>31</v>
      </c>
      <c r="G32" s="87">
        <f t="shared" si="4"/>
        <v>1048486</v>
      </c>
      <c r="H32" s="87">
        <f t="shared" si="4"/>
        <v>500000</v>
      </c>
      <c r="I32" s="87">
        <f t="shared" si="4"/>
        <v>500000</v>
      </c>
      <c r="J32" s="113"/>
      <c r="P32" s="113"/>
      <c r="Q32" s="113"/>
      <c r="R32" s="113"/>
      <c r="S32" s="113"/>
      <c r="T32" s="113"/>
    </row>
    <row r="33" spans="1:20" s="33" customFormat="1" ht="31.5" customHeight="1">
      <c r="A33" s="16" t="s">
        <v>9</v>
      </c>
      <c r="B33" s="14">
        <v>793</v>
      </c>
      <c r="C33" s="15" t="s">
        <v>19</v>
      </c>
      <c r="D33" s="15" t="s">
        <v>23</v>
      </c>
      <c r="E33" s="15" t="s">
        <v>383</v>
      </c>
      <c r="F33" s="15" t="s">
        <v>8</v>
      </c>
      <c r="G33" s="87">
        <f>'прил 5,'!G1184</f>
        <v>1048486</v>
      </c>
      <c r="H33" s="87">
        <f>'прил 5,'!H1184</f>
        <v>500000</v>
      </c>
      <c r="I33" s="87">
        <f>'прил 5,'!I1184</f>
        <v>500000</v>
      </c>
      <c r="J33" s="113"/>
      <c r="P33" s="113"/>
      <c r="Q33" s="113"/>
      <c r="R33" s="113"/>
      <c r="S33" s="113"/>
      <c r="T33" s="113"/>
    </row>
    <row r="34" spans="1:20" ht="25.5">
      <c r="A34" s="16" t="s">
        <v>163</v>
      </c>
      <c r="B34" s="14">
        <v>793</v>
      </c>
      <c r="C34" s="15" t="s">
        <v>19</v>
      </c>
      <c r="D34" s="15" t="s">
        <v>23</v>
      </c>
      <c r="E34" s="15" t="s">
        <v>384</v>
      </c>
      <c r="F34" s="15"/>
      <c r="G34" s="87">
        <f>G39+G37</f>
        <v>1976013.29</v>
      </c>
      <c r="H34" s="87">
        <f t="shared" ref="H34:I34" si="5">H39</f>
        <v>507498.49</v>
      </c>
      <c r="I34" s="87">
        <f t="shared" si="5"/>
        <v>1467880.63</v>
      </c>
      <c r="J34" s="2">
        <v>70000</v>
      </c>
    </row>
    <row r="35" spans="1:20" ht="25.5" customHeight="1">
      <c r="A35" s="16" t="s">
        <v>156</v>
      </c>
      <c r="B35" s="14">
        <v>793</v>
      </c>
      <c r="C35" s="15" t="s">
        <v>19</v>
      </c>
      <c r="D35" s="15" t="s">
        <v>23</v>
      </c>
      <c r="E35" s="15" t="s">
        <v>384</v>
      </c>
      <c r="F35" s="15" t="s">
        <v>157</v>
      </c>
      <c r="G35" s="70">
        <f>G36</f>
        <v>0</v>
      </c>
      <c r="H35" s="70">
        <f t="shared" ref="H35:I37" si="6">H36</f>
        <v>0</v>
      </c>
      <c r="I35" s="70">
        <f t="shared" si="6"/>
        <v>0</v>
      </c>
      <c r="J35" s="2">
        <v>35000</v>
      </c>
    </row>
    <row r="36" spans="1:20" ht="25.5" hidden="1" customHeight="1">
      <c r="A36" s="16" t="s">
        <v>170</v>
      </c>
      <c r="B36" s="14">
        <v>793</v>
      </c>
      <c r="C36" s="15" t="s">
        <v>19</v>
      </c>
      <c r="D36" s="15" t="s">
        <v>23</v>
      </c>
      <c r="E36" s="15" t="s">
        <v>384</v>
      </c>
      <c r="F36" s="15" t="s">
        <v>171</v>
      </c>
      <c r="G36" s="70"/>
      <c r="H36" s="103">
        <v>0</v>
      </c>
      <c r="I36" s="103">
        <v>0</v>
      </c>
      <c r="J36" s="2">
        <v>500000</v>
      </c>
    </row>
    <row r="37" spans="1:20" ht="25.5" customHeight="1">
      <c r="A37" s="16" t="s">
        <v>156</v>
      </c>
      <c r="B37" s="14">
        <v>793</v>
      </c>
      <c r="C37" s="15" t="s">
        <v>19</v>
      </c>
      <c r="D37" s="15" t="s">
        <v>23</v>
      </c>
      <c r="E37" s="15" t="s">
        <v>384</v>
      </c>
      <c r="F37" s="15" t="s">
        <v>157</v>
      </c>
      <c r="G37" s="70">
        <f>G38</f>
        <v>1976013.29</v>
      </c>
      <c r="H37" s="70">
        <f t="shared" si="6"/>
        <v>0</v>
      </c>
      <c r="I37" s="70">
        <f t="shared" si="6"/>
        <v>0</v>
      </c>
      <c r="J37" s="2">
        <v>35000</v>
      </c>
    </row>
    <row r="38" spans="1:20" ht="25.5" customHeight="1">
      <c r="A38" s="16" t="s">
        <v>178</v>
      </c>
      <c r="B38" s="14">
        <v>793</v>
      </c>
      <c r="C38" s="15" t="s">
        <v>19</v>
      </c>
      <c r="D38" s="15" t="s">
        <v>23</v>
      </c>
      <c r="E38" s="15" t="s">
        <v>384</v>
      </c>
      <c r="F38" s="15" t="s">
        <v>179</v>
      </c>
      <c r="G38" s="70">
        <f>'прил 5,'!G1187</f>
        <v>1976013.29</v>
      </c>
      <c r="H38" s="103">
        <f>'прил 5,'!H1187</f>
        <v>0</v>
      </c>
      <c r="I38" s="103">
        <f>'прил 5,'!I1187</f>
        <v>0</v>
      </c>
      <c r="J38" s="2">
        <v>500000</v>
      </c>
    </row>
    <row r="39" spans="1:20" ht="16.5" customHeight="1">
      <c r="A39" s="82" t="s">
        <v>63</v>
      </c>
      <c r="B39" s="14">
        <v>793</v>
      </c>
      <c r="C39" s="15" t="s">
        <v>19</v>
      </c>
      <c r="D39" s="15" t="s">
        <v>23</v>
      </c>
      <c r="E39" s="15" t="s">
        <v>384</v>
      </c>
      <c r="F39" s="15" t="s">
        <v>64</v>
      </c>
      <c r="G39" s="70">
        <f>G40</f>
        <v>-4.638422979041934E-11</v>
      </c>
      <c r="H39" s="70">
        <f t="shared" ref="H39:I39" si="7">H40</f>
        <v>507498.49</v>
      </c>
      <c r="I39" s="70">
        <f t="shared" si="7"/>
        <v>1467880.63</v>
      </c>
      <c r="J39" s="1"/>
    </row>
    <row r="40" spans="1:20" ht="17.25" customHeight="1">
      <c r="A40" s="82" t="s">
        <v>180</v>
      </c>
      <c r="B40" s="14">
        <v>793</v>
      </c>
      <c r="C40" s="15" t="s">
        <v>19</v>
      </c>
      <c r="D40" s="15" t="s">
        <v>23</v>
      </c>
      <c r="E40" s="15" t="s">
        <v>384</v>
      </c>
      <c r="F40" s="15" t="s">
        <v>181</v>
      </c>
      <c r="G40" s="70">
        <f>'прил 5,'!G1189</f>
        <v>-4.638422979041934E-11</v>
      </c>
      <c r="H40" s="70">
        <f>'прил 5,'!H1189</f>
        <v>507498.49</v>
      </c>
      <c r="I40" s="70">
        <f>'прил 5,'!I1189</f>
        <v>1467880.63</v>
      </c>
      <c r="J40" s="1"/>
    </row>
    <row r="41" spans="1:20" ht="27.75" customHeight="1">
      <c r="A41" s="104" t="s">
        <v>914</v>
      </c>
      <c r="B41" s="14">
        <v>793</v>
      </c>
      <c r="C41" s="15" t="s">
        <v>19</v>
      </c>
      <c r="D41" s="15" t="s">
        <v>23</v>
      </c>
      <c r="E41" s="15" t="s">
        <v>874</v>
      </c>
      <c r="F41" s="15"/>
      <c r="G41" s="70">
        <f>G42+G44</f>
        <v>0</v>
      </c>
      <c r="H41" s="70">
        <f t="shared" ref="H41:I41" si="8">H42+H44</f>
        <v>100000</v>
      </c>
      <c r="I41" s="70">
        <f t="shared" si="8"/>
        <v>100000</v>
      </c>
      <c r="J41" s="1"/>
    </row>
    <row r="42" spans="1:20" ht="19.5" hidden="1" customHeight="1">
      <c r="A42" s="16" t="s">
        <v>156</v>
      </c>
      <c r="B42" s="14">
        <v>793</v>
      </c>
      <c r="C42" s="15" t="s">
        <v>19</v>
      </c>
      <c r="D42" s="15" t="s">
        <v>23</v>
      </c>
      <c r="E42" s="15" t="s">
        <v>384</v>
      </c>
      <c r="F42" s="15" t="s">
        <v>157</v>
      </c>
      <c r="G42" s="70">
        <f>G43</f>
        <v>0</v>
      </c>
      <c r="H42" s="70">
        <f t="shared" ref="H42:I44" si="9">H43</f>
        <v>0</v>
      </c>
      <c r="I42" s="70">
        <f t="shared" si="9"/>
        <v>0</v>
      </c>
      <c r="J42" s="1"/>
    </row>
    <row r="43" spans="1:20" ht="12" hidden="1" customHeight="1">
      <c r="A43" s="16" t="s">
        <v>178</v>
      </c>
      <c r="B43" s="14">
        <v>793</v>
      </c>
      <c r="C43" s="15" t="s">
        <v>19</v>
      </c>
      <c r="D43" s="15" t="s">
        <v>23</v>
      </c>
      <c r="E43" s="15" t="s">
        <v>384</v>
      </c>
      <c r="F43" s="15" t="s">
        <v>179</v>
      </c>
      <c r="G43" s="70"/>
      <c r="H43" s="70"/>
      <c r="I43" s="70"/>
      <c r="J43" s="1"/>
    </row>
    <row r="44" spans="1:20" ht="16.5" customHeight="1">
      <c r="A44" s="82" t="s">
        <v>63</v>
      </c>
      <c r="B44" s="14">
        <v>793</v>
      </c>
      <c r="C44" s="15" t="s">
        <v>19</v>
      </c>
      <c r="D44" s="15" t="s">
        <v>23</v>
      </c>
      <c r="E44" s="15" t="s">
        <v>874</v>
      </c>
      <c r="F44" s="15" t="s">
        <v>64</v>
      </c>
      <c r="G44" s="70">
        <f>G45</f>
        <v>0</v>
      </c>
      <c r="H44" s="70">
        <f t="shared" si="9"/>
        <v>100000</v>
      </c>
      <c r="I44" s="70">
        <f t="shared" si="9"/>
        <v>100000</v>
      </c>
      <c r="J44" s="1"/>
    </row>
    <row r="45" spans="1:20" ht="17.25" customHeight="1">
      <c r="A45" s="82" t="s">
        <v>180</v>
      </c>
      <c r="B45" s="14">
        <v>793</v>
      </c>
      <c r="C45" s="15" t="s">
        <v>19</v>
      </c>
      <c r="D45" s="15" t="s">
        <v>23</v>
      </c>
      <c r="E45" s="15" t="s">
        <v>874</v>
      </c>
      <c r="F45" s="15" t="s">
        <v>181</v>
      </c>
      <c r="G45" s="70">
        <f>'прил 5,'!G1194</f>
        <v>0</v>
      </c>
      <c r="H45" s="70">
        <f>'прил 5,'!H1194</f>
        <v>100000</v>
      </c>
      <c r="I45" s="70">
        <f>'прил 5,'!I1194</f>
        <v>100000</v>
      </c>
      <c r="J45" s="1"/>
    </row>
    <row r="46" spans="1:20" ht="25.5" customHeight="1">
      <c r="A46" s="16" t="s">
        <v>120</v>
      </c>
      <c r="B46" s="14">
        <v>793</v>
      </c>
      <c r="C46" s="15" t="s">
        <v>19</v>
      </c>
      <c r="D46" s="15" t="s">
        <v>23</v>
      </c>
      <c r="E46" s="15" t="s">
        <v>249</v>
      </c>
      <c r="F46" s="15"/>
      <c r="G46" s="87">
        <f>G47+G51+G50</f>
        <v>110996.7</v>
      </c>
      <c r="H46" s="87">
        <f t="shared" ref="H46:I46" si="10">H47+H51+H50</f>
        <v>105000</v>
      </c>
      <c r="I46" s="87">
        <f t="shared" si="10"/>
        <v>105000</v>
      </c>
      <c r="J46" s="2">
        <v>50000</v>
      </c>
    </row>
    <row r="47" spans="1:20" ht="25.5" customHeight="1">
      <c r="A47" s="16" t="s">
        <v>324</v>
      </c>
      <c r="B47" s="14">
        <v>793</v>
      </c>
      <c r="C47" s="15" t="s">
        <v>19</v>
      </c>
      <c r="D47" s="15" t="s">
        <v>23</v>
      </c>
      <c r="E47" s="15" t="s">
        <v>249</v>
      </c>
      <c r="F47" s="15" t="s">
        <v>37</v>
      </c>
      <c r="G47" s="87">
        <f>G48</f>
        <v>75996.7</v>
      </c>
      <c r="H47" s="87">
        <f>H48</f>
        <v>70000</v>
      </c>
      <c r="I47" s="87">
        <f>I48</f>
        <v>70000</v>
      </c>
      <c r="J47" s="2">
        <f>SUM(J30:J46)</f>
        <v>1655200</v>
      </c>
    </row>
    <row r="48" spans="1:20" ht="25.5" customHeight="1">
      <c r="A48" s="16" t="s">
        <v>38</v>
      </c>
      <c r="B48" s="14">
        <v>793</v>
      </c>
      <c r="C48" s="15" t="s">
        <v>19</v>
      </c>
      <c r="D48" s="15" t="s">
        <v>23</v>
      </c>
      <c r="E48" s="15" t="s">
        <v>249</v>
      </c>
      <c r="F48" s="15" t="s">
        <v>39</v>
      </c>
      <c r="G48" s="87">
        <f>'прил 5,'!G1197</f>
        <v>75996.7</v>
      </c>
      <c r="H48" s="87">
        <f>'прил 5,'!H1197</f>
        <v>70000</v>
      </c>
      <c r="I48" s="87">
        <f>'прил 5,'!I1197</f>
        <v>70000</v>
      </c>
    </row>
    <row r="49" spans="1:20" ht="25.5" hidden="1" customHeight="1">
      <c r="A49" s="16" t="s">
        <v>30</v>
      </c>
      <c r="B49" s="14">
        <v>793</v>
      </c>
      <c r="C49" s="15" t="s">
        <v>19</v>
      </c>
      <c r="D49" s="15" t="s">
        <v>23</v>
      </c>
      <c r="E49" s="15" t="s">
        <v>249</v>
      </c>
      <c r="F49" s="15" t="s">
        <v>31</v>
      </c>
      <c r="G49" s="70">
        <f>G50</f>
        <v>0</v>
      </c>
      <c r="H49" s="70">
        <f t="shared" ref="H49:I49" si="11">H50</f>
        <v>0</v>
      </c>
      <c r="I49" s="70">
        <f t="shared" si="11"/>
        <v>0</v>
      </c>
      <c r="J49" s="1"/>
    </row>
    <row r="50" spans="1:20" ht="25.5" hidden="1" customHeight="1">
      <c r="A50" s="16" t="s">
        <v>9</v>
      </c>
      <c r="B50" s="14">
        <v>793</v>
      </c>
      <c r="C50" s="15" t="s">
        <v>19</v>
      </c>
      <c r="D50" s="15" t="s">
        <v>23</v>
      </c>
      <c r="E50" s="15" t="s">
        <v>249</v>
      </c>
      <c r="F50" s="15" t="s">
        <v>8</v>
      </c>
      <c r="G50" s="70"/>
      <c r="H50" s="70"/>
      <c r="I50" s="70"/>
      <c r="J50" s="1"/>
    </row>
    <row r="51" spans="1:20" ht="25.5" customHeight="1">
      <c r="A51" s="16" t="s">
        <v>63</v>
      </c>
      <c r="B51" s="14">
        <v>793</v>
      </c>
      <c r="C51" s="15" t="s">
        <v>19</v>
      </c>
      <c r="D51" s="15" t="s">
        <v>23</v>
      </c>
      <c r="E51" s="15" t="s">
        <v>249</v>
      </c>
      <c r="F51" s="15" t="s">
        <v>64</v>
      </c>
      <c r="G51" s="87">
        <f>G52</f>
        <v>35000</v>
      </c>
      <c r="H51" s="87">
        <f>H52</f>
        <v>35000</v>
      </c>
      <c r="I51" s="87">
        <f>I52</f>
        <v>35000</v>
      </c>
    </row>
    <row r="52" spans="1:20" ht="25.5" customHeight="1">
      <c r="A52" s="16" t="s">
        <v>144</v>
      </c>
      <c r="B52" s="14">
        <v>793</v>
      </c>
      <c r="C52" s="15" t="s">
        <v>19</v>
      </c>
      <c r="D52" s="15" t="s">
        <v>23</v>
      </c>
      <c r="E52" s="15" t="s">
        <v>249</v>
      </c>
      <c r="F52" s="15" t="s">
        <v>67</v>
      </c>
      <c r="G52" s="87">
        <f>'прил 5,'!G1201</f>
        <v>35000</v>
      </c>
      <c r="H52" s="87">
        <f>'прил 5,'!H1201</f>
        <v>35000</v>
      </c>
      <c r="I52" s="87">
        <f>'прил 5,'!I1201</f>
        <v>35000</v>
      </c>
    </row>
    <row r="53" spans="1:20" ht="25.5" customHeight="1">
      <c r="A53" s="16" t="s">
        <v>448</v>
      </c>
      <c r="B53" s="14">
        <v>793</v>
      </c>
      <c r="C53" s="15" t="s">
        <v>19</v>
      </c>
      <c r="D53" s="15" t="s">
        <v>23</v>
      </c>
      <c r="E53" s="15" t="s">
        <v>449</v>
      </c>
      <c r="F53" s="15"/>
      <c r="G53" s="70">
        <f t="shared" ref="G53:I54" si="12">G54</f>
        <v>0</v>
      </c>
      <c r="H53" s="8">
        <f t="shared" si="12"/>
        <v>50000</v>
      </c>
      <c r="I53" s="8">
        <f t="shared" si="12"/>
        <v>50000</v>
      </c>
    </row>
    <row r="54" spans="1:20" ht="25.5" customHeight="1">
      <c r="A54" s="16" t="s">
        <v>324</v>
      </c>
      <c r="B54" s="14">
        <v>793</v>
      </c>
      <c r="C54" s="15" t="s">
        <v>19</v>
      </c>
      <c r="D54" s="15" t="s">
        <v>23</v>
      </c>
      <c r="E54" s="15" t="s">
        <v>449</v>
      </c>
      <c r="F54" s="15" t="s">
        <v>37</v>
      </c>
      <c r="G54" s="70">
        <f t="shared" si="12"/>
        <v>0</v>
      </c>
      <c r="H54" s="8">
        <f t="shared" si="12"/>
        <v>50000</v>
      </c>
      <c r="I54" s="8">
        <f t="shared" si="12"/>
        <v>50000</v>
      </c>
    </row>
    <row r="55" spans="1:20" ht="25.5" customHeight="1">
      <c r="A55" s="16" t="s">
        <v>38</v>
      </c>
      <c r="B55" s="14">
        <v>793</v>
      </c>
      <c r="C55" s="15" t="s">
        <v>19</v>
      </c>
      <c r="D55" s="15" t="s">
        <v>23</v>
      </c>
      <c r="E55" s="15" t="s">
        <v>449</v>
      </c>
      <c r="F55" s="15" t="s">
        <v>39</v>
      </c>
      <c r="G55" s="70">
        <f>'прил 5,'!G1204</f>
        <v>0</v>
      </c>
      <c r="H55" s="8">
        <f>'прил 5,'!H1204</f>
        <v>50000</v>
      </c>
      <c r="I55" s="8">
        <f>'прил 5,'!I1204</f>
        <v>50000</v>
      </c>
    </row>
    <row r="56" spans="1:20" s="232" customFormat="1" ht="38.25">
      <c r="A56" s="34" t="s">
        <v>442</v>
      </c>
      <c r="B56" s="35">
        <v>763</v>
      </c>
      <c r="C56" s="36" t="s">
        <v>19</v>
      </c>
      <c r="D56" s="36" t="s">
        <v>54</v>
      </c>
      <c r="E56" s="36" t="s">
        <v>207</v>
      </c>
      <c r="F56" s="75"/>
      <c r="G56" s="71">
        <f>G57+G64+G70+G73+G76+G79+G82++G85+G88+G94+G91+G97</f>
        <v>13868285</v>
      </c>
      <c r="H56" s="71">
        <f>H57+H64+H67+H70+H73+H85</f>
        <v>13087275</v>
      </c>
      <c r="I56" s="71">
        <f>I57+I64+I67+I70+I73+I85</f>
        <v>13202404</v>
      </c>
      <c r="J56" s="231">
        <v>9155959</v>
      </c>
      <c r="L56" s="231">
        <f>G56+H56+I56-G57-H57-I57</f>
        <v>3265000</v>
      </c>
      <c r="P56" s="231"/>
      <c r="Q56" s="231"/>
      <c r="R56" s="231"/>
      <c r="S56" s="231"/>
      <c r="T56" s="231"/>
    </row>
    <row r="57" spans="1:20" s="33" customFormat="1" ht="25.5">
      <c r="A57" s="16" t="s">
        <v>76</v>
      </c>
      <c r="B57" s="14">
        <v>763</v>
      </c>
      <c r="C57" s="15" t="s">
        <v>19</v>
      </c>
      <c r="D57" s="15" t="s">
        <v>54</v>
      </c>
      <c r="E57" s="15" t="s">
        <v>208</v>
      </c>
      <c r="F57" s="39"/>
      <c r="G57" s="87">
        <f>G58+G60+G62</f>
        <v>12183285</v>
      </c>
      <c r="H57" s="87">
        <f t="shared" ref="H57:I57" si="13">H58+H60+H62</f>
        <v>12297275</v>
      </c>
      <c r="I57" s="87">
        <f t="shared" si="13"/>
        <v>12412404</v>
      </c>
      <c r="J57" s="113">
        <v>567396</v>
      </c>
      <c r="P57" s="113"/>
      <c r="Q57" s="113"/>
      <c r="R57" s="113"/>
      <c r="S57" s="113"/>
      <c r="T57" s="113"/>
    </row>
    <row r="58" spans="1:20" ht="51">
      <c r="A58" s="16" t="s">
        <v>55</v>
      </c>
      <c r="B58" s="14">
        <v>763</v>
      </c>
      <c r="C58" s="15" t="s">
        <v>19</v>
      </c>
      <c r="D58" s="15" t="s">
        <v>54</v>
      </c>
      <c r="E58" s="15" t="s">
        <v>208</v>
      </c>
      <c r="F58" s="15" t="s">
        <v>58</v>
      </c>
      <c r="G58" s="87">
        <f>SUM(G59)</f>
        <v>11480921</v>
      </c>
      <c r="H58" s="87">
        <f>SUM(H59)</f>
        <v>11598911</v>
      </c>
      <c r="I58" s="87">
        <f>SUM(I59)</f>
        <v>11714040</v>
      </c>
      <c r="J58" s="2">
        <v>15000</v>
      </c>
    </row>
    <row r="59" spans="1:20" ht="25.5">
      <c r="A59" s="16" t="s">
        <v>56</v>
      </c>
      <c r="B59" s="14">
        <v>763</v>
      </c>
      <c r="C59" s="15" t="s">
        <v>19</v>
      </c>
      <c r="D59" s="15" t="s">
        <v>54</v>
      </c>
      <c r="E59" s="15" t="s">
        <v>208</v>
      </c>
      <c r="F59" s="15" t="s">
        <v>59</v>
      </c>
      <c r="G59" s="87">
        <f>'прил 5,'!G390</f>
        <v>11480921</v>
      </c>
      <c r="H59" s="87">
        <f>'прил 5,'!AH390+'прил 5,'!H390</f>
        <v>11598911</v>
      </c>
      <c r="I59" s="87">
        <f>'прил 5,'!AI390+'прил 5,'!I390</f>
        <v>11714040</v>
      </c>
      <c r="J59" s="2">
        <v>200000</v>
      </c>
    </row>
    <row r="60" spans="1:20" ht="25.5">
      <c r="A60" s="16" t="s">
        <v>36</v>
      </c>
      <c r="B60" s="14">
        <v>763</v>
      </c>
      <c r="C60" s="15" t="s">
        <v>19</v>
      </c>
      <c r="D60" s="15" t="s">
        <v>54</v>
      </c>
      <c r="E60" s="15" t="s">
        <v>208</v>
      </c>
      <c r="F60" s="15" t="s">
        <v>37</v>
      </c>
      <c r="G60" s="87">
        <f>SUM(G61)</f>
        <v>680364</v>
      </c>
      <c r="H60" s="87">
        <f>SUM(H61)</f>
        <v>680364</v>
      </c>
      <c r="I60" s="87">
        <f>SUM(I61)</f>
        <v>680364</v>
      </c>
      <c r="J60" s="2">
        <v>200000</v>
      </c>
    </row>
    <row r="61" spans="1:20" ht="25.5">
      <c r="A61" s="16" t="s">
        <v>38</v>
      </c>
      <c r="B61" s="14">
        <v>763</v>
      </c>
      <c r="C61" s="15" t="s">
        <v>19</v>
      </c>
      <c r="D61" s="15" t="s">
        <v>54</v>
      </c>
      <c r="E61" s="15" t="s">
        <v>208</v>
      </c>
      <c r="F61" s="15" t="s">
        <v>39</v>
      </c>
      <c r="G61" s="87">
        <f>'прил 5,'!G392</f>
        <v>680364</v>
      </c>
      <c r="H61" s="87">
        <f>'прил 5,'!AH392+'прил 5,'!H392</f>
        <v>680364</v>
      </c>
      <c r="I61" s="87">
        <f>'прил 5,'!AI392+'прил 5,'!I392</f>
        <v>680364</v>
      </c>
      <c r="J61" s="2">
        <v>210000</v>
      </c>
    </row>
    <row r="62" spans="1:20">
      <c r="A62" s="16" t="s">
        <v>63</v>
      </c>
      <c r="B62" s="14"/>
      <c r="C62" s="15"/>
      <c r="D62" s="15"/>
      <c r="E62" s="15" t="s">
        <v>208</v>
      </c>
      <c r="F62" s="15" t="s">
        <v>64</v>
      </c>
      <c r="G62" s="87">
        <f>G63</f>
        <v>22000</v>
      </c>
      <c r="H62" s="87">
        <f>H63</f>
        <v>18000</v>
      </c>
      <c r="I62" s="87">
        <f>I63</f>
        <v>18000</v>
      </c>
      <c r="J62" s="2">
        <f>SUM(J56:J61)</f>
        <v>10348355</v>
      </c>
    </row>
    <row r="63" spans="1:20">
      <c r="A63" s="16" t="s">
        <v>144</v>
      </c>
      <c r="B63" s="14"/>
      <c r="C63" s="15"/>
      <c r="D63" s="15"/>
      <c r="E63" s="15" t="s">
        <v>208</v>
      </c>
      <c r="F63" s="15" t="s">
        <v>67</v>
      </c>
      <c r="G63" s="87">
        <f>'прил 5,'!G394</f>
        <v>22000</v>
      </c>
      <c r="H63" s="87">
        <f>'прил 5,'!AH394+'прил 5,'!H394</f>
        <v>18000</v>
      </c>
      <c r="I63" s="87">
        <f>'прил 5,'!AI394+'прил 5,'!I394</f>
        <v>18000</v>
      </c>
    </row>
    <row r="64" spans="1:20" ht="33.75" customHeight="1">
      <c r="A64" s="16" t="s">
        <v>644</v>
      </c>
      <c r="B64" s="14">
        <v>763</v>
      </c>
      <c r="C64" s="15" t="s">
        <v>19</v>
      </c>
      <c r="D64" s="15" t="s">
        <v>23</v>
      </c>
      <c r="E64" s="15" t="s">
        <v>209</v>
      </c>
      <c r="F64" s="15"/>
      <c r="G64" s="87">
        <f>G65+G67</f>
        <v>339000</v>
      </c>
      <c r="H64" s="87">
        <f t="shared" ref="G64:I65" si="14">H65</f>
        <v>230000</v>
      </c>
      <c r="I64" s="87">
        <f t="shared" si="14"/>
        <v>230000</v>
      </c>
    </row>
    <row r="65" spans="1:10" ht="27.75" customHeight="1">
      <c r="A65" s="16" t="s">
        <v>36</v>
      </c>
      <c r="B65" s="14">
        <v>763</v>
      </c>
      <c r="C65" s="15" t="s">
        <v>19</v>
      </c>
      <c r="D65" s="15" t="s">
        <v>23</v>
      </c>
      <c r="E65" s="15" t="s">
        <v>209</v>
      </c>
      <c r="F65" s="15" t="s">
        <v>37</v>
      </c>
      <c r="G65" s="87">
        <f t="shared" si="14"/>
        <v>329600</v>
      </c>
      <c r="H65" s="87">
        <f t="shared" si="14"/>
        <v>230000</v>
      </c>
      <c r="I65" s="87">
        <f t="shared" si="14"/>
        <v>230000</v>
      </c>
    </row>
    <row r="66" spans="1:10" ht="28.5" customHeight="1">
      <c r="A66" s="16" t="s">
        <v>38</v>
      </c>
      <c r="B66" s="14">
        <v>763</v>
      </c>
      <c r="C66" s="15" t="s">
        <v>19</v>
      </c>
      <c r="D66" s="15" t="s">
        <v>23</v>
      </c>
      <c r="E66" s="15" t="s">
        <v>209</v>
      </c>
      <c r="F66" s="15" t="s">
        <v>39</v>
      </c>
      <c r="G66" s="87">
        <f>'прил 5,'!G399</f>
        <v>329600</v>
      </c>
      <c r="H66" s="87">
        <f>'прил 5,'!AH399+'прил 5,'!H399</f>
        <v>230000</v>
      </c>
      <c r="I66" s="87">
        <f>'прил 5,'!AI399+'прил 5,'!I399</f>
        <v>230000</v>
      </c>
    </row>
    <row r="67" spans="1:10">
      <c r="A67" s="16" t="s">
        <v>63</v>
      </c>
      <c r="B67" s="14">
        <v>763</v>
      </c>
      <c r="C67" s="15" t="s">
        <v>19</v>
      </c>
      <c r="D67" s="15" t="s">
        <v>23</v>
      </c>
      <c r="E67" s="15" t="s">
        <v>209</v>
      </c>
      <c r="F67" s="15" t="s">
        <v>64</v>
      </c>
      <c r="G67" s="87">
        <f>G68</f>
        <v>9400</v>
      </c>
      <c r="H67" s="70">
        <v>0</v>
      </c>
      <c r="I67" s="70">
        <v>0</v>
      </c>
    </row>
    <row r="68" spans="1:10" ht="15" customHeight="1">
      <c r="A68" s="16" t="s">
        <v>144</v>
      </c>
      <c r="B68" s="14">
        <v>763</v>
      </c>
      <c r="C68" s="15" t="s">
        <v>19</v>
      </c>
      <c r="D68" s="15" t="s">
        <v>23</v>
      </c>
      <c r="E68" s="15" t="s">
        <v>209</v>
      </c>
      <c r="F68" s="15" t="s">
        <v>67</v>
      </c>
      <c r="G68" s="87">
        <f>'прил 5,'!G401</f>
        <v>9400</v>
      </c>
      <c r="H68" s="70">
        <v>0</v>
      </c>
      <c r="I68" s="70">
        <v>0</v>
      </c>
    </row>
    <row r="69" spans="1:10" ht="28.5" hidden="1" customHeight="1">
      <c r="A69" s="16"/>
      <c r="B69" s="14"/>
      <c r="C69" s="15"/>
      <c r="D69" s="15"/>
      <c r="E69" s="15"/>
      <c r="F69" s="15"/>
      <c r="G69" s="70"/>
      <c r="H69" s="70"/>
      <c r="I69" s="70"/>
      <c r="J69" s="1"/>
    </row>
    <row r="70" spans="1:10" ht="125.25" customHeight="1">
      <c r="A70" s="16" t="s">
        <v>280</v>
      </c>
      <c r="B70" s="14">
        <v>763</v>
      </c>
      <c r="C70" s="15" t="s">
        <v>54</v>
      </c>
      <c r="D70" s="15" t="s">
        <v>88</v>
      </c>
      <c r="E70" s="15" t="s">
        <v>212</v>
      </c>
      <c r="F70" s="15"/>
      <c r="G70" s="87">
        <f>G71</f>
        <v>1076000</v>
      </c>
      <c r="H70" s="87">
        <f t="shared" ref="H70:I70" si="15">H71</f>
        <v>250000</v>
      </c>
      <c r="I70" s="87">
        <f t="shared" si="15"/>
        <v>250000</v>
      </c>
    </row>
    <row r="71" spans="1:10" ht="25.5">
      <c r="A71" s="16" t="s">
        <v>36</v>
      </c>
      <c r="B71" s="14">
        <v>763</v>
      </c>
      <c r="C71" s="15" t="s">
        <v>54</v>
      </c>
      <c r="D71" s="15" t="s">
        <v>88</v>
      </c>
      <c r="E71" s="15" t="s">
        <v>212</v>
      </c>
      <c r="F71" s="15" t="s">
        <v>37</v>
      </c>
      <c r="G71" s="87">
        <f>SUM(G72)</f>
        <v>1076000</v>
      </c>
      <c r="H71" s="87">
        <f>SUM(H72)</f>
        <v>250000</v>
      </c>
      <c r="I71" s="87">
        <f>SUM(I72)</f>
        <v>250000</v>
      </c>
    </row>
    <row r="72" spans="1:10" ht="25.5" customHeight="1">
      <c r="A72" s="16" t="s">
        <v>38</v>
      </c>
      <c r="B72" s="14">
        <v>763</v>
      </c>
      <c r="C72" s="15" t="s">
        <v>54</v>
      </c>
      <c r="D72" s="15" t="s">
        <v>88</v>
      </c>
      <c r="E72" s="15" t="s">
        <v>212</v>
      </c>
      <c r="F72" s="15" t="s">
        <v>39</v>
      </c>
      <c r="G72" s="87">
        <f>'прил 5,'!G416</f>
        <v>1076000</v>
      </c>
      <c r="H72" s="87">
        <f>'прил 5,'!AH416+'прил 5,'!H416</f>
        <v>250000</v>
      </c>
      <c r="I72" s="87">
        <f>'прил 5,'!AI416+'прил 5,'!I416</f>
        <v>250000</v>
      </c>
    </row>
    <row r="73" spans="1:10" ht="94.5" customHeight="1">
      <c r="A73" s="30" t="s">
        <v>645</v>
      </c>
      <c r="B73" s="14">
        <v>763</v>
      </c>
      <c r="C73" s="15" t="s">
        <v>54</v>
      </c>
      <c r="D73" s="15" t="s">
        <v>88</v>
      </c>
      <c r="E73" s="15" t="s">
        <v>213</v>
      </c>
      <c r="F73" s="15"/>
      <c r="G73" s="87">
        <f>G74</f>
        <v>270000</v>
      </c>
      <c r="H73" s="87">
        <f t="shared" ref="H73:I73" si="16">H74</f>
        <v>270000</v>
      </c>
      <c r="I73" s="87">
        <f t="shared" si="16"/>
        <v>270000</v>
      </c>
    </row>
    <row r="74" spans="1:10" ht="25.5">
      <c r="A74" s="16" t="s">
        <v>36</v>
      </c>
      <c r="B74" s="14">
        <v>763</v>
      </c>
      <c r="C74" s="15" t="s">
        <v>54</v>
      </c>
      <c r="D74" s="15" t="s">
        <v>88</v>
      </c>
      <c r="E74" s="15" t="s">
        <v>213</v>
      </c>
      <c r="F74" s="15" t="s">
        <v>37</v>
      </c>
      <c r="G74" s="87">
        <f>SUM(G75)</f>
        <v>270000</v>
      </c>
      <c r="H74" s="87">
        <f>SUM(H75)</f>
        <v>270000</v>
      </c>
      <c r="I74" s="87">
        <f>SUM(I75)</f>
        <v>270000</v>
      </c>
    </row>
    <row r="75" spans="1:10" ht="25.5" customHeight="1">
      <c r="A75" s="16" t="s">
        <v>38</v>
      </c>
      <c r="B75" s="14">
        <v>763</v>
      </c>
      <c r="C75" s="15" t="s">
        <v>54</v>
      </c>
      <c r="D75" s="15" t="s">
        <v>88</v>
      </c>
      <c r="E75" s="15" t="s">
        <v>213</v>
      </c>
      <c r="F75" s="15" t="s">
        <v>39</v>
      </c>
      <c r="G75" s="87">
        <f>'прил 5,'!G419</f>
        <v>270000</v>
      </c>
      <c r="H75" s="87">
        <f>'прил 5,'!AH419+'прил 5,'!H419</f>
        <v>270000</v>
      </c>
      <c r="I75" s="87">
        <f>'прил 5,'!AI419+'прил 5,'!I419</f>
        <v>270000</v>
      </c>
    </row>
    <row r="76" spans="1:10" ht="81.75" hidden="1" customHeight="1">
      <c r="A76" s="30" t="s">
        <v>599</v>
      </c>
      <c r="B76" s="14">
        <v>763</v>
      </c>
      <c r="C76" s="15" t="s">
        <v>54</v>
      </c>
      <c r="D76" s="15" t="s">
        <v>88</v>
      </c>
      <c r="E76" s="15" t="s">
        <v>566</v>
      </c>
      <c r="F76" s="15"/>
      <c r="G76" s="70">
        <f>G77</f>
        <v>0</v>
      </c>
      <c r="H76" s="70">
        <v>0</v>
      </c>
      <c r="I76" s="70">
        <v>0</v>
      </c>
      <c r="J76" s="1"/>
    </row>
    <row r="77" spans="1:10" ht="25.5" hidden="1">
      <c r="A77" s="16" t="s">
        <v>36</v>
      </c>
      <c r="B77" s="14">
        <v>763</v>
      </c>
      <c r="C77" s="15" t="s">
        <v>54</v>
      </c>
      <c r="D77" s="15" t="s">
        <v>88</v>
      </c>
      <c r="E77" s="15" t="s">
        <v>566</v>
      </c>
      <c r="F77" s="15" t="s">
        <v>37</v>
      </c>
      <c r="G77" s="70">
        <f>SUM(G78)</f>
        <v>0</v>
      </c>
      <c r="H77" s="70">
        <f>SUM(H78)</f>
        <v>0</v>
      </c>
      <c r="I77" s="70">
        <f>SUM(I78)</f>
        <v>0</v>
      </c>
      <c r="J77" s="1"/>
    </row>
    <row r="78" spans="1:10" ht="25.5" hidden="1" customHeight="1">
      <c r="A78" s="16" t="s">
        <v>38</v>
      </c>
      <c r="B78" s="14">
        <v>763</v>
      </c>
      <c r="C78" s="15" t="s">
        <v>54</v>
      </c>
      <c r="D78" s="15" t="s">
        <v>88</v>
      </c>
      <c r="E78" s="15" t="s">
        <v>566</v>
      </c>
      <c r="F78" s="15" t="s">
        <v>39</v>
      </c>
      <c r="G78" s="70"/>
      <c r="H78" s="70">
        <v>0</v>
      </c>
      <c r="I78" s="70">
        <v>0</v>
      </c>
      <c r="J78" s="1"/>
    </row>
    <row r="79" spans="1:10" ht="23.25" hidden="1" customHeight="1">
      <c r="A79" s="120" t="s">
        <v>568</v>
      </c>
      <c r="B79" s="14">
        <v>763</v>
      </c>
      <c r="C79" s="15" t="s">
        <v>54</v>
      </c>
      <c r="D79" s="15" t="s">
        <v>88</v>
      </c>
      <c r="E79" s="15" t="s">
        <v>567</v>
      </c>
      <c r="F79" s="15"/>
      <c r="G79" s="70">
        <f>G80</f>
        <v>0</v>
      </c>
      <c r="H79" s="70">
        <v>0</v>
      </c>
      <c r="I79" s="70">
        <v>0</v>
      </c>
      <c r="J79" s="1"/>
    </row>
    <row r="80" spans="1:10" ht="25.5" hidden="1">
      <c r="A80" s="16" t="s">
        <v>36</v>
      </c>
      <c r="B80" s="14">
        <v>763</v>
      </c>
      <c r="C80" s="15" t="s">
        <v>54</v>
      </c>
      <c r="D80" s="15" t="s">
        <v>88</v>
      </c>
      <c r="E80" s="15" t="s">
        <v>567</v>
      </c>
      <c r="F80" s="15" t="s">
        <v>37</v>
      </c>
      <c r="G80" s="70">
        <f>SUM(G81)</f>
        <v>0</v>
      </c>
      <c r="H80" s="70">
        <f>SUM(H81)</f>
        <v>0</v>
      </c>
      <c r="I80" s="70">
        <f>SUM(I81)</f>
        <v>0</v>
      </c>
      <c r="J80" s="1"/>
    </row>
    <row r="81" spans="1:10" ht="25.5" hidden="1" customHeight="1">
      <c r="A81" s="16" t="s">
        <v>38</v>
      </c>
      <c r="B81" s="14">
        <v>763</v>
      </c>
      <c r="C81" s="15" t="s">
        <v>54</v>
      </c>
      <c r="D81" s="15" t="s">
        <v>88</v>
      </c>
      <c r="E81" s="15" t="s">
        <v>567</v>
      </c>
      <c r="F81" s="15" t="s">
        <v>39</v>
      </c>
      <c r="G81" s="70"/>
      <c r="H81" s="70">
        <v>0</v>
      </c>
      <c r="I81" s="70">
        <v>0</v>
      </c>
      <c r="J81" s="1"/>
    </row>
    <row r="82" spans="1:10" ht="23.25" hidden="1" customHeight="1">
      <c r="A82" s="120" t="s">
        <v>570</v>
      </c>
      <c r="B82" s="14">
        <v>763</v>
      </c>
      <c r="C82" s="15" t="s">
        <v>54</v>
      </c>
      <c r="D82" s="15" t="s">
        <v>88</v>
      </c>
      <c r="E82" s="15" t="s">
        <v>569</v>
      </c>
      <c r="F82" s="15"/>
      <c r="G82" s="70">
        <f>G83</f>
        <v>0</v>
      </c>
      <c r="H82" s="70">
        <v>0</v>
      </c>
      <c r="I82" s="70">
        <v>0</v>
      </c>
      <c r="J82" s="1"/>
    </row>
    <row r="83" spans="1:10" ht="25.5" hidden="1">
      <c r="A83" s="16" t="s">
        <v>36</v>
      </c>
      <c r="B83" s="14">
        <v>763</v>
      </c>
      <c r="C83" s="15" t="s">
        <v>54</v>
      </c>
      <c r="D83" s="15" t="s">
        <v>88</v>
      </c>
      <c r="E83" s="15" t="s">
        <v>569</v>
      </c>
      <c r="F83" s="15" t="s">
        <v>37</v>
      </c>
      <c r="G83" s="70">
        <f>SUM(G84)</f>
        <v>0</v>
      </c>
      <c r="H83" s="70">
        <f>SUM(H84)</f>
        <v>0</v>
      </c>
      <c r="I83" s="70">
        <f>SUM(I84)</f>
        <v>0</v>
      </c>
      <c r="J83" s="1"/>
    </row>
    <row r="84" spans="1:10" ht="25.5" hidden="1" customHeight="1">
      <c r="A84" s="16" t="s">
        <v>38</v>
      </c>
      <c r="B84" s="14">
        <v>763</v>
      </c>
      <c r="C84" s="15" t="s">
        <v>54</v>
      </c>
      <c r="D84" s="15" t="s">
        <v>88</v>
      </c>
      <c r="E84" s="15" t="s">
        <v>569</v>
      </c>
      <c r="F84" s="15" t="s">
        <v>39</v>
      </c>
      <c r="G84" s="70"/>
      <c r="H84" s="70">
        <v>0</v>
      </c>
      <c r="I84" s="70">
        <v>0</v>
      </c>
      <c r="J84" s="1"/>
    </row>
    <row r="85" spans="1:10" ht="34.5" customHeight="1">
      <c r="A85" s="16" t="s">
        <v>584</v>
      </c>
      <c r="B85" s="14">
        <v>763</v>
      </c>
      <c r="C85" s="15" t="s">
        <v>54</v>
      </c>
      <c r="D85" s="15" t="s">
        <v>88</v>
      </c>
      <c r="E85" s="15" t="s">
        <v>583</v>
      </c>
      <c r="F85" s="15"/>
      <c r="G85" s="70">
        <f>G86</f>
        <v>0</v>
      </c>
      <c r="H85" s="70">
        <f t="shared" ref="H85:I85" si="17">H86</f>
        <v>40000</v>
      </c>
      <c r="I85" s="70">
        <f t="shared" si="17"/>
        <v>40000</v>
      </c>
      <c r="J85" s="1"/>
    </row>
    <row r="86" spans="1:10" ht="25.5">
      <c r="A86" s="16" t="s">
        <v>36</v>
      </c>
      <c r="B86" s="14">
        <v>763</v>
      </c>
      <c r="C86" s="15" t="s">
        <v>54</v>
      </c>
      <c r="D86" s="15" t="s">
        <v>88</v>
      </c>
      <c r="E86" s="15" t="s">
        <v>583</v>
      </c>
      <c r="F86" s="15" t="s">
        <v>37</v>
      </c>
      <c r="G86" s="70">
        <f>SUM(G87)</f>
        <v>0</v>
      </c>
      <c r="H86" s="70">
        <f>SUM(H87)</f>
        <v>40000</v>
      </c>
      <c r="I86" s="70">
        <f>SUM(I87)</f>
        <v>40000</v>
      </c>
      <c r="J86" s="1"/>
    </row>
    <row r="87" spans="1:10" ht="30.75" customHeight="1">
      <c r="A87" s="16" t="s">
        <v>38</v>
      </c>
      <c r="B87" s="14">
        <v>763</v>
      </c>
      <c r="C87" s="15" t="s">
        <v>54</v>
      </c>
      <c r="D87" s="15" t="s">
        <v>88</v>
      </c>
      <c r="E87" s="15" t="s">
        <v>583</v>
      </c>
      <c r="F87" s="15" t="s">
        <v>39</v>
      </c>
      <c r="G87" s="70">
        <f>'прил 5,'!G431</f>
        <v>0</v>
      </c>
      <c r="H87" s="70">
        <f>'прил 5,'!H431</f>
        <v>40000</v>
      </c>
      <c r="I87" s="70">
        <f>'прил 5,'!I431</f>
        <v>40000</v>
      </c>
      <c r="J87" s="1"/>
    </row>
    <row r="88" spans="1:10" ht="34.5" hidden="1" customHeight="1">
      <c r="A88" s="16" t="s">
        <v>793</v>
      </c>
      <c r="B88" s="14">
        <v>763</v>
      </c>
      <c r="C88" s="15" t="s">
        <v>54</v>
      </c>
      <c r="D88" s="15" t="s">
        <v>88</v>
      </c>
      <c r="E88" s="15" t="s">
        <v>792</v>
      </c>
      <c r="F88" s="15"/>
      <c r="G88" s="70">
        <f>G89</f>
        <v>0</v>
      </c>
      <c r="H88" s="70">
        <f>SUM(H89)</f>
        <v>0</v>
      </c>
      <c r="I88" s="70">
        <f>SUM(I89)</f>
        <v>0</v>
      </c>
      <c r="J88" s="1"/>
    </row>
    <row r="89" spans="1:10" ht="25.5" hidden="1">
      <c r="A89" s="16" t="s">
        <v>36</v>
      </c>
      <c r="B89" s="14">
        <v>763</v>
      </c>
      <c r="C89" s="15" t="s">
        <v>54</v>
      </c>
      <c r="D89" s="15" t="s">
        <v>88</v>
      </c>
      <c r="E89" s="15" t="s">
        <v>792</v>
      </c>
      <c r="F89" s="15" t="s">
        <v>37</v>
      </c>
      <c r="G89" s="70">
        <f>SUM(G90)</f>
        <v>0</v>
      </c>
      <c r="H89" s="70">
        <f>SUM(H90)</f>
        <v>0</v>
      </c>
      <c r="I89" s="70">
        <f>SUM(I90)</f>
        <v>0</v>
      </c>
      <c r="J89" s="1"/>
    </row>
    <row r="90" spans="1:10" ht="30.75" hidden="1" customHeight="1">
      <c r="A90" s="16" t="s">
        <v>38</v>
      </c>
      <c r="B90" s="14">
        <v>763</v>
      </c>
      <c r="C90" s="15" t="s">
        <v>54</v>
      </c>
      <c r="D90" s="15" t="s">
        <v>88</v>
      </c>
      <c r="E90" s="15" t="s">
        <v>792</v>
      </c>
      <c r="F90" s="15" t="s">
        <v>39</v>
      </c>
      <c r="G90" s="70"/>
      <c r="H90" s="70">
        <v>0</v>
      </c>
      <c r="I90" s="70">
        <v>0</v>
      </c>
      <c r="J90" s="1"/>
    </row>
    <row r="91" spans="1:10" ht="34.5" hidden="1" customHeight="1">
      <c r="A91" s="16" t="s">
        <v>803</v>
      </c>
      <c r="B91" s="14">
        <v>763</v>
      </c>
      <c r="C91" s="15" t="s">
        <v>54</v>
      </c>
      <c r="D91" s="15" t="s">
        <v>88</v>
      </c>
      <c r="E91" s="15" t="s">
        <v>802</v>
      </c>
      <c r="F91" s="15"/>
      <c r="G91" s="70">
        <f>G92</f>
        <v>0</v>
      </c>
      <c r="H91" s="70">
        <f>SUM(H92)</f>
        <v>0</v>
      </c>
      <c r="I91" s="70">
        <f>SUM(I92)</f>
        <v>0</v>
      </c>
      <c r="J91" s="1"/>
    </row>
    <row r="92" spans="1:10" ht="25.5" hidden="1">
      <c r="A92" s="16" t="s">
        <v>36</v>
      </c>
      <c r="B92" s="14">
        <v>763</v>
      </c>
      <c r="C92" s="15" t="s">
        <v>54</v>
      </c>
      <c r="D92" s="15" t="s">
        <v>88</v>
      </c>
      <c r="E92" s="15" t="s">
        <v>802</v>
      </c>
      <c r="F92" s="15" t="s">
        <v>37</v>
      </c>
      <c r="G92" s="70">
        <f>SUM(G93)</f>
        <v>0</v>
      </c>
      <c r="H92" s="70">
        <f>SUM(H93)</f>
        <v>0</v>
      </c>
      <c r="I92" s="70">
        <f>SUM(I93)</f>
        <v>0</v>
      </c>
      <c r="J92" s="1"/>
    </row>
    <row r="93" spans="1:10" ht="30.75" hidden="1" customHeight="1">
      <c r="A93" s="16" t="s">
        <v>38</v>
      </c>
      <c r="B93" s="14">
        <v>763</v>
      </c>
      <c r="C93" s="15" t="s">
        <v>54</v>
      </c>
      <c r="D93" s="15" t="s">
        <v>88</v>
      </c>
      <c r="E93" s="15" t="s">
        <v>802</v>
      </c>
      <c r="F93" s="15" t="s">
        <v>39</v>
      </c>
      <c r="G93" s="70"/>
      <c r="H93" s="70"/>
      <c r="I93" s="70"/>
      <c r="J93" s="1"/>
    </row>
    <row r="94" spans="1:10" ht="40.5" hidden="1" customHeight="1">
      <c r="A94" s="16" t="s">
        <v>790</v>
      </c>
      <c r="B94" s="14">
        <v>763</v>
      </c>
      <c r="C94" s="15" t="s">
        <v>54</v>
      </c>
      <c r="D94" s="15" t="s">
        <v>173</v>
      </c>
      <c r="E94" s="14" t="s">
        <v>801</v>
      </c>
      <c r="F94" s="14"/>
      <c r="G94" s="70">
        <f>G95</f>
        <v>0</v>
      </c>
      <c r="H94" s="70">
        <f>H96</f>
        <v>0</v>
      </c>
      <c r="I94" s="70">
        <f>I96</f>
        <v>0</v>
      </c>
      <c r="J94" s="1"/>
    </row>
    <row r="95" spans="1:10" ht="25.5" hidden="1">
      <c r="A95" s="16" t="s">
        <v>36</v>
      </c>
      <c r="B95" s="14">
        <v>763</v>
      </c>
      <c r="C95" s="15" t="s">
        <v>54</v>
      </c>
      <c r="D95" s="15" t="s">
        <v>173</v>
      </c>
      <c r="E95" s="14" t="s">
        <v>801</v>
      </c>
      <c r="F95" s="14">
        <v>200</v>
      </c>
      <c r="G95" s="70">
        <f t="shared" ref="G95:I95" si="18">G96</f>
        <v>0</v>
      </c>
      <c r="H95" s="70">
        <f t="shared" si="18"/>
        <v>0</v>
      </c>
      <c r="I95" s="70">
        <f t="shared" si="18"/>
        <v>0</v>
      </c>
      <c r="J95" s="1"/>
    </row>
    <row r="96" spans="1:10" ht="48" hidden="1" customHeight="1">
      <c r="A96" s="16" t="s">
        <v>38</v>
      </c>
      <c r="B96" s="14">
        <v>763</v>
      </c>
      <c r="C96" s="15" t="s">
        <v>54</v>
      </c>
      <c r="D96" s="15" t="s">
        <v>173</v>
      </c>
      <c r="E96" s="14" t="s">
        <v>801</v>
      </c>
      <c r="F96" s="14">
        <v>240</v>
      </c>
      <c r="G96" s="70">
        <f>'прил 5,'!G411</f>
        <v>0</v>
      </c>
      <c r="H96" s="8">
        <v>0</v>
      </c>
      <c r="I96" s="8">
        <v>0</v>
      </c>
      <c r="J96" s="1"/>
    </row>
    <row r="97" spans="1:20" ht="34.5" hidden="1" customHeight="1">
      <c r="A97" s="16" t="s">
        <v>806</v>
      </c>
      <c r="B97" s="14">
        <v>763</v>
      </c>
      <c r="C97" s="15" t="s">
        <v>54</v>
      </c>
      <c r="D97" s="15" t="s">
        <v>88</v>
      </c>
      <c r="E97" s="15" t="s">
        <v>805</v>
      </c>
      <c r="F97" s="15"/>
      <c r="G97" s="70">
        <f>G98</f>
        <v>0</v>
      </c>
      <c r="H97" s="70">
        <f>SUM(H98)</f>
        <v>0</v>
      </c>
      <c r="I97" s="70">
        <f>SUM(I98)</f>
        <v>0</v>
      </c>
      <c r="J97" s="1"/>
    </row>
    <row r="98" spans="1:20" ht="25.5" hidden="1">
      <c r="A98" s="16" t="s">
        <v>36</v>
      </c>
      <c r="B98" s="14">
        <v>763</v>
      </c>
      <c r="C98" s="15" t="s">
        <v>54</v>
      </c>
      <c r="D98" s="15" t="s">
        <v>88</v>
      </c>
      <c r="E98" s="15" t="s">
        <v>805</v>
      </c>
      <c r="F98" s="15" t="s">
        <v>37</v>
      </c>
      <c r="G98" s="70">
        <f>SUM(G99)</f>
        <v>0</v>
      </c>
      <c r="H98" s="70">
        <f>SUM(H99)</f>
        <v>0</v>
      </c>
      <c r="I98" s="70">
        <f>SUM(I99)</f>
        <v>0</v>
      </c>
      <c r="J98" s="1"/>
    </row>
    <row r="99" spans="1:20" ht="30.75" hidden="1" customHeight="1">
      <c r="A99" s="16" t="s">
        <v>38</v>
      </c>
      <c r="B99" s="14">
        <v>763</v>
      </c>
      <c r="C99" s="15" t="s">
        <v>54</v>
      </c>
      <c r="D99" s="15" t="s">
        <v>88</v>
      </c>
      <c r="E99" s="15" t="s">
        <v>805</v>
      </c>
      <c r="F99" s="15" t="s">
        <v>39</v>
      </c>
      <c r="G99" s="70"/>
      <c r="H99" s="70"/>
      <c r="I99" s="70"/>
      <c r="J99" s="1"/>
    </row>
    <row r="100" spans="1:20" s="22" customFormat="1" ht="48" customHeight="1">
      <c r="A100" s="34" t="s">
        <v>831</v>
      </c>
      <c r="B100" s="35">
        <v>793</v>
      </c>
      <c r="C100" s="36" t="s">
        <v>69</v>
      </c>
      <c r="D100" s="36" t="s">
        <v>70</v>
      </c>
      <c r="E100" s="36" t="s">
        <v>263</v>
      </c>
      <c r="F100" s="36"/>
      <c r="G100" s="71">
        <f>G118+G127</f>
        <v>2486977.84</v>
      </c>
      <c r="H100" s="71">
        <f t="shared" ref="H100:I100" si="19">H118+H127</f>
        <v>300000</v>
      </c>
      <c r="I100" s="71">
        <f t="shared" si="19"/>
        <v>300000</v>
      </c>
      <c r="J100" s="21">
        <v>100000</v>
      </c>
      <c r="P100" s="21"/>
      <c r="Q100" s="21"/>
      <c r="R100" s="21"/>
      <c r="S100" s="21"/>
      <c r="T100" s="21"/>
    </row>
    <row r="101" spans="1:20" ht="42.75" hidden="1" customHeight="1">
      <c r="A101" s="16"/>
      <c r="B101" s="14"/>
      <c r="C101" s="15"/>
      <c r="D101" s="15"/>
      <c r="E101" s="15"/>
      <c r="F101" s="15"/>
      <c r="G101" s="87"/>
      <c r="H101" s="87"/>
      <c r="I101" s="87"/>
    </row>
    <row r="102" spans="1:20" s="18" customFormat="1" ht="25.5" hidden="1">
      <c r="A102" s="16" t="s">
        <v>474</v>
      </c>
      <c r="B102" s="15" t="s">
        <v>94</v>
      </c>
      <c r="C102" s="15" t="s">
        <v>26</v>
      </c>
      <c r="D102" s="15" t="s">
        <v>28</v>
      </c>
      <c r="E102" s="15" t="s">
        <v>446</v>
      </c>
      <c r="F102" s="15"/>
      <c r="G102" s="70">
        <f>G103</f>
        <v>0</v>
      </c>
      <c r="H102" s="70">
        <f t="shared" ref="H102:I102" si="20">H103</f>
        <v>0</v>
      </c>
      <c r="I102" s="70">
        <f t="shared" si="20"/>
        <v>0</v>
      </c>
      <c r="J102" s="17"/>
      <c r="P102" s="17"/>
      <c r="Q102" s="17"/>
      <c r="R102" s="17"/>
      <c r="S102" s="17"/>
      <c r="T102" s="17"/>
    </row>
    <row r="103" spans="1:20" s="18" customFormat="1" ht="25.5" hidden="1">
      <c r="A103" s="16" t="s">
        <v>96</v>
      </c>
      <c r="B103" s="15" t="s">
        <v>94</v>
      </c>
      <c r="C103" s="15" t="s">
        <v>26</v>
      </c>
      <c r="D103" s="15" t="s">
        <v>28</v>
      </c>
      <c r="E103" s="15" t="s">
        <v>446</v>
      </c>
      <c r="F103" s="15" t="s">
        <v>349</v>
      </c>
      <c r="G103" s="70">
        <f>G104</f>
        <v>0</v>
      </c>
      <c r="H103" s="70">
        <f>H104</f>
        <v>0</v>
      </c>
      <c r="I103" s="70">
        <f>I104</f>
        <v>0</v>
      </c>
      <c r="J103" s="17"/>
      <c r="P103" s="17"/>
      <c r="Q103" s="17"/>
      <c r="R103" s="17"/>
      <c r="S103" s="17"/>
      <c r="T103" s="17"/>
    </row>
    <row r="104" spans="1:20" s="18" customFormat="1" ht="89.25" hidden="1">
      <c r="A104" s="50" t="s">
        <v>421</v>
      </c>
      <c r="B104" s="15" t="s">
        <v>94</v>
      </c>
      <c r="C104" s="15" t="s">
        <v>26</v>
      </c>
      <c r="D104" s="15" t="s">
        <v>28</v>
      </c>
      <c r="E104" s="15" t="s">
        <v>446</v>
      </c>
      <c r="F104" s="15" t="s">
        <v>420</v>
      </c>
      <c r="G104" s="70">
        <f>'прил 5,'!G737</f>
        <v>0</v>
      </c>
      <c r="H104" s="27">
        <f>'прил 5,'!H737+'прил 5,'!H737</f>
        <v>0</v>
      </c>
      <c r="I104" s="27">
        <f>'прил 5,'!I737+'прил 5,'!I737</f>
        <v>0</v>
      </c>
      <c r="J104" s="17"/>
      <c r="P104" s="17"/>
      <c r="Q104" s="17"/>
      <c r="R104" s="17"/>
      <c r="S104" s="17"/>
      <c r="T104" s="17"/>
    </row>
    <row r="105" spans="1:20" s="18" customFormat="1" ht="25.5" hidden="1" customHeight="1">
      <c r="A105" s="16" t="s">
        <v>518</v>
      </c>
      <c r="B105" s="49">
        <v>795</v>
      </c>
      <c r="C105" s="15" t="s">
        <v>173</v>
      </c>
      <c r="D105" s="15" t="s">
        <v>28</v>
      </c>
      <c r="E105" s="15" t="s">
        <v>517</v>
      </c>
      <c r="F105" s="15"/>
      <c r="G105" s="70">
        <f>G106</f>
        <v>0</v>
      </c>
      <c r="H105" s="70">
        <f t="shared" ref="H105:I105" si="21">H106</f>
        <v>0</v>
      </c>
      <c r="I105" s="70">
        <f t="shared" si="21"/>
        <v>0</v>
      </c>
      <c r="P105" s="17"/>
      <c r="Q105" s="17"/>
      <c r="R105" s="17"/>
      <c r="S105" s="17"/>
      <c r="T105" s="17"/>
    </row>
    <row r="106" spans="1:20" s="18" customFormat="1" ht="48" hidden="1" customHeight="1">
      <c r="A106" s="16" t="s">
        <v>553</v>
      </c>
      <c r="B106" s="49">
        <v>795</v>
      </c>
      <c r="C106" s="15" t="s">
        <v>173</v>
      </c>
      <c r="D106" s="15" t="s">
        <v>28</v>
      </c>
      <c r="E106" s="15" t="s">
        <v>552</v>
      </c>
      <c r="F106" s="15"/>
      <c r="G106" s="70">
        <f>G107</f>
        <v>0</v>
      </c>
      <c r="H106" s="70">
        <f t="shared" ref="H106:I107" si="22">H107</f>
        <v>0</v>
      </c>
      <c r="I106" s="70">
        <f t="shared" si="22"/>
        <v>0</v>
      </c>
      <c r="P106" s="17"/>
      <c r="Q106" s="17"/>
      <c r="R106" s="17"/>
      <c r="S106" s="17"/>
      <c r="T106" s="17"/>
    </row>
    <row r="107" spans="1:20" s="18" customFormat="1" hidden="1">
      <c r="A107" s="16" t="s">
        <v>156</v>
      </c>
      <c r="B107" s="49">
        <v>795</v>
      </c>
      <c r="C107" s="15" t="s">
        <v>173</v>
      </c>
      <c r="D107" s="15" t="s">
        <v>28</v>
      </c>
      <c r="E107" s="15" t="s">
        <v>552</v>
      </c>
      <c r="F107" s="15" t="s">
        <v>157</v>
      </c>
      <c r="G107" s="70">
        <f>G108</f>
        <v>0</v>
      </c>
      <c r="H107" s="70">
        <f t="shared" si="22"/>
        <v>0</v>
      </c>
      <c r="I107" s="70">
        <f t="shared" si="22"/>
        <v>0</v>
      </c>
      <c r="P107" s="17"/>
      <c r="Q107" s="17"/>
      <c r="R107" s="17"/>
      <c r="S107" s="17"/>
      <c r="T107" s="17"/>
    </row>
    <row r="108" spans="1:20" s="18" customFormat="1" hidden="1">
      <c r="A108" s="16" t="s">
        <v>170</v>
      </c>
      <c r="B108" s="49">
        <v>795</v>
      </c>
      <c r="C108" s="15" t="s">
        <v>173</v>
      </c>
      <c r="D108" s="15" t="s">
        <v>28</v>
      </c>
      <c r="E108" s="15" t="s">
        <v>552</v>
      </c>
      <c r="F108" s="15" t="s">
        <v>171</v>
      </c>
      <c r="G108" s="70">
        <f>'прил 5,'!G1985</f>
        <v>0</v>
      </c>
      <c r="H108" s="70">
        <f>'прил 5,'!H1985</f>
        <v>0</v>
      </c>
      <c r="I108" s="70">
        <v>0</v>
      </c>
      <c r="P108" s="17"/>
      <c r="Q108" s="17"/>
      <c r="R108" s="17"/>
      <c r="S108" s="17"/>
      <c r="T108" s="17"/>
    </row>
    <row r="109" spans="1:20" s="18" customFormat="1" ht="56.25" hidden="1" customHeight="1">
      <c r="A109" s="16" t="s">
        <v>597</v>
      </c>
      <c r="B109" s="14">
        <v>757</v>
      </c>
      <c r="C109" s="15" t="s">
        <v>44</v>
      </c>
      <c r="D109" s="15" t="s">
        <v>19</v>
      </c>
      <c r="E109" s="15" t="s">
        <v>596</v>
      </c>
      <c r="F109" s="15"/>
      <c r="G109" s="70">
        <f>G110</f>
        <v>0</v>
      </c>
      <c r="H109" s="70">
        <f t="shared" ref="H109:I110" si="23">H110</f>
        <v>0</v>
      </c>
      <c r="I109" s="70">
        <f t="shared" si="23"/>
        <v>0</v>
      </c>
      <c r="P109" s="17"/>
      <c r="Q109" s="17"/>
      <c r="R109" s="17"/>
      <c r="S109" s="17"/>
      <c r="T109" s="17"/>
    </row>
    <row r="110" spans="1:20" s="18" customFormat="1" ht="25.5" hidden="1">
      <c r="A110" s="16" t="s">
        <v>30</v>
      </c>
      <c r="B110" s="14">
        <v>757</v>
      </c>
      <c r="C110" s="15" t="s">
        <v>44</v>
      </c>
      <c r="D110" s="15" t="s">
        <v>19</v>
      </c>
      <c r="E110" s="15" t="s">
        <v>596</v>
      </c>
      <c r="F110" s="15" t="s">
        <v>31</v>
      </c>
      <c r="G110" s="70">
        <f>G111</f>
        <v>0</v>
      </c>
      <c r="H110" s="70">
        <f t="shared" si="23"/>
        <v>0</v>
      </c>
      <c r="I110" s="70">
        <f t="shared" si="23"/>
        <v>0</v>
      </c>
      <c r="P110" s="17"/>
      <c r="Q110" s="17"/>
      <c r="R110" s="17"/>
      <c r="S110" s="17"/>
      <c r="T110" s="17"/>
    </row>
    <row r="111" spans="1:20" s="18" customFormat="1" hidden="1">
      <c r="A111" s="16" t="s">
        <v>32</v>
      </c>
      <c r="B111" s="14">
        <v>757</v>
      </c>
      <c r="C111" s="15" t="s">
        <v>44</v>
      </c>
      <c r="D111" s="15" t="s">
        <v>19</v>
      </c>
      <c r="E111" s="15" t="s">
        <v>596</v>
      </c>
      <c r="F111" s="15" t="s">
        <v>33</v>
      </c>
      <c r="G111" s="70">
        <f>'прил 5,'!G244</f>
        <v>0</v>
      </c>
      <c r="H111" s="70">
        <v>0</v>
      </c>
      <c r="I111" s="70">
        <v>0</v>
      </c>
      <c r="P111" s="17"/>
      <c r="Q111" s="17"/>
      <c r="R111" s="17"/>
      <c r="S111" s="17"/>
      <c r="T111" s="17"/>
    </row>
    <row r="112" spans="1:20" s="18" customFormat="1" ht="52.5" hidden="1" customHeight="1">
      <c r="A112" s="16" t="s">
        <v>549</v>
      </c>
      <c r="B112" s="15" t="s">
        <v>94</v>
      </c>
      <c r="C112" s="15" t="s">
        <v>26</v>
      </c>
      <c r="D112" s="15" t="s">
        <v>19</v>
      </c>
      <c r="E112" s="15" t="s">
        <v>548</v>
      </c>
      <c r="F112" s="15"/>
      <c r="G112" s="70">
        <f>G113</f>
        <v>0</v>
      </c>
      <c r="H112" s="70">
        <f t="shared" ref="H112:I113" si="24">H113</f>
        <v>0</v>
      </c>
      <c r="I112" s="70">
        <f t="shared" si="24"/>
        <v>0</v>
      </c>
      <c r="P112" s="17"/>
      <c r="Q112" s="17"/>
      <c r="R112" s="17"/>
      <c r="S112" s="17"/>
      <c r="T112" s="17"/>
    </row>
    <row r="113" spans="1:20" s="18" customFormat="1" ht="25.5" hidden="1">
      <c r="A113" s="16" t="s">
        <v>30</v>
      </c>
      <c r="B113" s="15" t="s">
        <v>94</v>
      </c>
      <c r="C113" s="15" t="s">
        <v>26</v>
      </c>
      <c r="D113" s="15" t="s">
        <v>19</v>
      </c>
      <c r="E113" s="15" t="s">
        <v>548</v>
      </c>
      <c r="F113" s="15" t="s">
        <v>31</v>
      </c>
      <c r="G113" s="70">
        <f>G114</f>
        <v>0</v>
      </c>
      <c r="H113" s="70">
        <f t="shared" si="24"/>
        <v>0</v>
      </c>
      <c r="I113" s="70">
        <f t="shared" si="24"/>
        <v>0</v>
      </c>
      <c r="P113" s="17"/>
      <c r="Q113" s="17"/>
      <c r="R113" s="17"/>
      <c r="S113" s="17"/>
      <c r="T113" s="17"/>
    </row>
    <row r="114" spans="1:20" s="18" customFormat="1" hidden="1">
      <c r="A114" s="16" t="s">
        <v>32</v>
      </c>
      <c r="B114" s="15" t="s">
        <v>94</v>
      </c>
      <c r="C114" s="15" t="s">
        <v>26</v>
      </c>
      <c r="D114" s="15" t="s">
        <v>19</v>
      </c>
      <c r="E114" s="15" t="s">
        <v>548</v>
      </c>
      <c r="F114" s="15" t="s">
        <v>33</v>
      </c>
      <c r="G114" s="70"/>
      <c r="H114" s="70">
        <v>0</v>
      </c>
      <c r="I114" s="70">
        <v>0</v>
      </c>
      <c r="P114" s="17"/>
      <c r="Q114" s="17"/>
      <c r="R114" s="17"/>
      <c r="S114" s="17"/>
      <c r="T114" s="17"/>
    </row>
    <row r="115" spans="1:20" ht="42.75" hidden="1" customHeight="1">
      <c r="A115" s="142" t="s">
        <v>836</v>
      </c>
      <c r="B115" s="14">
        <v>757</v>
      </c>
      <c r="C115" s="15" t="s">
        <v>44</v>
      </c>
      <c r="D115" s="15" t="s">
        <v>19</v>
      </c>
      <c r="E115" s="15" t="s">
        <v>835</v>
      </c>
      <c r="F115" s="14"/>
      <c r="G115" s="87">
        <f t="shared" ref="G115:I116" si="25">G116</f>
        <v>0</v>
      </c>
      <c r="H115" s="70">
        <f t="shared" si="25"/>
        <v>0</v>
      </c>
      <c r="I115" s="70">
        <f t="shared" si="25"/>
        <v>0</v>
      </c>
      <c r="J115" s="1"/>
    </row>
    <row r="116" spans="1:20" ht="25.5" hidden="1">
      <c r="A116" s="82" t="s">
        <v>30</v>
      </c>
      <c r="B116" s="14">
        <v>757</v>
      </c>
      <c r="C116" s="15" t="s">
        <v>44</v>
      </c>
      <c r="D116" s="15" t="s">
        <v>19</v>
      </c>
      <c r="E116" s="15" t="s">
        <v>835</v>
      </c>
      <c r="F116" s="15" t="s">
        <v>31</v>
      </c>
      <c r="G116" s="95">
        <f t="shared" si="25"/>
        <v>0</v>
      </c>
      <c r="H116" s="25">
        <f t="shared" si="25"/>
        <v>0</v>
      </c>
      <c r="I116" s="25">
        <f t="shared" si="25"/>
        <v>0</v>
      </c>
      <c r="J116" s="1"/>
    </row>
    <row r="117" spans="1:20" hidden="1">
      <c r="A117" s="82" t="s">
        <v>32</v>
      </c>
      <c r="B117" s="14">
        <v>757</v>
      </c>
      <c r="C117" s="15" t="s">
        <v>44</v>
      </c>
      <c r="D117" s="15" t="s">
        <v>19</v>
      </c>
      <c r="E117" s="15" t="s">
        <v>835</v>
      </c>
      <c r="F117" s="15" t="s">
        <v>33</v>
      </c>
      <c r="G117" s="25"/>
      <c r="H117" s="25">
        <v>0</v>
      </c>
      <c r="I117" s="25">
        <v>0</v>
      </c>
      <c r="J117" s="1"/>
    </row>
    <row r="118" spans="1:20" ht="24" customHeight="1">
      <c r="A118" s="50" t="s">
        <v>953</v>
      </c>
      <c r="B118" s="14">
        <v>793</v>
      </c>
      <c r="C118" s="15" t="s">
        <v>69</v>
      </c>
      <c r="D118" s="15" t="s">
        <v>70</v>
      </c>
      <c r="E118" s="15" t="s">
        <v>522</v>
      </c>
      <c r="F118" s="15"/>
      <c r="G118" s="70">
        <f>G119</f>
        <v>2486977.84</v>
      </c>
      <c r="H118" s="70">
        <f t="shared" ref="H118:I118" si="26">H119</f>
        <v>300000</v>
      </c>
      <c r="I118" s="70">
        <f t="shared" si="26"/>
        <v>300000</v>
      </c>
      <c r="J118" s="1"/>
    </row>
    <row r="119" spans="1:20" ht="21" customHeight="1">
      <c r="A119" s="16" t="s">
        <v>148</v>
      </c>
      <c r="B119" s="14">
        <v>793</v>
      </c>
      <c r="C119" s="15" t="s">
        <v>69</v>
      </c>
      <c r="D119" s="15" t="s">
        <v>70</v>
      </c>
      <c r="E119" s="15" t="s">
        <v>522</v>
      </c>
      <c r="F119" s="15" t="s">
        <v>149</v>
      </c>
      <c r="G119" s="70">
        <f>G120</f>
        <v>2486977.84</v>
      </c>
      <c r="H119" s="70">
        <f t="shared" ref="H119:I119" si="27">H120</f>
        <v>300000</v>
      </c>
      <c r="I119" s="70">
        <f t="shared" si="27"/>
        <v>300000</v>
      </c>
      <c r="J119" s="1"/>
    </row>
    <row r="120" spans="1:20" ht="30.75" customHeight="1">
      <c r="A120" s="16" t="s">
        <v>150</v>
      </c>
      <c r="B120" s="14">
        <v>793</v>
      </c>
      <c r="C120" s="15" t="s">
        <v>69</v>
      </c>
      <c r="D120" s="15" t="s">
        <v>70</v>
      </c>
      <c r="E120" s="15" t="s">
        <v>522</v>
      </c>
      <c r="F120" s="15" t="s">
        <v>151</v>
      </c>
      <c r="G120" s="70">
        <f>'прил 5,'!G1673</f>
        <v>2486977.84</v>
      </c>
      <c r="H120" s="70">
        <f>'прил 5,'!H1673</f>
        <v>300000</v>
      </c>
      <c r="I120" s="70">
        <f>'прил 5,'!I1673</f>
        <v>300000</v>
      </c>
      <c r="J120" s="1"/>
    </row>
    <row r="121" spans="1:20" ht="60" hidden="1" customHeight="1">
      <c r="A121" s="50" t="s">
        <v>275</v>
      </c>
      <c r="B121" s="14">
        <v>793</v>
      </c>
      <c r="C121" s="15" t="s">
        <v>69</v>
      </c>
      <c r="D121" s="15" t="s">
        <v>70</v>
      </c>
      <c r="E121" s="15" t="s">
        <v>274</v>
      </c>
      <c r="F121" s="15"/>
      <c r="G121" s="70">
        <f>G122</f>
        <v>0</v>
      </c>
      <c r="H121" s="70">
        <f t="shared" ref="H121:I121" si="28">H122</f>
        <v>0</v>
      </c>
      <c r="I121" s="70">
        <f t="shared" si="28"/>
        <v>0</v>
      </c>
      <c r="J121" s="1"/>
    </row>
    <row r="122" spans="1:20" ht="21" hidden="1" customHeight="1">
      <c r="A122" s="16" t="s">
        <v>148</v>
      </c>
      <c r="B122" s="14">
        <v>793</v>
      </c>
      <c r="C122" s="15" t="s">
        <v>69</v>
      </c>
      <c r="D122" s="15" t="s">
        <v>70</v>
      </c>
      <c r="E122" s="15" t="s">
        <v>274</v>
      </c>
      <c r="F122" s="15" t="s">
        <v>149</v>
      </c>
      <c r="G122" s="70">
        <f>G123</f>
        <v>0</v>
      </c>
      <c r="H122" s="70">
        <f t="shared" ref="H122:I122" si="29">H123</f>
        <v>0</v>
      </c>
      <c r="I122" s="70">
        <f t="shared" si="29"/>
        <v>0</v>
      </c>
      <c r="J122" s="1"/>
    </row>
    <row r="123" spans="1:20" ht="30.75" hidden="1" customHeight="1">
      <c r="A123" s="16" t="s">
        <v>150</v>
      </c>
      <c r="B123" s="14">
        <v>793</v>
      </c>
      <c r="C123" s="15" t="s">
        <v>69</v>
      </c>
      <c r="D123" s="15" t="s">
        <v>70</v>
      </c>
      <c r="E123" s="15" t="s">
        <v>274</v>
      </c>
      <c r="F123" s="15" t="s">
        <v>151</v>
      </c>
      <c r="G123" s="70">
        <f>'прил 5,'!G1677</f>
        <v>0</v>
      </c>
      <c r="H123" s="70">
        <f>'прил 5,'!H1677</f>
        <v>0</v>
      </c>
      <c r="I123" s="70">
        <f>'прил 5,'!I1677</f>
        <v>0</v>
      </c>
      <c r="J123" s="1"/>
    </row>
    <row r="124" spans="1:20" ht="30.75" hidden="1" customHeight="1">
      <c r="A124" s="16" t="s">
        <v>453</v>
      </c>
      <c r="B124" s="14">
        <v>793</v>
      </c>
      <c r="C124" s="15" t="s">
        <v>69</v>
      </c>
      <c r="D124" s="15" t="s">
        <v>70</v>
      </c>
      <c r="E124" s="15" t="s">
        <v>452</v>
      </c>
      <c r="F124" s="15"/>
      <c r="G124" s="70">
        <f t="shared" ref="G124:I125" si="30">G125</f>
        <v>0</v>
      </c>
      <c r="H124" s="8">
        <f t="shared" si="30"/>
        <v>0</v>
      </c>
      <c r="I124" s="8">
        <f t="shared" si="30"/>
        <v>0</v>
      </c>
    </row>
    <row r="125" spans="1:20" ht="30.75" hidden="1" customHeight="1">
      <c r="A125" s="16" t="s">
        <v>63</v>
      </c>
      <c r="B125" s="14">
        <v>793</v>
      </c>
      <c r="C125" s="15" t="s">
        <v>69</v>
      </c>
      <c r="D125" s="15" t="s">
        <v>70</v>
      </c>
      <c r="E125" s="15" t="s">
        <v>452</v>
      </c>
      <c r="F125" s="15" t="s">
        <v>64</v>
      </c>
      <c r="G125" s="70">
        <f t="shared" si="30"/>
        <v>0</v>
      </c>
      <c r="H125" s="8">
        <f t="shared" si="30"/>
        <v>0</v>
      </c>
      <c r="I125" s="8">
        <f t="shared" si="30"/>
        <v>0</v>
      </c>
    </row>
    <row r="126" spans="1:20" ht="30.75" hidden="1" customHeight="1">
      <c r="A126" s="16" t="s">
        <v>180</v>
      </c>
      <c r="B126" s="14">
        <v>793</v>
      </c>
      <c r="C126" s="15" t="s">
        <v>69</v>
      </c>
      <c r="D126" s="15" t="s">
        <v>70</v>
      </c>
      <c r="E126" s="15" t="s">
        <v>452</v>
      </c>
      <c r="F126" s="15" t="s">
        <v>181</v>
      </c>
      <c r="G126" s="70">
        <f>'прил 5,'!G1680</f>
        <v>0</v>
      </c>
      <c r="H126" s="8">
        <f>'прил 5,'!H1680</f>
        <v>0</v>
      </c>
      <c r="I126" s="8">
        <f>'прил 5,'!I1680</f>
        <v>0</v>
      </c>
    </row>
    <row r="127" spans="1:20" ht="28.5" customHeight="1">
      <c r="A127" s="80" t="s">
        <v>897</v>
      </c>
      <c r="B127" s="14">
        <v>757</v>
      </c>
      <c r="C127" s="15" t="s">
        <v>44</v>
      </c>
      <c r="D127" s="15" t="s">
        <v>19</v>
      </c>
      <c r="E127" s="15" t="s">
        <v>898</v>
      </c>
      <c r="F127" s="14"/>
      <c r="G127" s="70">
        <f t="shared" ref="G127:I128" si="31">G128</f>
        <v>0</v>
      </c>
      <c r="H127" s="70">
        <f t="shared" si="31"/>
        <v>0</v>
      </c>
      <c r="I127" s="70">
        <f t="shared" si="31"/>
        <v>0</v>
      </c>
      <c r="J127" s="176"/>
      <c r="P127" s="1"/>
      <c r="Q127" s="1"/>
      <c r="R127" s="1"/>
      <c r="S127" s="1"/>
      <c r="T127" s="1"/>
    </row>
    <row r="128" spans="1:20" ht="25.5">
      <c r="A128" s="16" t="s">
        <v>30</v>
      </c>
      <c r="B128" s="14">
        <v>757</v>
      </c>
      <c r="C128" s="15" t="s">
        <v>44</v>
      </c>
      <c r="D128" s="15" t="s">
        <v>19</v>
      </c>
      <c r="E128" s="15" t="s">
        <v>898</v>
      </c>
      <c r="F128" s="15" t="s">
        <v>31</v>
      </c>
      <c r="G128" s="25">
        <f t="shared" si="31"/>
        <v>0</v>
      </c>
      <c r="H128" s="25">
        <f t="shared" si="31"/>
        <v>0</v>
      </c>
      <c r="I128" s="25">
        <f t="shared" si="31"/>
        <v>0</v>
      </c>
      <c r="J128" s="64"/>
      <c r="P128" s="1"/>
      <c r="Q128" s="1"/>
      <c r="R128" s="1"/>
      <c r="S128" s="1"/>
      <c r="T128" s="1"/>
    </row>
    <row r="129" spans="1:20">
      <c r="A129" s="16" t="s">
        <v>32</v>
      </c>
      <c r="B129" s="14">
        <v>757</v>
      </c>
      <c r="C129" s="15" t="s">
        <v>44</v>
      </c>
      <c r="D129" s="15" t="s">
        <v>19</v>
      </c>
      <c r="E129" s="15" t="s">
        <v>898</v>
      </c>
      <c r="F129" s="15" t="s">
        <v>33</v>
      </c>
      <c r="G129" s="25">
        <f>'прил 5,'!G143</f>
        <v>0</v>
      </c>
      <c r="H129" s="25">
        <v>0</v>
      </c>
      <c r="I129" s="25">
        <v>0</v>
      </c>
      <c r="J129" s="64"/>
      <c r="P129" s="1"/>
      <c r="Q129" s="1"/>
      <c r="R129" s="1"/>
      <c r="S129" s="1"/>
      <c r="T129" s="1"/>
    </row>
    <row r="130" spans="1:20" s="22" customFormat="1" ht="43.5" customHeight="1">
      <c r="A130" s="233" t="s">
        <v>715</v>
      </c>
      <c r="B130" s="35">
        <v>793</v>
      </c>
      <c r="C130" s="36" t="s">
        <v>19</v>
      </c>
      <c r="D130" s="36" t="s">
        <v>54</v>
      </c>
      <c r="E130" s="35" t="s">
        <v>243</v>
      </c>
      <c r="F130" s="35"/>
      <c r="G130" s="71">
        <f>G131+G137+G136+G150+G143+G140</f>
        <v>1183715</v>
      </c>
      <c r="H130" s="71">
        <f>H131+H137+H136+H150+H143</f>
        <v>969922</v>
      </c>
      <c r="I130" s="71">
        <f>I131+I137+I136+I150+I143</f>
        <v>967368</v>
      </c>
      <c r="J130" s="21">
        <v>25000</v>
      </c>
      <c r="P130" s="21"/>
      <c r="Q130" s="21"/>
      <c r="R130" s="21"/>
      <c r="S130" s="21"/>
      <c r="T130" s="21"/>
    </row>
    <row r="131" spans="1:20" ht="25.5">
      <c r="A131" s="16" t="s">
        <v>323</v>
      </c>
      <c r="B131" s="14">
        <v>793</v>
      </c>
      <c r="C131" s="15" t="s">
        <v>19</v>
      </c>
      <c r="D131" s="15" t="s">
        <v>54</v>
      </c>
      <c r="E131" s="15" t="s">
        <v>244</v>
      </c>
      <c r="F131" s="15"/>
      <c r="G131" s="70">
        <f t="shared" ref="G131:I132" si="32">G132</f>
        <v>35000</v>
      </c>
      <c r="H131" s="87">
        <f t="shared" si="32"/>
        <v>35000</v>
      </c>
      <c r="I131" s="87">
        <f t="shared" si="32"/>
        <v>35000</v>
      </c>
      <c r="J131" s="2">
        <v>190700</v>
      </c>
    </row>
    <row r="132" spans="1:20">
      <c r="A132" s="16" t="s">
        <v>324</v>
      </c>
      <c r="B132" s="14">
        <v>793</v>
      </c>
      <c r="C132" s="15" t="s">
        <v>19</v>
      </c>
      <c r="D132" s="15" t="s">
        <v>54</v>
      </c>
      <c r="E132" s="15" t="s">
        <v>244</v>
      </c>
      <c r="F132" s="15" t="s">
        <v>37</v>
      </c>
      <c r="G132" s="70">
        <f t="shared" si="32"/>
        <v>35000</v>
      </c>
      <c r="H132" s="87">
        <f t="shared" si="32"/>
        <v>35000</v>
      </c>
      <c r="I132" s="87">
        <f t="shared" si="32"/>
        <v>35000</v>
      </c>
      <c r="J132" s="2">
        <v>400000</v>
      </c>
    </row>
    <row r="133" spans="1:20" ht="25.5">
      <c r="A133" s="16" t="s">
        <v>38</v>
      </c>
      <c r="B133" s="14">
        <v>793</v>
      </c>
      <c r="C133" s="15" t="s">
        <v>19</v>
      </c>
      <c r="D133" s="15" t="s">
        <v>54</v>
      </c>
      <c r="E133" s="15" t="s">
        <v>244</v>
      </c>
      <c r="F133" s="15" t="s">
        <v>39</v>
      </c>
      <c r="G133" s="70">
        <f>'прил 5,'!G1130</f>
        <v>35000</v>
      </c>
      <c r="H133" s="87">
        <f>'прил 5,'!H1130</f>
        <v>35000</v>
      </c>
      <c r="I133" s="87">
        <f>'прил 5,'!I1130</f>
        <v>35000</v>
      </c>
      <c r="J133" s="2">
        <f>SUM(J130:J132)</f>
        <v>615700</v>
      </c>
    </row>
    <row r="134" spans="1:20" ht="30.75" customHeight="1">
      <c r="A134" s="16" t="s">
        <v>345</v>
      </c>
      <c r="B134" s="14">
        <v>793</v>
      </c>
      <c r="C134" s="15" t="s">
        <v>54</v>
      </c>
      <c r="D134" s="15" t="s">
        <v>88</v>
      </c>
      <c r="E134" s="14" t="s">
        <v>397</v>
      </c>
      <c r="F134" s="14"/>
      <c r="G134" s="70">
        <f>G136</f>
        <v>414715</v>
      </c>
      <c r="H134" s="87">
        <f>H136</f>
        <v>234922</v>
      </c>
      <c r="I134" s="87">
        <f>I136</f>
        <v>232368</v>
      </c>
    </row>
    <row r="135" spans="1:20">
      <c r="A135" s="16" t="s">
        <v>63</v>
      </c>
      <c r="B135" s="14">
        <v>793</v>
      </c>
      <c r="C135" s="15" t="s">
        <v>54</v>
      </c>
      <c r="D135" s="15" t="s">
        <v>88</v>
      </c>
      <c r="E135" s="14" t="s">
        <v>259</v>
      </c>
      <c r="F135" s="14">
        <v>800</v>
      </c>
      <c r="G135" s="70">
        <f t="shared" ref="G135:I138" si="33">G136</f>
        <v>414715</v>
      </c>
      <c r="H135" s="87">
        <f t="shared" si="33"/>
        <v>234922</v>
      </c>
      <c r="I135" s="87">
        <f t="shared" si="33"/>
        <v>232368</v>
      </c>
    </row>
    <row r="136" spans="1:20" ht="45.75" customHeight="1">
      <c r="A136" s="16" t="s">
        <v>341</v>
      </c>
      <c r="B136" s="14">
        <v>793</v>
      </c>
      <c r="C136" s="15" t="s">
        <v>54</v>
      </c>
      <c r="D136" s="15" t="s">
        <v>88</v>
      </c>
      <c r="E136" s="14" t="s">
        <v>397</v>
      </c>
      <c r="F136" s="14">
        <v>810</v>
      </c>
      <c r="G136" s="70">
        <f>'прил 5,'!G1414</f>
        <v>414715</v>
      </c>
      <c r="H136" s="87">
        <f>'прил 5,'!H1414</f>
        <v>234922</v>
      </c>
      <c r="I136" s="87">
        <f>'прил 5,'!I1414</f>
        <v>232368</v>
      </c>
    </row>
    <row r="137" spans="1:20" ht="47.25" customHeight="1">
      <c r="A137" s="16" t="s">
        <v>111</v>
      </c>
      <c r="B137" s="14">
        <v>793</v>
      </c>
      <c r="C137" s="15" t="s">
        <v>54</v>
      </c>
      <c r="D137" s="15" t="s">
        <v>88</v>
      </c>
      <c r="E137" s="14" t="s">
        <v>259</v>
      </c>
      <c r="F137" s="14"/>
      <c r="G137" s="70">
        <f t="shared" si="33"/>
        <v>700000</v>
      </c>
      <c r="H137" s="87">
        <f t="shared" si="33"/>
        <v>700000</v>
      </c>
      <c r="I137" s="87">
        <f t="shared" si="33"/>
        <v>700000</v>
      </c>
    </row>
    <row r="138" spans="1:20">
      <c r="A138" s="16" t="s">
        <v>63</v>
      </c>
      <c r="B138" s="14">
        <v>793</v>
      </c>
      <c r="C138" s="15" t="s">
        <v>54</v>
      </c>
      <c r="D138" s="15" t="s">
        <v>88</v>
      </c>
      <c r="E138" s="14" t="s">
        <v>259</v>
      </c>
      <c r="F138" s="14">
        <v>800</v>
      </c>
      <c r="G138" s="70">
        <f t="shared" si="33"/>
        <v>700000</v>
      </c>
      <c r="H138" s="87">
        <f t="shared" si="33"/>
        <v>700000</v>
      </c>
      <c r="I138" s="87">
        <f t="shared" si="33"/>
        <v>700000</v>
      </c>
    </row>
    <row r="139" spans="1:20" ht="51" customHeight="1">
      <c r="A139" s="16" t="s">
        <v>341</v>
      </c>
      <c r="B139" s="14">
        <v>793</v>
      </c>
      <c r="C139" s="15" t="s">
        <v>54</v>
      </c>
      <c r="D139" s="15" t="s">
        <v>88</v>
      </c>
      <c r="E139" s="14" t="s">
        <v>259</v>
      </c>
      <c r="F139" s="14">
        <v>810</v>
      </c>
      <c r="G139" s="70">
        <f>'прил 5,'!G1417</f>
        <v>700000</v>
      </c>
      <c r="H139" s="87">
        <f>'прил 5,'!H1417</f>
        <v>700000</v>
      </c>
      <c r="I139" s="87">
        <f>'прил 5,'!I1417</f>
        <v>700000</v>
      </c>
    </row>
    <row r="140" spans="1:20" ht="40.5" hidden="1" customHeight="1">
      <c r="A140" s="16" t="s">
        <v>790</v>
      </c>
      <c r="B140" s="14">
        <v>793</v>
      </c>
      <c r="C140" s="15" t="s">
        <v>54</v>
      </c>
      <c r="D140" s="15" t="s">
        <v>173</v>
      </c>
      <c r="E140" s="14" t="s">
        <v>643</v>
      </c>
      <c r="F140" s="14"/>
      <c r="G140" s="70">
        <f>G141</f>
        <v>0</v>
      </c>
      <c r="H140" s="70">
        <f>H142</f>
        <v>0</v>
      </c>
      <c r="I140" s="70">
        <f>I142</f>
        <v>0</v>
      </c>
      <c r="J140" s="1"/>
    </row>
    <row r="141" spans="1:20" hidden="1">
      <c r="A141" s="16" t="s">
        <v>63</v>
      </c>
      <c r="B141" s="14">
        <v>793</v>
      </c>
      <c r="C141" s="15" t="s">
        <v>54</v>
      </c>
      <c r="D141" s="15" t="s">
        <v>173</v>
      </c>
      <c r="E141" s="14" t="s">
        <v>643</v>
      </c>
      <c r="F141" s="14">
        <v>800</v>
      </c>
      <c r="G141" s="70">
        <f t="shared" ref="G141:I141" si="34">G142</f>
        <v>0</v>
      </c>
      <c r="H141" s="70">
        <f t="shared" si="34"/>
        <v>0</v>
      </c>
      <c r="I141" s="70">
        <f t="shared" si="34"/>
        <v>0</v>
      </c>
      <c r="J141" s="1"/>
    </row>
    <row r="142" spans="1:20" ht="31.5" hidden="1" customHeight="1">
      <c r="A142" s="16" t="s">
        <v>433</v>
      </c>
      <c r="B142" s="14">
        <v>793</v>
      </c>
      <c r="C142" s="15" t="s">
        <v>54</v>
      </c>
      <c r="D142" s="15" t="s">
        <v>173</v>
      </c>
      <c r="E142" s="14" t="s">
        <v>643</v>
      </c>
      <c r="F142" s="14">
        <v>810</v>
      </c>
      <c r="G142" s="70"/>
      <c r="H142" s="8">
        <v>0</v>
      </c>
      <c r="I142" s="8">
        <v>0</v>
      </c>
      <c r="J142" s="1"/>
    </row>
    <row r="143" spans="1:20" ht="47.25" customHeight="1">
      <c r="A143" s="16" t="s">
        <v>960</v>
      </c>
      <c r="B143" s="14">
        <v>793</v>
      </c>
      <c r="C143" s="15" t="s">
        <v>54</v>
      </c>
      <c r="D143" s="15" t="s">
        <v>88</v>
      </c>
      <c r="E143" s="14" t="s">
        <v>959</v>
      </c>
      <c r="F143" s="14"/>
      <c r="G143" s="70">
        <f>G144+G146+G148</f>
        <v>34000</v>
      </c>
      <c r="H143" s="70">
        <f>H144</f>
        <v>0</v>
      </c>
      <c r="I143" s="70">
        <f>I144</f>
        <v>0</v>
      </c>
      <c r="J143" s="1"/>
    </row>
    <row r="144" spans="1:20" ht="30.75" customHeight="1">
      <c r="A144" s="16" t="s">
        <v>324</v>
      </c>
      <c r="B144" s="14">
        <v>793</v>
      </c>
      <c r="C144" s="15" t="s">
        <v>54</v>
      </c>
      <c r="D144" s="15" t="s">
        <v>88</v>
      </c>
      <c r="E144" s="14" t="s">
        <v>959</v>
      </c>
      <c r="F144" s="14">
        <v>200</v>
      </c>
      <c r="G144" s="70">
        <f t="shared" ref="G144:I144" si="35">G145</f>
        <v>34000</v>
      </c>
      <c r="H144" s="70">
        <f t="shared" si="35"/>
        <v>0</v>
      </c>
      <c r="I144" s="70">
        <f t="shared" si="35"/>
        <v>0</v>
      </c>
      <c r="J144" s="1"/>
    </row>
    <row r="145" spans="1:20" ht="33.75" customHeight="1">
      <c r="A145" s="16" t="s">
        <v>38</v>
      </c>
      <c r="B145" s="14">
        <v>793</v>
      </c>
      <c r="C145" s="15" t="s">
        <v>54</v>
      </c>
      <c r="D145" s="15" t="s">
        <v>88</v>
      </c>
      <c r="E145" s="14" t="s">
        <v>959</v>
      </c>
      <c r="F145" s="14">
        <v>240</v>
      </c>
      <c r="G145" s="70">
        <f>'прил 5,'!G1420</f>
        <v>34000</v>
      </c>
      <c r="H145" s="70">
        <v>0</v>
      </c>
      <c r="I145" s="70">
        <v>0</v>
      </c>
      <c r="J145" s="1"/>
    </row>
    <row r="146" spans="1:20" ht="20.25" hidden="1" customHeight="1">
      <c r="A146" s="16" t="s">
        <v>156</v>
      </c>
      <c r="B146" s="14"/>
      <c r="C146" s="15"/>
      <c r="D146" s="15"/>
      <c r="E146" s="14" t="s">
        <v>643</v>
      </c>
      <c r="F146" s="14">
        <v>500</v>
      </c>
      <c r="G146" s="70">
        <f>G147</f>
        <v>0</v>
      </c>
      <c r="H146" s="70"/>
      <c r="I146" s="70"/>
      <c r="J146" s="1"/>
    </row>
    <row r="147" spans="1:20" ht="20.25" hidden="1" customHeight="1">
      <c r="A147" s="16" t="s">
        <v>170</v>
      </c>
      <c r="B147" s="14"/>
      <c r="C147" s="15"/>
      <c r="D147" s="15"/>
      <c r="E147" s="14" t="s">
        <v>643</v>
      </c>
      <c r="F147" s="14">
        <v>520</v>
      </c>
      <c r="G147" s="70">
        <f>'прил 5,'!G1422</f>
        <v>0</v>
      </c>
      <c r="H147" s="70"/>
      <c r="I147" s="70"/>
      <c r="J147" s="1"/>
    </row>
    <row r="148" spans="1:20" ht="21" hidden="1" customHeight="1">
      <c r="A148" s="16" t="s">
        <v>63</v>
      </c>
      <c r="B148" s="14">
        <v>793</v>
      </c>
      <c r="C148" s="15" t="s">
        <v>54</v>
      </c>
      <c r="D148" s="15" t="s">
        <v>88</v>
      </c>
      <c r="E148" s="14" t="s">
        <v>643</v>
      </c>
      <c r="F148" s="14">
        <v>800</v>
      </c>
      <c r="G148" s="128">
        <f>G149</f>
        <v>0</v>
      </c>
      <c r="H148" s="8"/>
      <c r="I148" s="8"/>
      <c r="J148" s="1"/>
    </row>
    <row r="149" spans="1:20" ht="20.25" hidden="1" customHeight="1">
      <c r="A149" s="16" t="s">
        <v>180</v>
      </c>
      <c r="B149" s="14">
        <v>793</v>
      </c>
      <c r="C149" s="15" t="s">
        <v>54</v>
      </c>
      <c r="D149" s="15" t="s">
        <v>88</v>
      </c>
      <c r="E149" s="14" t="s">
        <v>643</v>
      </c>
      <c r="F149" s="14">
        <v>870</v>
      </c>
      <c r="G149" s="128">
        <f>'прил 5,'!G1424</f>
        <v>0</v>
      </c>
      <c r="H149" s="8"/>
      <c r="I149" s="8"/>
      <c r="J149" s="1"/>
    </row>
    <row r="150" spans="1:20" ht="57" hidden="1" customHeight="1">
      <c r="A150" s="16" t="s">
        <v>455</v>
      </c>
      <c r="B150" s="14">
        <v>793</v>
      </c>
      <c r="C150" s="15" t="s">
        <v>54</v>
      </c>
      <c r="D150" s="15" t="s">
        <v>88</v>
      </c>
      <c r="E150" s="14" t="s">
        <v>454</v>
      </c>
      <c r="F150" s="14"/>
      <c r="G150" s="70">
        <f t="shared" ref="G150:I151" si="36">G151</f>
        <v>0</v>
      </c>
      <c r="H150" s="8">
        <f t="shared" si="36"/>
        <v>0</v>
      </c>
      <c r="I150" s="8">
        <f t="shared" si="36"/>
        <v>0</v>
      </c>
    </row>
    <row r="151" spans="1:20" ht="34.5" hidden="1" customHeight="1">
      <c r="A151" s="16" t="s">
        <v>63</v>
      </c>
      <c r="B151" s="14">
        <v>793</v>
      </c>
      <c r="C151" s="15" t="s">
        <v>54</v>
      </c>
      <c r="D151" s="15" t="s">
        <v>88</v>
      </c>
      <c r="E151" s="14" t="s">
        <v>454</v>
      </c>
      <c r="F151" s="14">
        <v>800</v>
      </c>
      <c r="G151" s="70">
        <f t="shared" si="36"/>
        <v>0</v>
      </c>
      <c r="H151" s="8">
        <f t="shared" si="36"/>
        <v>0</v>
      </c>
      <c r="I151" s="8">
        <f t="shared" si="36"/>
        <v>0</v>
      </c>
    </row>
    <row r="152" spans="1:20" ht="42" hidden="1" customHeight="1">
      <c r="A152" s="16" t="s">
        <v>341</v>
      </c>
      <c r="B152" s="14">
        <v>793</v>
      </c>
      <c r="C152" s="15" t="s">
        <v>54</v>
      </c>
      <c r="D152" s="15" t="s">
        <v>88</v>
      </c>
      <c r="E152" s="14" t="s">
        <v>454</v>
      </c>
      <c r="F152" s="14">
        <v>810</v>
      </c>
      <c r="G152" s="70"/>
      <c r="H152" s="8">
        <f>'прил 5,'!H1427</f>
        <v>0</v>
      </c>
      <c r="I152" s="8">
        <f>'прил 5,'!I1427</f>
        <v>0</v>
      </c>
    </row>
    <row r="153" spans="1:20" s="235" customFormat="1" ht="28.5" customHeight="1">
      <c r="A153" s="34" t="s">
        <v>490</v>
      </c>
      <c r="B153" s="35">
        <v>792</v>
      </c>
      <c r="C153" s="36" t="s">
        <v>54</v>
      </c>
      <c r="D153" s="36" t="s">
        <v>123</v>
      </c>
      <c r="E153" s="36" t="s">
        <v>235</v>
      </c>
      <c r="F153" s="36"/>
      <c r="G153" s="71">
        <f>G154+G170+G177+G183+G285+G279+G291+G299+G295</f>
        <v>50461100.399999999</v>
      </c>
      <c r="H153" s="71">
        <f>H154+H170+H177+H183+H285</f>
        <v>36715986</v>
      </c>
      <c r="I153" s="71">
        <f>I154+I170+I177+I183+I285</f>
        <v>38133433</v>
      </c>
      <c r="J153" s="234">
        <v>1500000</v>
      </c>
      <c r="P153" s="234"/>
      <c r="Q153" s="234"/>
      <c r="R153" s="234"/>
      <c r="S153" s="234"/>
      <c r="T153" s="234"/>
    </row>
    <row r="154" spans="1:20" s="18" customFormat="1" ht="86.25" customHeight="1">
      <c r="A154" s="16" t="s">
        <v>905</v>
      </c>
      <c r="B154" s="14">
        <v>793</v>
      </c>
      <c r="C154" s="15" t="s">
        <v>54</v>
      </c>
      <c r="D154" s="15" t="s">
        <v>123</v>
      </c>
      <c r="E154" s="15" t="s">
        <v>101</v>
      </c>
      <c r="F154" s="15"/>
      <c r="G154" s="70">
        <f>G157+G164+G161+G167</f>
        <v>28031443.710000001</v>
      </c>
      <c r="H154" s="70">
        <f t="shared" ref="H154:I154" si="37">H155</f>
        <v>28468393</v>
      </c>
      <c r="I154" s="70">
        <f t="shared" si="37"/>
        <v>29744261</v>
      </c>
      <c r="J154" s="176"/>
    </row>
    <row r="155" spans="1:20" s="18" customFormat="1" ht="76.5" customHeight="1">
      <c r="A155" s="50" t="s">
        <v>910</v>
      </c>
      <c r="B155" s="14">
        <v>793</v>
      </c>
      <c r="C155" s="15" t="s">
        <v>54</v>
      </c>
      <c r="D155" s="15" t="s">
        <v>123</v>
      </c>
      <c r="E155" s="15" t="s">
        <v>909</v>
      </c>
      <c r="F155" s="15"/>
      <c r="G155" s="70">
        <f t="shared" ref="G155:I156" si="38">G156</f>
        <v>25482443.710000001</v>
      </c>
      <c r="H155" s="70">
        <f t="shared" si="38"/>
        <v>28468393</v>
      </c>
      <c r="I155" s="70">
        <f t="shared" si="38"/>
        <v>29744261</v>
      </c>
      <c r="J155" s="176" t="s">
        <v>840</v>
      </c>
    </row>
    <row r="156" spans="1:20" s="18" customFormat="1" ht="15" customHeight="1">
      <c r="A156" s="16" t="s">
        <v>324</v>
      </c>
      <c r="B156" s="14">
        <v>793</v>
      </c>
      <c r="C156" s="15" t="s">
        <v>54</v>
      </c>
      <c r="D156" s="15" t="s">
        <v>123</v>
      </c>
      <c r="E156" s="15" t="s">
        <v>909</v>
      </c>
      <c r="F156" s="15" t="s">
        <v>37</v>
      </c>
      <c r="G156" s="70">
        <f t="shared" si="38"/>
        <v>25482443.710000001</v>
      </c>
      <c r="H156" s="70">
        <f t="shared" si="38"/>
        <v>28468393</v>
      </c>
      <c r="I156" s="70">
        <f t="shared" si="38"/>
        <v>29744261</v>
      </c>
      <c r="J156" s="176"/>
    </row>
    <row r="157" spans="1:20" s="18" customFormat="1" ht="32.25" customHeight="1">
      <c r="A157" s="16" t="s">
        <v>38</v>
      </c>
      <c r="B157" s="14">
        <v>793</v>
      </c>
      <c r="C157" s="15" t="s">
        <v>54</v>
      </c>
      <c r="D157" s="15" t="s">
        <v>123</v>
      </c>
      <c r="E157" s="15" t="s">
        <v>909</v>
      </c>
      <c r="F157" s="15" t="s">
        <v>39</v>
      </c>
      <c r="G157" s="70">
        <f>'прил 5,'!G1370</f>
        <v>25482443.710000001</v>
      </c>
      <c r="H157" s="70">
        <f>'прил 5,'!H1370</f>
        <v>28468393</v>
      </c>
      <c r="I157" s="70">
        <f>'прил 5,'!I1370</f>
        <v>29744261</v>
      </c>
      <c r="J157" s="176"/>
      <c r="K157" s="18" t="s">
        <v>466</v>
      </c>
      <c r="M157" s="18">
        <v>26808448</v>
      </c>
    </row>
    <row r="158" spans="1:20" s="18" customFormat="1" ht="81.75" hidden="1" customHeight="1">
      <c r="A158" s="16" t="s">
        <v>968</v>
      </c>
      <c r="B158" s="14">
        <v>793</v>
      </c>
      <c r="C158" s="15" t="s">
        <v>54</v>
      </c>
      <c r="D158" s="15" t="s">
        <v>123</v>
      </c>
      <c r="E158" s="15" t="s">
        <v>529</v>
      </c>
      <c r="F158" s="15"/>
      <c r="G158" s="70">
        <f>G159</f>
        <v>0</v>
      </c>
      <c r="H158" s="70"/>
      <c r="I158" s="70"/>
      <c r="J158" s="177"/>
      <c r="K158" s="200"/>
      <c r="L158" s="200"/>
      <c r="M158" s="200"/>
      <c r="N158" s="200"/>
      <c r="O158" s="200"/>
      <c r="P158" s="200"/>
      <c r="Q158" s="200"/>
      <c r="R158" s="200"/>
    </row>
    <row r="159" spans="1:20" s="18" customFormat="1" ht="27.75" hidden="1" customHeight="1">
      <c r="A159" s="16" t="s">
        <v>96</v>
      </c>
      <c r="B159" s="14">
        <v>793</v>
      </c>
      <c r="C159" s="15" t="s">
        <v>54</v>
      </c>
      <c r="D159" s="15" t="s">
        <v>123</v>
      </c>
      <c r="E159" s="15" t="s">
        <v>529</v>
      </c>
      <c r="F159" s="15" t="s">
        <v>349</v>
      </c>
      <c r="G159" s="70">
        <f>G160</f>
        <v>0</v>
      </c>
      <c r="H159" s="70"/>
      <c r="I159" s="70"/>
      <c r="J159" s="177"/>
      <c r="K159" s="200"/>
      <c r="L159" s="200"/>
      <c r="M159" s="200"/>
      <c r="N159" s="200"/>
      <c r="O159" s="200"/>
      <c r="P159" s="200"/>
      <c r="Q159" s="200"/>
      <c r="R159" s="200"/>
    </row>
    <row r="160" spans="1:20" s="18" customFormat="1" ht="15" hidden="1" customHeight="1">
      <c r="A160" s="16" t="s">
        <v>350</v>
      </c>
      <c r="B160" s="14">
        <v>793</v>
      </c>
      <c r="C160" s="15" t="s">
        <v>54</v>
      </c>
      <c r="D160" s="15" t="s">
        <v>123</v>
      </c>
      <c r="E160" s="15" t="s">
        <v>529</v>
      </c>
      <c r="F160" s="15" t="s">
        <v>351</v>
      </c>
      <c r="G160" s="70"/>
      <c r="H160" s="70"/>
      <c r="I160" s="70"/>
      <c r="J160" s="177"/>
      <c r="K160" s="200"/>
      <c r="L160" s="200"/>
      <c r="M160" s="200"/>
      <c r="N160" s="200"/>
      <c r="O160" s="200"/>
      <c r="P160" s="200"/>
      <c r="Q160" s="200"/>
      <c r="R160" s="200"/>
    </row>
    <row r="161" spans="1:18" s="18" customFormat="1" ht="33" customHeight="1">
      <c r="A161" s="133" t="s">
        <v>1038</v>
      </c>
      <c r="B161" s="14"/>
      <c r="C161" s="15"/>
      <c r="D161" s="15"/>
      <c r="E161" s="15" t="s">
        <v>1036</v>
      </c>
      <c r="F161" s="15"/>
      <c r="G161" s="70">
        <f>G162</f>
        <v>49000</v>
      </c>
      <c r="H161" s="70"/>
      <c r="I161" s="70"/>
      <c r="J161" s="177"/>
      <c r="K161" s="200"/>
      <c r="L161" s="200"/>
      <c r="M161" s="200"/>
      <c r="N161" s="200"/>
      <c r="O161" s="200"/>
      <c r="P161" s="200"/>
      <c r="Q161" s="200"/>
      <c r="R161" s="200"/>
    </row>
    <row r="162" spans="1:18" s="18" customFormat="1" ht="25.15" customHeight="1">
      <c r="A162" s="16" t="s">
        <v>324</v>
      </c>
      <c r="B162" s="14"/>
      <c r="C162" s="15"/>
      <c r="D162" s="15"/>
      <c r="E162" s="15" t="s">
        <v>1036</v>
      </c>
      <c r="F162" s="15" t="s">
        <v>37</v>
      </c>
      <c r="G162" s="70">
        <f>G163</f>
        <v>49000</v>
      </c>
      <c r="H162" s="70"/>
      <c r="I162" s="70"/>
      <c r="J162" s="177"/>
      <c r="K162" s="200"/>
      <c r="L162" s="200"/>
      <c r="M162" s="200"/>
      <c r="N162" s="200"/>
      <c r="O162" s="200"/>
      <c r="P162" s="200"/>
      <c r="Q162" s="200"/>
      <c r="R162" s="200"/>
    </row>
    <row r="163" spans="1:18" s="18" customFormat="1" ht="27.6" customHeight="1">
      <c r="A163" s="16" t="s">
        <v>38</v>
      </c>
      <c r="B163" s="14"/>
      <c r="C163" s="15"/>
      <c r="D163" s="15"/>
      <c r="E163" s="15" t="s">
        <v>1036</v>
      </c>
      <c r="F163" s="15" t="s">
        <v>39</v>
      </c>
      <c r="G163" s="70">
        <v>49000</v>
      </c>
      <c r="H163" s="70"/>
      <c r="I163" s="70"/>
      <c r="J163" s="177"/>
      <c r="K163" s="200"/>
      <c r="L163" s="200"/>
      <c r="M163" s="200"/>
      <c r="N163" s="200"/>
      <c r="O163" s="200"/>
      <c r="P163" s="200"/>
      <c r="Q163" s="200"/>
      <c r="R163" s="200"/>
    </row>
    <row r="164" spans="1:18" s="18" customFormat="1" ht="76.5" hidden="1" customHeight="1">
      <c r="A164" s="50" t="s">
        <v>1017</v>
      </c>
      <c r="B164" s="14">
        <v>793</v>
      </c>
      <c r="C164" s="15" t="s">
        <v>54</v>
      </c>
      <c r="D164" s="15" t="s">
        <v>123</v>
      </c>
      <c r="E164" s="15" t="s">
        <v>1016</v>
      </c>
      <c r="F164" s="15"/>
      <c r="G164" s="70">
        <f t="shared" ref="G164:I165" si="39">G165</f>
        <v>0</v>
      </c>
      <c r="H164" s="70">
        <f t="shared" si="39"/>
        <v>0</v>
      </c>
      <c r="I164" s="70">
        <f t="shared" si="39"/>
        <v>0</v>
      </c>
      <c r="J164" s="177"/>
      <c r="K164" s="200"/>
      <c r="L164" s="200"/>
      <c r="M164" s="200"/>
      <c r="N164" s="200"/>
      <c r="O164" s="200"/>
      <c r="P164" s="200"/>
      <c r="Q164" s="200"/>
      <c r="R164" s="200"/>
    </row>
    <row r="165" spans="1:18" s="18" customFormat="1" ht="15" hidden="1" customHeight="1">
      <c r="A165" s="16" t="s">
        <v>324</v>
      </c>
      <c r="B165" s="14">
        <v>793</v>
      </c>
      <c r="C165" s="15" t="s">
        <v>54</v>
      </c>
      <c r="D165" s="15" t="s">
        <v>123</v>
      </c>
      <c r="E165" s="15" t="s">
        <v>1016</v>
      </c>
      <c r="F165" s="15" t="s">
        <v>37</v>
      </c>
      <c r="G165" s="70">
        <f t="shared" si="39"/>
        <v>0</v>
      </c>
      <c r="H165" s="70">
        <f t="shared" si="39"/>
        <v>0</v>
      </c>
      <c r="I165" s="70">
        <f t="shared" si="39"/>
        <v>0</v>
      </c>
      <c r="J165" s="177"/>
      <c r="K165" s="200"/>
      <c r="L165" s="200"/>
      <c r="M165" s="200"/>
      <c r="N165" s="200"/>
      <c r="O165" s="200"/>
      <c r="P165" s="200"/>
      <c r="Q165" s="200"/>
      <c r="R165" s="200"/>
    </row>
    <row r="166" spans="1:18" s="18" customFormat="1" ht="32.25" hidden="1" customHeight="1">
      <c r="A166" s="16" t="s">
        <v>38</v>
      </c>
      <c r="B166" s="14">
        <v>793</v>
      </c>
      <c r="C166" s="15" t="s">
        <v>54</v>
      </c>
      <c r="D166" s="15" t="s">
        <v>123</v>
      </c>
      <c r="E166" s="15" t="s">
        <v>1016</v>
      </c>
      <c r="F166" s="15" t="s">
        <v>39</v>
      </c>
      <c r="G166" s="70"/>
      <c r="H166" s="70"/>
      <c r="I166" s="70"/>
      <c r="J166" s="177"/>
      <c r="K166" s="200"/>
      <c r="L166" s="200"/>
      <c r="M166" s="200"/>
      <c r="N166" s="200"/>
      <c r="O166" s="200"/>
      <c r="P166" s="200"/>
      <c r="Q166" s="200"/>
      <c r="R166" s="200"/>
    </row>
    <row r="167" spans="1:18" s="318" customFormat="1" ht="54.75" customHeight="1">
      <c r="A167" s="82" t="s">
        <v>1110</v>
      </c>
      <c r="B167" s="149">
        <v>793</v>
      </c>
      <c r="C167" s="84" t="s">
        <v>54</v>
      </c>
      <c r="D167" s="84" t="s">
        <v>123</v>
      </c>
      <c r="E167" s="84" t="s">
        <v>1112</v>
      </c>
      <c r="F167" s="84"/>
      <c r="G167" s="87">
        <f>G168</f>
        <v>2500000</v>
      </c>
      <c r="H167" s="87"/>
      <c r="I167" s="87"/>
      <c r="J167" s="177"/>
      <c r="K167" s="200"/>
      <c r="L167" s="200"/>
      <c r="M167" s="200"/>
      <c r="N167" s="200"/>
      <c r="O167" s="200"/>
      <c r="P167" s="200"/>
      <c r="Q167" s="200"/>
      <c r="R167" s="200"/>
    </row>
    <row r="168" spans="1:18" s="318" customFormat="1" ht="27.75" customHeight="1">
      <c r="A168" s="82" t="s">
        <v>324</v>
      </c>
      <c r="B168" s="149">
        <v>793</v>
      </c>
      <c r="C168" s="84" t="s">
        <v>54</v>
      </c>
      <c r="D168" s="84" t="s">
        <v>123</v>
      </c>
      <c r="E168" s="84" t="s">
        <v>1112</v>
      </c>
      <c r="F168" s="84" t="s">
        <v>37</v>
      </c>
      <c r="G168" s="87">
        <f>G169</f>
        <v>2500000</v>
      </c>
      <c r="H168" s="87">
        <f>H169</f>
        <v>0</v>
      </c>
      <c r="I168" s="87">
        <f>I169</f>
        <v>0</v>
      </c>
      <c r="J168" s="177"/>
      <c r="K168" s="200"/>
      <c r="L168" s="200"/>
      <c r="M168" s="200"/>
      <c r="N168" s="200"/>
      <c r="O168" s="200"/>
      <c r="P168" s="200"/>
      <c r="Q168" s="200"/>
      <c r="R168" s="200"/>
    </row>
    <row r="169" spans="1:18" s="318" customFormat="1" ht="31.5" customHeight="1">
      <c r="A169" s="82" t="s">
        <v>38</v>
      </c>
      <c r="B169" s="149">
        <v>793</v>
      </c>
      <c r="C169" s="84" t="s">
        <v>54</v>
      </c>
      <c r="D169" s="84" t="s">
        <v>123</v>
      </c>
      <c r="E169" s="84" t="s">
        <v>1112</v>
      </c>
      <c r="F169" s="84" t="s">
        <v>39</v>
      </c>
      <c r="G169" s="87">
        <f>'прил 5,'!G1379</f>
        <v>2500000</v>
      </c>
      <c r="H169" s="87">
        <v>0</v>
      </c>
      <c r="I169" s="87">
        <v>0</v>
      </c>
      <c r="J169" s="177"/>
      <c r="K169" s="200"/>
      <c r="L169" s="200"/>
      <c r="M169" s="200"/>
      <c r="N169" s="200"/>
      <c r="O169" s="200"/>
      <c r="P169" s="200"/>
      <c r="Q169" s="200"/>
      <c r="R169" s="200"/>
    </row>
    <row r="170" spans="1:18" s="18" customFormat="1" ht="86.25" customHeight="1">
      <c r="A170" s="16" t="s">
        <v>908</v>
      </c>
      <c r="B170" s="14">
        <v>793</v>
      </c>
      <c r="C170" s="15" t="s">
        <v>54</v>
      </c>
      <c r="D170" s="15" t="s">
        <v>123</v>
      </c>
      <c r="E170" s="15" t="s">
        <v>105</v>
      </c>
      <c r="F170" s="15"/>
      <c r="G170" s="70">
        <f>G171</f>
        <v>6178948</v>
      </c>
      <c r="H170" s="70">
        <f t="shared" ref="H170:I170" si="40">H171</f>
        <v>6318158</v>
      </c>
      <c r="I170" s="70">
        <f t="shared" si="40"/>
        <v>6459737</v>
      </c>
      <c r="J170" s="176"/>
    </row>
    <row r="171" spans="1:18" s="18" customFormat="1" ht="122.25" customHeight="1">
      <c r="A171" s="80" t="s">
        <v>906</v>
      </c>
      <c r="B171" s="14">
        <v>793</v>
      </c>
      <c r="C171" s="15" t="s">
        <v>54</v>
      </c>
      <c r="D171" s="15" t="s">
        <v>123</v>
      </c>
      <c r="E171" s="15" t="s">
        <v>907</v>
      </c>
      <c r="F171" s="15"/>
      <c r="G171" s="70">
        <f>G172+G174</f>
        <v>6178948</v>
      </c>
      <c r="H171" s="70">
        <f t="shared" ref="H171:I171" si="41">H172+H174</f>
        <v>6318158</v>
      </c>
      <c r="I171" s="70">
        <f t="shared" si="41"/>
        <v>6459737</v>
      </c>
      <c r="J171" s="176"/>
    </row>
    <row r="172" spans="1:18" s="18" customFormat="1" ht="24.75" customHeight="1">
      <c r="A172" s="16" t="s">
        <v>324</v>
      </c>
      <c r="B172" s="49">
        <v>795</v>
      </c>
      <c r="C172" s="15" t="s">
        <v>54</v>
      </c>
      <c r="D172" s="15" t="s">
        <v>123</v>
      </c>
      <c r="E172" s="15" t="s">
        <v>907</v>
      </c>
      <c r="F172" s="15" t="s">
        <v>37</v>
      </c>
      <c r="G172" s="70">
        <f t="shared" ref="G172:I172" si="42">G173</f>
        <v>6178948</v>
      </c>
      <c r="H172" s="70">
        <f t="shared" si="42"/>
        <v>6318158</v>
      </c>
      <c r="I172" s="70">
        <f t="shared" si="42"/>
        <v>6459737</v>
      </c>
      <c r="J172" s="176"/>
    </row>
    <row r="173" spans="1:18" s="18" customFormat="1" ht="30.75" customHeight="1">
      <c r="A173" s="16" t="s">
        <v>38</v>
      </c>
      <c r="B173" s="49">
        <v>795</v>
      </c>
      <c r="C173" s="15" t="s">
        <v>54</v>
      </c>
      <c r="D173" s="15" t="s">
        <v>123</v>
      </c>
      <c r="E173" s="15" t="s">
        <v>907</v>
      </c>
      <c r="F173" s="15" t="s">
        <v>39</v>
      </c>
      <c r="G173" s="70">
        <f>'прил 5,'!G1387</f>
        <v>6178948</v>
      </c>
      <c r="H173" s="70">
        <f>'прил 5,'!H1387</f>
        <v>6318158</v>
      </c>
      <c r="I173" s="70">
        <f>'прил 5,'!I1387</f>
        <v>6459737</v>
      </c>
      <c r="J173" s="176"/>
    </row>
    <row r="174" spans="1:18" s="18" customFormat="1" ht="76.5" hidden="1" customHeight="1">
      <c r="A174" s="50"/>
      <c r="B174" s="14"/>
      <c r="C174" s="15"/>
      <c r="D174" s="15"/>
      <c r="E174" s="15"/>
      <c r="F174" s="15"/>
      <c r="G174" s="70"/>
      <c r="H174" s="70"/>
      <c r="I174" s="70"/>
      <c r="J174" s="176"/>
    </row>
    <row r="175" spans="1:18" s="18" customFormat="1" ht="15" hidden="1" customHeight="1">
      <c r="A175" s="16"/>
      <c r="B175" s="14"/>
      <c r="C175" s="15"/>
      <c r="D175" s="15"/>
      <c r="E175" s="15"/>
      <c r="F175" s="15"/>
      <c r="G175" s="70"/>
      <c r="H175" s="70"/>
      <c r="I175" s="70"/>
      <c r="J175" s="176"/>
    </row>
    <row r="176" spans="1:18" s="18" customFormat="1" ht="32.25" hidden="1" customHeight="1">
      <c r="A176" s="16"/>
      <c r="B176" s="14"/>
      <c r="C176" s="15"/>
      <c r="D176" s="15"/>
      <c r="E176" s="15"/>
      <c r="F176" s="15"/>
      <c r="G176" s="70"/>
      <c r="H176" s="70"/>
      <c r="I176" s="70"/>
      <c r="J176" s="176"/>
    </row>
    <row r="177" spans="1:20" s="18" customFormat="1" ht="106.5" customHeight="1">
      <c r="A177" s="16" t="s">
        <v>995</v>
      </c>
      <c r="B177" s="14">
        <v>793</v>
      </c>
      <c r="C177" s="15" t="s">
        <v>54</v>
      </c>
      <c r="D177" s="15" t="s">
        <v>123</v>
      </c>
      <c r="E177" s="15" t="s">
        <v>996</v>
      </c>
      <c r="F177" s="15"/>
      <c r="G177" s="70">
        <f>G178</f>
        <v>1713626</v>
      </c>
      <c r="H177" s="70">
        <f>H178</f>
        <v>0</v>
      </c>
      <c r="I177" s="70">
        <f>I178</f>
        <v>0</v>
      </c>
      <c r="J177" s="177"/>
      <c r="K177" s="200"/>
      <c r="L177" s="200"/>
      <c r="M177" s="200"/>
      <c r="N177" s="200"/>
      <c r="O177" s="200"/>
      <c r="P177" s="200"/>
      <c r="Q177" s="200"/>
      <c r="R177" s="200"/>
    </row>
    <row r="178" spans="1:20" s="18" customFormat="1" ht="106.5" customHeight="1">
      <c r="A178" s="16" t="s">
        <v>968</v>
      </c>
      <c r="B178" s="14">
        <v>793</v>
      </c>
      <c r="C178" s="15" t="s">
        <v>54</v>
      </c>
      <c r="D178" s="15" t="s">
        <v>123</v>
      </c>
      <c r="E178" s="15" t="s">
        <v>994</v>
      </c>
      <c r="F178" s="15"/>
      <c r="G178" s="70">
        <f>G181+G179</f>
        <v>1713626</v>
      </c>
      <c r="H178" s="70">
        <f t="shared" ref="H178:I178" si="43">H181</f>
        <v>0</v>
      </c>
      <c r="I178" s="70">
        <f t="shared" si="43"/>
        <v>0</v>
      </c>
      <c r="J178" s="177"/>
      <c r="K178" s="200"/>
      <c r="L178" s="200"/>
      <c r="M178" s="200"/>
      <c r="N178" s="200"/>
      <c r="O178" s="200"/>
      <c r="P178" s="200"/>
      <c r="Q178" s="200"/>
      <c r="R178" s="200"/>
    </row>
    <row r="179" spans="1:20" s="18" customFormat="1" ht="27.75" hidden="1" customHeight="1">
      <c r="A179" s="82" t="s">
        <v>324</v>
      </c>
      <c r="B179" s="149">
        <v>793</v>
      </c>
      <c r="C179" s="84" t="s">
        <v>54</v>
      </c>
      <c r="D179" s="84" t="s">
        <v>123</v>
      </c>
      <c r="E179" s="84" t="s">
        <v>994</v>
      </c>
      <c r="F179" s="84" t="s">
        <v>37</v>
      </c>
      <c r="G179" s="87">
        <f>G180</f>
        <v>0</v>
      </c>
      <c r="H179" s="87">
        <f t="shared" ref="H179:I179" si="44">H180</f>
        <v>0</v>
      </c>
      <c r="I179" s="87">
        <f t="shared" si="44"/>
        <v>0</v>
      </c>
      <c r="J179" s="177"/>
      <c r="K179" s="200"/>
      <c r="L179" s="200"/>
      <c r="M179" s="200"/>
      <c r="N179" s="200"/>
      <c r="O179" s="200"/>
      <c r="P179" s="200"/>
      <c r="Q179" s="200"/>
      <c r="R179" s="200"/>
    </row>
    <row r="180" spans="1:20" s="18" customFormat="1" ht="31.5" hidden="1" customHeight="1">
      <c r="A180" s="82" t="s">
        <v>38</v>
      </c>
      <c r="B180" s="149">
        <v>793</v>
      </c>
      <c r="C180" s="84" t="s">
        <v>54</v>
      </c>
      <c r="D180" s="84" t="s">
        <v>123</v>
      </c>
      <c r="E180" s="84" t="s">
        <v>994</v>
      </c>
      <c r="F180" s="84" t="s">
        <v>39</v>
      </c>
      <c r="G180" s="87"/>
      <c r="H180" s="87">
        <v>0</v>
      </c>
      <c r="I180" s="87">
        <v>0</v>
      </c>
      <c r="J180" s="177"/>
      <c r="K180" s="200"/>
      <c r="L180" s="200"/>
      <c r="M180" s="200"/>
      <c r="N180" s="200"/>
      <c r="O180" s="200"/>
      <c r="P180" s="200"/>
      <c r="Q180" s="200"/>
      <c r="R180" s="200"/>
    </row>
    <row r="181" spans="1:20" s="18" customFormat="1" ht="27.75" customHeight="1">
      <c r="A181" s="16" t="s">
        <v>96</v>
      </c>
      <c r="B181" s="14">
        <v>793</v>
      </c>
      <c r="C181" s="15" t="s">
        <v>54</v>
      </c>
      <c r="D181" s="15" t="s">
        <v>123</v>
      </c>
      <c r="E181" s="15" t="s">
        <v>994</v>
      </c>
      <c r="F181" s="15" t="s">
        <v>349</v>
      </c>
      <c r="G181" s="70">
        <f>G182</f>
        <v>1713626</v>
      </c>
      <c r="H181" s="70">
        <f t="shared" ref="H181:I181" si="45">H182</f>
        <v>0</v>
      </c>
      <c r="I181" s="70">
        <f t="shared" si="45"/>
        <v>0</v>
      </c>
      <c r="J181" s="177"/>
      <c r="K181" s="200"/>
      <c r="L181" s="200"/>
      <c r="M181" s="200"/>
      <c r="N181" s="200"/>
      <c r="O181" s="200"/>
      <c r="P181" s="200"/>
      <c r="Q181" s="200"/>
      <c r="R181" s="200"/>
    </row>
    <row r="182" spans="1:20" s="18" customFormat="1" ht="15" customHeight="1">
      <c r="A182" s="16" t="s">
        <v>350</v>
      </c>
      <c r="B182" s="14">
        <v>793</v>
      </c>
      <c r="C182" s="15" t="s">
        <v>54</v>
      </c>
      <c r="D182" s="15" t="s">
        <v>123</v>
      </c>
      <c r="E182" s="15" t="s">
        <v>994</v>
      </c>
      <c r="F182" s="15" t="s">
        <v>351</v>
      </c>
      <c r="G182" s="70">
        <f>'прил 5,'!G1383</f>
        <v>1713626</v>
      </c>
      <c r="H182" s="70">
        <v>0</v>
      </c>
      <c r="I182" s="70">
        <v>0</v>
      </c>
      <c r="J182" s="177"/>
      <c r="K182" s="200"/>
      <c r="L182" s="200"/>
      <c r="M182" s="200"/>
      <c r="N182" s="200"/>
      <c r="O182" s="200"/>
      <c r="P182" s="200"/>
      <c r="Q182" s="200"/>
      <c r="R182" s="200"/>
    </row>
    <row r="183" spans="1:20" s="46" customFormat="1" ht="18" customHeight="1">
      <c r="A183" s="16" t="s">
        <v>344</v>
      </c>
      <c r="B183" s="14">
        <v>793</v>
      </c>
      <c r="C183" s="15" t="s">
        <v>54</v>
      </c>
      <c r="D183" s="15" t="s">
        <v>44</v>
      </c>
      <c r="E183" s="15" t="s">
        <v>97</v>
      </c>
      <c r="F183" s="15"/>
      <c r="G183" s="87">
        <f>G184+G187+G190+G276</f>
        <v>7056128.1399999997</v>
      </c>
      <c r="H183" s="87">
        <f t="shared" ref="H183:I183" si="46">H184</f>
        <v>1929435</v>
      </c>
      <c r="I183" s="87">
        <f t="shared" si="46"/>
        <v>1929435</v>
      </c>
      <c r="J183" s="110">
        <v>2835500</v>
      </c>
      <c r="P183" s="110"/>
      <c r="Q183" s="110"/>
      <c r="R183" s="110"/>
      <c r="S183" s="110"/>
      <c r="T183" s="110"/>
    </row>
    <row r="184" spans="1:20" s="46" customFormat="1" ht="44.25" customHeight="1">
      <c r="A184" s="16" t="s">
        <v>339</v>
      </c>
      <c r="B184" s="14">
        <v>793</v>
      </c>
      <c r="C184" s="15" t="s">
        <v>54</v>
      </c>
      <c r="D184" s="15" t="s">
        <v>44</v>
      </c>
      <c r="E184" s="15" t="s">
        <v>338</v>
      </c>
      <c r="F184" s="15"/>
      <c r="G184" s="87">
        <f t="shared" ref="G184:I185" si="47">G185</f>
        <v>1719320.76</v>
      </c>
      <c r="H184" s="87">
        <f t="shared" si="47"/>
        <v>1929435</v>
      </c>
      <c r="I184" s="87">
        <f t="shared" si="47"/>
        <v>1929435</v>
      </c>
      <c r="J184" s="110">
        <v>10491350</v>
      </c>
      <c r="P184" s="110"/>
      <c r="Q184" s="110"/>
      <c r="R184" s="110"/>
      <c r="S184" s="110"/>
      <c r="T184" s="110"/>
    </row>
    <row r="185" spans="1:20" s="46" customFormat="1" ht="15.75" customHeight="1">
      <c r="A185" s="16" t="s">
        <v>324</v>
      </c>
      <c r="B185" s="14">
        <v>793</v>
      </c>
      <c r="C185" s="15" t="s">
        <v>54</v>
      </c>
      <c r="D185" s="15" t="s">
        <v>44</v>
      </c>
      <c r="E185" s="15" t="s">
        <v>338</v>
      </c>
      <c r="F185" s="15" t="s">
        <v>37</v>
      </c>
      <c r="G185" s="87">
        <f t="shared" si="47"/>
        <v>1719320.76</v>
      </c>
      <c r="H185" s="87">
        <f t="shared" si="47"/>
        <v>1929435</v>
      </c>
      <c r="I185" s="87">
        <f t="shared" si="47"/>
        <v>1929435</v>
      </c>
      <c r="J185" s="110">
        <v>15028150</v>
      </c>
      <c r="P185" s="110"/>
      <c r="Q185" s="110"/>
      <c r="R185" s="110"/>
      <c r="S185" s="110"/>
      <c r="T185" s="110"/>
    </row>
    <row r="186" spans="1:20" s="46" customFormat="1" ht="44.25" customHeight="1">
      <c r="A186" s="16" t="s">
        <v>38</v>
      </c>
      <c r="B186" s="14">
        <v>793</v>
      </c>
      <c r="C186" s="15" t="s">
        <v>54</v>
      </c>
      <c r="D186" s="15" t="s">
        <v>44</v>
      </c>
      <c r="E186" s="15" t="s">
        <v>338</v>
      </c>
      <c r="F186" s="15" t="s">
        <v>39</v>
      </c>
      <c r="G186" s="70">
        <f>'прил 5,'!G1355</f>
        <v>1719320.76</v>
      </c>
      <c r="H186" s="70">
        <f>'прил 5,'!H1355</f>
        <v>1929435</v>
      </c>
      <c r="I186" s="70">
        <f>'прил 5,'!I1355</f>
        <v>1929435</v>
      </c>
      <c r="J186" s="110">
        <v>5548000</v>
      </c>
      <c r="P186" s="110"/>
      <c r="Q186" s="110"/>
      <c r="R186" s="110"/>
      <c r="S186" s="110"/>
      <c r="T186" s="110"/>
    </row>
    <row r="187" spans="1:20" s="46" customFormat="1" ht="75" hidden="1" customHeight="1">
      <c r="A187" s="82" t="s">
        <v>709</v>
      </c>
      <c r="B187" s="14">
        <v>793</v>
      </c>
      <c r="C187" s="15" t="s">
        <v>54</v>
      </c>
      <c r="D187" s="15" t="s">
        <v>44</v>
      </c>
      <c r="E187" s="15" t="s">
        <v>708</v>
      </c>
      <c r="F187" s="15"/>
      <c r="G187" s="70">
        <f t="shared" ref="G187:I188" si="48">G188</f>
        <v>0</v>
      </c>
      <c r="H187" s="70">
        <f t="shared" si="48"/>
        <v>0</v>
      </c>
      <c r="I187" s="70">
        <f t="shared" si="48"/>
        <v>0</v>
      </c>
      <c r="P187" s="110"/>
      <c r="Q187" s="110"/>
      <c r="R187" s="110"/>
      <c r="S187" s="110"/>
      <c r="T187" s="110"/>
    </row>
    <row r="188" spans="1:20" s="46" customFormat="1" ht="27.75" hidden="1" customHeight="1">
      <c r="A188" s="82" t="s">
        <v>457</v>
      </c>
      <c r="B188" s="14">
        <v>793</v>
      </c>
      <c r="C188" s="15" t="s">
        <v>54</v>
      </c>
      <c r="D188" s="15" t="s">
        <v>44</v>
      </c>
      <c r="E188" s="15" t="s">
        <v>708</v>
      </c>
      <c r="F188" s="15" t="s">
        <v>64</v>
      </c>
      <c r="G188" s="70">
        <f t="shared" si="48"/>
        <v>0</v>
      </c>
      <c r="H188" s="70">
        <f t="shared" si="48"/>
        <v>0</v>
      </c>
      <c r="I188" s="70">
        <f t="shared" si="48"/>
        <v>0</v>
      </c>
      <c r="P188" s="110"/>
      <c r="Q188" s="110"/>
      <c r="R188" s="110"/>
      <c r="S188" s="110"/>
      <c r="T188" s="110"/>
    </row>
    <row r="189" spans="1:20" s="46" customFormat="1" ht="31.5" hidden="1" customHeight="1">
      <c r="A189" s="82" t="s">
        <v>38</v>
      </c>
      <c r="B189" s="14">
        <v>793</v>
      </c>
      <c r="C189" s="15" t="s">
        <v>54</v>
      </c>
      <c r="D189" s="15" t="s">
        <v>44</v>
      </c>
      <c r="E189" s="15" t="s">
        <v>708</v>
      </c>
      <c r="F189" s="15" t="s">
        <v>342</v>
      </c>
      <c r="G189" s="70"/>
      <c r="H189" s="70">
        <v>0</v>
      </c>
      <c r="I189" s="70">
        <v>0</v>
      </c>
      <c r="P189" s="110"/>
      <c r="Q189" s="110"/>
      <c r="R189" s="110"/>
      <c r="S189" s="110"/>
      <c r="T189" s="110"/>
    </row>
    <row r="190" spans="1:20" s="46" customFormat="1" ht="75" hidden="1" customHeight="1">
      <c r="A190" s="82" t="s">
        <v>784</v>
      </c>
      <c r="B190" s="14">
        <v>793</v>
      </c>
      <c r="C190" s="15" t="s">
        <v>54</v>
      </c>
      <c r="D190" s="15" t="s">
        <v>44</v>
      </c>
      <c r="E190" s="15" t="s">
        <v>783</v>
      </c>
      <c r="F190" s="15"/>
      <c r="G190" s="70">
        <f t="shared" ref="G190:I191" si="49">G191</f>
        <v>0</v>
      </c>
      <c r="H190" s="70">
        <f t="shared" si="49"/>
        <v>0</v>
      </c>
      <c r="I190" s="70">
        <f t="shared" si="49"/>
        <v>0</v>
      </c>
      <c r="P190" s="110"/>
      <c r="Q190" s="110"/>
      <c r="R190" s="110"/>
      <c r="S190" s="110"/>
      <c r="T190" s="110"/>
    </row>
    <row r="191" spans="1:20" s="46" customFormat="1" ht="27.75" hidden="1" customHeight="1">
      <c r="A191" s="82" t="s">
        <v>457</v>
      </c>
      <c r="B191" s="14">
        <v>793</v>
      </c>
      <c r="C191" s="15" t="s">
        <v>54</v>
      </c>
      <c r="D191" s="15" t="s">
        <v>44</v>
      </c>
      <c r="E191" s="15" t="s">
        <v>783</v>
      </c>
      <c r="F191" s="15" t="s">
        <v>37</v>
      </c>
      <c r="G191" s="70">
        <f t="shared" si="49"/>
        <v>0</v>
      </c>
      <c r="H191" s="70">
        <f t="shared" si="49"/>
        <v>0</v>
      </c>
      <c r="I191" s="70">
        <f t="shared" si="49"/>
        <v>0</v>
      </c>
      <c r="P191" s="110"/>
      <c r="Q191" s="110"/>
      <c r="R191" s="110"/>
      <c r="S191" s="110"/>
      <c r="T191" s="110"/>
    </row>
    <row r="192" spans="1:20" s="46" customFormat="1" ht="31.5" hidden="1" customHeight="1">
      <c r="A192" s="82" t="s">
        <v>38</v>
      </c>
      <c r="B192" s="14">
        <v>793</v>
      </c>
      <c r="C192" s="15" t="s">
        <v>54</v>
      </c>
      <c r="D192" s="15" t="s">
        <v>44</v>
      </c>
      <c r="E192" s="15" t="s">
        <v>783</v>
      </c>
      <c r="F192" s="15" t="s">
        <v>39</v>
      </c>
      <c r="G192" s="70"/>
      <c r="H192" s="70">
        <v>0</v>
      </c>
      <c r="I192" s="70">
        <v>0</v>
      </c>
      <c r="P192" s="110"/>
      <c r="Q192" s="110"/>
      <c r="R192" s="110"/>
      <c r="S192" s="110"/>
      <c r="T192" s="110"/>
    </row>
    <row r="193" spans="1:20" s="3" customFormat="1" ht="20.25" hidden="1" customHeight="1">
      <c r="A193" s="77" t="s">
        <v>172</v>
      </c>
      <c r="B193" s="49">
        <v>795</v>
      </c>
      <c r="C193" s="15" t="s">
        <v>54</v>
      </c>
      <c r="D193" s="15" t="s">
        <v>123</v>
      </c>
      <c r="E193" s="15"/>
      <c r="F193" s="15"/>
      <c r="G193" s="129">
        <f>G153-G183</f>
        <v>43404972.259999998</v>
      </c>
      <c r="H193" s="129">
        <f>H153-H183</f>
        <v>34786551</v>
      </c>
      <c r="I193" s="129">
        <f>I153-I183</f>
        <v>36203998</v>
      </c>
      <c r="J193" s="111">
        <f>SUM(J153:J186)</f>
        <v>35403000</v>
      </c>
      <c r="P193" s="111"/>
      <c r="Q193" s="111"/>
      <c r="R193" s="111"/>
      <c r="S193" s="111"/>
      <c r="T193" s="111"/>
    </row>
    <row r="194" spans="1:20" s="18" customFormat="1" ht="27" hidden="1" customHeight="1">
      <c r="A194" s="16" t="s">
        <v>490</v>
      </c>
      <c r="B194" s="49">
        <v>795</v>
      </c>
      <c r="C194" s="15" t="s">
        <v>54</v>
      </c>
      <c r="D194" s="15" t="s">
        <v>123</v>
      </c>
      <c r="E194" s="15" t="s">
        <v>235</v>
      </c>
      <c r="F194" s="15"/>
      <c r="G194" s="87" t="e">
        <f>G201+G231+#REF!+#REF!+#REF!+#REF!+#REF!+G195+#REF!+#REF!+#REF!</f>
        <v>#REF!</v>
      </c>
      <c r="H194" s="87" t="e">
        <f>H201+H231+#REF!+#REF!+#REF!+#REF!+#REF!+H195+#REF!+#REF!</f>
        <v>#REF!</v>
      </c>
      <c r="I194" s="87" t="e">
        <f>I201+I231+#REF!+#REF!+#REF!+#REF!+#REF!+I195+#REF!+#REF!</f>
        <v>#REF!</v>
      </c>
      <c r="J194" s="17"/>
      <c r="P194" s="17"/>
      <c r="Q194" s="17"/>
      <c r="R194" s="17"/>
      <c r="S194" s="17"/>
      <c r="T194" s="17"/>
    </row>
    <row r="195" spans="1:20" s="18" customFormat="1" ht="39.75" hidden="1" customHeight="1">
      <c r="A195" s="16" t="s">
        <v>400</v>
      </c>
      <c r="B195" s="49">
        <v>795</v>
      </c>
      <c r="C195" s="15" t="s">
        <v>54</v>
      </c>
      <c r="D195" s="15" t="s">
        <v>123</v>
      </c>
      <c r="E195" s="15" t="s">
        <v>399</v>
      </c>
      <c r="F195" s="15"/>
      <c r="G195" s="87">
        <f t="shared" ref="G195:I196" si="50">G196</f>
        <v>0</v>
      </c>
      <c r="H195" s="87">
        <f t="shared" si="50"/>
        <v>0</v>
      </c>
      <c r="I195" s="87">
        <f t="shared" si="50"/>
        <v>0</v>
      </c>
      <c r="J195" s="17"/>
      <c r="P195" s="17"/>
      <c r="Q195" s="17"/>
      <c r="R195" s="17"/>
      <c r="S195" s="17"/>
      <c r="T195" s="17"/>
    </row>
    <row r="196" spans="1:20" s="18" customFormat="1" ht="27" hidden="1" customHeight="1">
      <c r="A196" s="16" t="s">
        <v>156</v>
      </c>
      <c r="B196" s="49">
        <v>795</v>
      </c>
      <c r="C196" s="15" t="s">
        <v>54</v>
      </c>
      <c r="D196" s="15" t="s">
        <v>123</v>
      </c>
      <c r="E196" s="15" t="s">
        <v>399</v>
      </c>
      <c r="F196" s="15" t="s">
        <v>157</v>
      </c>
      <c r="G196" s="87">
        <f t="shared" si="50"/>
        <v>0</v>
      </c>
      <c r="H196" s="87">
        <f t="shared" si="50"/>
        <v>0</v>
      </c>
      <c r="I196" s="87">
        <f t="shared" si="50"/>
        <v>0</v>
      </c>
      <c r="J196" s="17"/>
      <c r="P196" s="17"/>
      <c r="Q196" s="17"/>
      <c r="R196" s="17"/>
      <c r="S196" s="17"/>
      <c r="T196" s="17"/>
    </row>
    <row r="197" spans="1:20" s="18" customFormat="1" ht="27" hidden="1" customHeight="1">
      <c r="A197" s="16" t="s">
        <v>170</v>
      </c>
      <c r="B197" s="49">
        <v>795</v>
      </c>
      <c r="C197" s="15" t="s">
        <v>54</v>
      </c>
      <c r="D197" s="15" t="s">
        <v>123</v>
      </c>
      <c r="E197" s="15" t="s">
        <v>399</v>
      </c>
      <c r="F197" s="15" t="s">
        <v>171</v>
      </c>
      <c r="G197" s="87"/>
      <c r="H197" s="87"/>
      <c r="I197" s="87"/>
      <c r="J197" s="17"/>
      <c r="P197" s="17"/>
      <c r="Q197" s="17"/>
      <c r="R197" s="17"/>
      <c r="S197" s="17"/>
      <c r="T197" s="17"/>
    </row>
    <row r="198" spans="1:20" s="18" customFormat="1" ht="27" hidden="1" customHeight="1">
      <c r="A198" s="16"/>
      <c r="B198" s="49"/>
      <c r="C198" s="15"/>
      <c r="D198" s="15"/>
      <c r="E198" s="15"/>
      <c r="F198" s="15"/>
      <c r="G198" s="87"/>
      <c r="H198" s="87"/>
      <c r="I198" s="87"/>
      <c r="J198" s="17"/>
      <c r="P198" s="17"/>
      <c r="Q198" s="17"/>
      <c r="R198" s="17"/>
      <c r="S198" s="17"/>
      <c r="T198" s="17"/>
    </row>
    <row r="199" spans="1:20" s="18" customFormat="1" ht="27" hidden="1" customHeight="1">
      <c r="A199" s="16"/>
      <c r="B199" s="49"/>
      <c r="C199" s="15"/>
      <c r="D199" s="15"/>
      <c r="E199" s="15"/>
      <c r="F199" s="15"/>
      <c r="G199" s="87"/>
      <c r="H199" s="87"/>
      <c r="I199" s="87"/>
      <c r="J199" s="17"/>
      <c r="P199" s="17"/>
      <c r="Q199" s="17"/>
      <c r="R199" s="17"/>
      <c r="S199" s="17"/>
      <c r="T199" s="17"/>
    </row>
    <row r="200" spans="1:20" s="18" customFormat="1" ht="27" hidden="1" customHeight="1">
      <c r="A200" s="16"/>
      <c r="B200" s="49"/>
      <c r="C200" s="15"/>
      <c r="D200" s="15"/>
      <c r="E200" s="15"/>
      <c r="F200" s="15"/>
      <c r="G200" s="87"/>
      <c r="H200" s="87"/>
      <c r="I200" s="87"/>
      <c r="J200" s="17"/>
      <c r="P200" s="17"/>
      <c r="Q200" s="17"/>
      <c r="R200" s="17"/>
      <c r="S200" s="17"/>
      <c r="T200" s="17"/>
    </row>
    <row r="201" spans="1:20" s="18" customFormat="1" ht="66" hidden="1" customHeight="1">
      <c r="A201" s="50" t="s">
        <v>103</v>
      </c>
      <c r="B201" s="14">
        <v>793</v>
      </c>
      <c r="C201" s="15" t="s">
        <v>54</v>
      </c>
      <c r="D201" s="15" t="s">
        <v>123</v>
      </c>
      <c r="E201" s="15" t="s">
        <v>101</v>
      </c>
      <c r="F201" s="15"/>
      <c r="G201" s="70">
        <f t="shared" ref="G201:I201" si="51">G205+G208+G221+G216+G213+G228+G202</f>
        <v>0</v>
      </c>
      <c r="H201" s="70">
        <f t="shared" si="51"/>
        <v>0</v>
      </c>
      <c r="I201" s="70">
        <f t="shared" si="51"/>
        <v>0</v>
      </c>
      <c r="J201" s="17"/>
      <c r="L201" s="17">
        <f>G212+G227+G236+G245+G251</f>
        <v>0</v>
      </c>
      <c r="P201" s="17"/>
      <c r="Q201" s="17"/>
      <c r="R201" s="17"/>
      <c r="S201" s="17"/>
      <c r="T201" s="17"/>
    </row>
    <row r="202" spans="1:20" s="18" customFormat="1" ht="76.5" hidden="1" customHeight="1">
      <c r="A202" s="50" t="s">
        <v>669</v>
      </c>
      <c r="B202" s="49">
        <v>795</v>
      </c>
      <c r="C202" s="15" t="s">
        <v>54</v>
      </c>
      <c r="D202" s="15" t="s">
        <v>123</v>
      </c>
      <c r="E202" s="15" t="s">
        <v>668</v>
      </c>
      <c r="F202" s="15"/>
      <c r="G202" s="70">
        <f t="shared" ref="G202:I203" si="52">G203</f>
        <v>0</v>
      </c>
      <c r="H202" s="70">
        <f t="shared" si="52"/>
        <v>0</v>
      </c>
      <c r="I202" s="70">
        <f t="shared" si="52"/>
        <v>0</v>
      </c>
      <c r="P202" s="17"/>
      <c r="Q202" s="17"/>
      <c r="R202" s="17"/>
      <c r="S202" s="17"/>
      <c r="T202" s="17"/>
    </row>
    <row r="203" spans="1:20" s="18" customFormat="1" ht="15" hidden="1" customHeight="1">
      <c r="A203" s="16" t="s">
        <v>324</v>
      </c>
      <c r="B203" s="49">
        <v>795</v>
      </c>
      <c r="C203" s="15" t="s">
        <v>54</v>
      </c>
      <c r="D203" s="15" t="s">
        <v>123</v>
      </c>
      <c r="E203" s="15" t="s">
        <v>668</v>
      </c>
      <c r="F203" s="15" t="s">
        <v>37</v>
      </c>
      <c r="G203" s="70">
        <f t="shared" si="52"/>
        <v>0</v>
      </c>
      <c r="H203" s="70">
        <f t="shared" si="52"/>
        <v>0</v>
      </c>
      <c r="I203" s="70">
        <f t="shared" si="52"/>
        <v>0</v>
      </c>
      <c r="P203" s="17"/>
      <c r="Q203" s="17"/>
      <c r="R203" s="17"/>
      <c r="S203" s="17"/>
      <c r="T203" s="17"/>
    </row>
    <row r="204" spans="1:20" s="18" customFormat="1" ht="32.25" hidden="1" customHeight="1">
      <c r="A204" s="16" t="s">
        <v>38</v>
      </c>
      <c r="B204" s="49">
        <v>795</v>
      </c>
      <c r="C204" s="15" t="s">
        <v>54</v>
      </c>
      <c r="D204" s="15" t="s">
        <v>123</v>
      </c>
      <c r="E204" s="15" t="s">
        <v>668</v>
      </c>
      <c r="F204" s="15" t="s">
        <v>39</v>
      </c>
      <c r="G204" s="70">
        <f>'прил 5,'!G1811</f>
        <v>0</v>
      </c>
      <c r="H204" s="70">
        <f>'прил 5,'!H1811</f>
        <v>0</v>
      </c>
      <c r="I204" s="70">
        <f>'прил 5,'!I1811</f>
        <v>0</v>
      </c>
      <c r="J204" s="18" t="s">
        <v>466</v>
      </c>
      <c r="L204" s="18">
        <v>26808448</v>
      </c>
      <c r="P204" s="17"/>
      <c r="Q204" s="17"/>
      <c r="R204" s="17"/>
      <c r="S204" s="17"/>
      <c r="T204" s="17"/>
    </row>
    <row r="205" spans="1:20" s="18" customFormat="1" ht="53.25" hidden="1" customHeight="1">
      <c r="A205" s="50" t="s">
        <v>104</v>
      </c>
      <c r="B205" s="49">
        <v>795</v>
      </c>
      <c r="C205" s="15" t="s">
        <v>54</v>
      </c>
      <c r="D205" s="15" t="s">
        <v>123</v>
      </c>
      <c r="E205" s="15" t="s">
        <v>102</v>
      </c>
      <c r="F205" s="15"/>
      <c r="G205" s="87">
        <f t="shared" ref="G205:I206" si="53">G206</f>
        <v>0</v>
      </c>
      <c r="H205" s="87">
        <f t="shared" si="53"/>
        <v>0</v>
      </c>
      <c r="I205" s="87">
        <f t="shared" si="53"/>
        <v>0</v>
      </c>
      <c r="J205" s="17"/>
      <c r="P205" s="17"/>
      <c r="Q205" s="17"/>
      <c r="R205" s="17"/>
      <c r="S205" s="17"/>
      <c r="T205" s="17"/>
    </row>
    <row r="206" spans="1:20" s="18" customFormat="1" ht="18" hidden="1" customHeight="1">
      <c r="A206" s="16" t="s">
        <v>324</v>
      </c>
      <c r="B206" s="49">
        <v>795</v>
      </c>
      <c r="C206" s="15" t="s">
        <v>54</v>
      </c>
      <c r="D206" s="15" t="s">
        <v>123</v>
      </c>
      <c r="E206" s="15" t="s">
        <v>102</v>
      </c>
      <c r="F206" s="15" t="s">
        <v>37</v>
      </c>
      <c r="G206" s="87">
        <f t="shared" si="53"/>
        <v>0</v>
      </c>
      <c r="H206" s="87">
        <f t="shared" si="53"/>
        <v>0</v>
      </c>
      <c r="I206" s="87">
        <f t="shared" si="53"/>
        <v>0</v>
      </c>
      <c r="J206" s="17"/>
      <c r="P206" s="17"/>
      <c r="Q206" s="17"/>
      <c r="R206" s="17"/>
      <c r="S206" s="17"/>
      <c r="T206" s="17"/>
    </row>
    <row r="207" spans="1:20" s="18" customFormat="1" ht="57.75" hidden="1" customHeight="1">
      <c r="A207" s="16" t="s">
        <v>38</v>
      </c>
      <c r="B207" s="49">
        <v>795</v>
      </c>
      <c r="C207" s="15" t="s">
        <v>54</v>
      </c>
      <c r="D207" s="15" t="s">
        <v>123</v>
      </c>
      <c r="E207" s="15" t="s">
        <v>102</v>
      </c>
      <c r="F207" s="15" t="s">
        <v>39</v>
      </c>
      <c r="G207" s="70">
        <f>'прил 5,'!G1814</f>
        <v>0</v>
      </c>
      <c r="H207" s="70">
        <f>'прил 5,'!H1814</f>
        <v>0</v>
      </c>
      <c r="I207" s="70">
        <f>'прил 5,'!I1814</f>
        <v>0</v>
      </c>
      <c r="J207" s="17"/>
      <c r="P207" s="17"/>
      <c r="Q207" s="17"/>
      <c r="R207" s="17"/>
      <c r="S207" s="17"/>
      <c r="T207" s="17"/>
    </row>
    <row r="208" spans="1:20" ht="80.25" hidden="1" customHeight="1">
      <c r="A208" s="50" t="s">
        <v>103</v>
      </c>
      <c r="B208" s="49">
        <v>795</v>
      </c>
      <c r="C208" s="15" t="s">
        <v>54</v>
      </c>
      <c r="D208" s="15" t="s">
        <v>123</v>
      </c>
      <c r="E208" s="15" t="s">
        <v>132</v>
      </c>
      <c r="F208" s="15"/>
      <c r="G208" s="70">
        <f>G211</f>
        <v>0</v>
      </c>
      <c r="H208" s="70">
        <f t="shared" ref="H208:I208" si="54">H211</f>
        <v>0</v>
      </c>
      <c r="I208" s="70">
        <f t="shared" si="54"/>
        <v>0</v>
      </c>
    </row>
    <row r="209" spans="1:20" s="18" customFormat="1" ht="15.75" hidden="1" customHeight="1">
      <c r="A209" s="16" t="s">
        <v>63</v>
      </c>
      <c r="B209" s="49">
        <v>795</v>
      </c>
      <c r="C209" s="15" t="s">
        <v>54</v>
      </c>
      <c r="D209" s="15" t="s">
        <v>123</v>
      </c>
      <c r="E209" s="15" t="s">
        <v>130</v>
      </c>
      <c r="F209" s="15" t="s">
        <v>64</v>
      </c>
      <c r="G209" s="70" t="e">
        <f>G210</f>
        <v>#REF!</v>
      </c>
      <c r="H209" s="70" t="e">
        <f>H210</f>
        <v>#REF!</v>
      </c>
      <c r="I209" s="70" t="e">
        <f>I210</f>
        <v>#REF!</v>
      </c>
      <c r="J209" s="17"/>
      <c r="P209" s="17"/>
      <c r="Q209" s="17"/>
      <c r="R209" s="17"/>
      <c r="S209" s="17"/>
      <c r="T209" s="17"/>
    </row>
    <row r="210" spans="1:20" s="18" customFormat="1" ht="15.75" hidden="1" customHeight="1">
      <c r="A210" s="16" t="s">
        <v>180</v>
      </c>
      <c r="B210" s="49">
        <v>795</v>
      </c>
      <c r="C210" s="15" t="s">
        <v>54</v>
      </c>
      <c r="D210" s="15" t="s">
        <v>123</v>
      </c>
      <c r="E210" s="15" t="s">
        <v>130</v>
      </c>
      <c r="F210" s="15" t="s">
        <v>181</v>
      </c>
      <c r="G210" s="70" t="e">
        <f>'прил 5,'!#REF!</f>
        <v>#REF!</v>
      </c>
      <c r="H210" s="70" t="e">
        <f>'прил 5,'!#REF!</f>
        <v>#REF!</v>
      </c>
      <c r="I210" s="70" t="e">
        <f>'прил 5,'!#REF!</f>
        <v>#REF!</v>
      </c>
      <c r="J210" s="17"/>
      <c r="P210" s="17"/>
      <c r="Q210" s="17"/>
      <c r="R210" s="17"/>
      <c r="S210" s="17"/>
      <c r="T210" s="17"/>
    </row>
    <row r="211" spans="1:20" ht="15" hidden="1" customHeight="1">
      <c r="A211" s="16" t="s">
        <v>156</v>
      </c>
      <c r="B211" s="49">
        <v>795</v>
      </c>
      <c r="C211" s="15" t="s">
        <v>54</v>
      </c>
      <c r="D211" s="15" t="s">
        <v>123</v>
      </c>
      <c r="E211" s="15" t="s">
        <v>130</v>
      </c>
      <c r="F211" s="15" t="s">
        <v>157</v>
      </c>
      <c r="G211" s="70">
        <f>G212</f>
        <v>0</v>
      </c>
      <c r="H211" s="70">
        <f>H212</f>
        <v>0</v>
      </c>
      <c r="I211" s="70">
        <f>I212</f>
        <v>0</v>
      </c>
    </row>
    <row r="212" spans="1:20" ht="15" hidden="1" customHeight="1">
      <c r="A212" s="16" t="s">
        <v>178</v>
      </c>
      <c r="B212" s="49">
        <v>795</v>
      </c>
      <c r="C212" s="15" t="s">
        <v>54</v>
      </c>
      <c r="D212" s="15" t="s">
        <v>123</v>
      </c>
      <c r="E212" s="15" t="s">
        <v>130</v>
      </c>
      <c r="F212" s="15" t="s">
        <v>179</v>
      </c>
      <c r="G212" s="70">
        <f>'прил 5,'!G1817</f>
        <v>0</v>
      </c>
      <c r="H212" s="70">
        <f>'прил 5,'!H1817</f>
        <v>0</v>
      </c>
      <c r="I212" s="70">
        <f>'прил 5,'!I1817</f>
        <v>0</v>
      </c>
    </row>
    <row r="213" spans="1:20" s="18" customFormat="1" ht="83.25" hidden="1" customHeight="1">
      <c r="A213" s="50" t="s">
        <v>422</v>
      </c>
      <c r="B213" s="49"/>
      <c r="C213" s="15"/>
      <c r="D213" s="15"/>
      <c r="E213" s="15" t="s">
        <v>133</v>
      </c>
      <c r="F213" s="15"/>
      <c r="G213" s="70">
        <f>G214</f>
        <v>0</v>
      </c>
      <c r="H213" s="70">
        <v>0</v>
      </c>
      <c r="I213" s="70">
        <v>0</v>
      </c>
      <c r="J213" s="17"/>
      <c r="P213" s="17"/>
      <c r="Q213" s="17"/>
      <c r="R213" s="17"/>
      <c r="S213" s="17"/>
      <c r="T213" s="17"/>
    </row>
    <row r="214" spans="1:20" s="18" customFormat="1" ht="26.25" hidden="1" customHeight="1">
      <c r="A214" s="16" t="s">
        <v>324</v>
      </c>
      <c r="B214" s="49"/>
      <c r="C214" s="15"/>
      <c r="D214" s="15"/>
      <c r="E214" s="15" t="s">
        <v>131</v>
      </c>
      <c r="F214" s="15" t="s">
        <v>37</v>
      </c>
      <c r="G214" s="70">
        <f>G215</f>
        <v>0</v>
      </c>
      <c r="H214" s="70">
        <v>0</v>
      </c>
      <c r="I214" s="70">
        <v>0</v>
      </c>
      <c r="J214" s="17"/>
      <c r="P214" s="17"/>
      <c r="Q214" s="17"/>
      <c r="R214" s="17"/>
      <c r="S214" s="17"/>
      <c r="T214" s="17"/>
    </row>
    <row r="215" spans="1:20" s="18" customFormat="1" ht="47.25" hidden="1" customHeight="1">
      <c r="A215" s="16" t="s">
        <v>38</v>
      </c>
      <c r="B215" s="49"/>
      <c r="C215" s="15"/>
      <c r="D215" s="15"/>
      <c r="E215" s="15" t="s">
        <v>131</v>
      </c>
      <c r="F215" s="15" t="s">
        <v>39</v>
      </c>
      <c r="G215" s="70">
        <f>'прил 5,'!G1820</f>
        <v>0</v>
      </c>
      <c r="H215" s="70">
        <v>0</v>
      </c>
      <c r="I215" s="70">
        <v>0</v>
      </c>
      <c r="J215" s="17"/>
      <c r="P215" s="17"/>
      <c r="Q215" s="17"/>
      <c r="R215" s="17"/>
      <c r="S215" s="17"/>
      <c r="T215" s="17"/>
    </row>
    <row r="216" spans="1:20" ht="78" hidden="1" customHeight="1">
      <c r="A216" s="50" t="s">
        <v>531</v>
      </c>
      <c r="B216" s="49">
        <v>795</v>
      </c>
      <c r="C216" s="15" t="s">
        <v>54</v>
      </c>
      <c r="D216" s="15" t="s">
        <v>123</v>
      </c>
      <c r="E216" s="15" t="s">
        <v>530</v>
      </c>
      <c r="F216" s="15"/>
      <c r="G216" s="70">
        <f>G217+G219</f>
        <v>0</v>
      </c>
      <c r="H216" s="70">
        <v>0</v>
      </c>
      <c r="I216" s="70">
        <v>0</v>
      </c>
      <c r="J216" s="1"/>
    </row>
    <row r="217" spans="1:20" ht="18" hidden="1" customHeight="1">
      <c r="A217" s="16" t="s">
        <v>324</v>
      </c>
      <c r="B217" s="49">
        <v>795</v>
      </c>
      <c r="C217" s="15" t="s">
        <v>54</v>
      </c>
      <c r="D217" s="15" t="s">
        <v>123</v>
      </c>
      <c r="E217" s="15" t="s">
        <v>529</v>
      </c>
      <c r="F217" s="15" t="s">
        <v>37</v>
      </c>
      <c r="G217" s="70">
        <f>G218</f>
        <v>0</v>
      </c>
      <c r="H217" s="70">
        <v>0</v>
      </c>
      <c r="I217" s="70">
        <v>0</v>
      </c>
      <c r="J217" s="1"/>
    </row>
    <row r="218" spans="1:20" ht="15" hidden="1" customHeight="1">
      <c r="A218" s="16" t="s">
        <v>38</v>
      </c>
      <c r="B218" s="49">
        <v>795</v>
      </c>
      <c r="C218" s="15" t="s">
        <v>54</v>
      </c>
      <c r="D218" s="15" t="s">
        <v>123</v>
      </c>
      <c r="E218" s="15" t="s">
        <v>529</v>
      </c>
      <c r="F218" s="15" t="s">
        <v>39</v>
      </c>
      <c r="G218" s="70"/>
      <c r="H218" s="70">
        <v>0</v>
      </c>
      <c r="I218" s="70">
        <v>0</v>
      </c>
      <c r="J218" s="1"/>
    </row>
    <row r="219" spans="1:20" ht="36.75" hidden="1" customHeight="1">
      <c r="A219" s="16" t="s">
        <v>96</v>
      </c>
      <c r="B219" s="49">
        <v>795</v>
      </c>
      <c r="C219" s="15" t="s">
        <v>54</v>
      </c>
      <c r="D219" s="15" t="s">
        <v>123</v>
      </c>
      <c r="E219" s="15" t="s">
        <v>529</v>
      </c>
      <c r="F219" s="15" t="s">
        <v>349</v>
      </c>
      <c r="G219" s="70">
        <f>G220</f>
        <v>0</v>
      </c>
      <c r="H219" s="70">
        <f t="shared" ref="H219:I219" si="55">H220</f>
        <v>0</v>
      </c>
      <c r="I219" s="70">
        <f t="shared" si="55"/>
        <v>0</v>
      </c>
      <c r="J219" s="1"/>
    </row>
    <row r="220" spans="1:20" ht="27.75" hidden="1" customHeight="1">
      <c r="A220" s="16" t="s">
        <v>350</v>
      </c>
      <c r="B220" s="49">
        <v>795</v>
      </c>
      <c r="C220" s="15" t="s">
        <v>54</v>
      </c>
      <c r="D220" s="15" t="s">
        <v>123</v>
      </c>
      <c r="E220" s="15" t="s">
        <v>529</v>
      </c>
      <c r="F220" s="15" t="s">
        <v>351</v>
      </c>
      <c r="G220" s="70"/>
      <c r="H220" s="70">
        <v>0</v>
      </c>
      <c r="I220" s="70">
        <v>0</v>
      </c>
      <c r="J220" s="1"/>
    </row>
    <row r="221" spans="1:20" s="18" customFormat="1" ht="62.25" hidden="1" customHeight="1">
      <c r="A221" s="16" t="s">
        <v>528</v>
      </c>
      <c r="B221" s="49">
        <v>795</v>
      </c>
      <c r="C221" s="15" t="s">
        <v>54</v>
      </c>
      <c r="D221" s="15" t="s">
        <v>123</v>
      </c>
      <c r="E221" s="15" t="s">
        <v>187</v>
      </c>
      <c r="F221" s="15"/>
      <c r="G221" s="70">
        <f>G222+G226+G224</f>
        <v>0</v>
      </c>
      <c r="H221" s="70">
        <v>0</v>
      </c>
      <c r="I221" s="70">
        <v>0</v>
      </c>
      <c r="P221" s="17"/>
      <c r="Q221" s="17"/>
      <c r="R221" s="17"/>
      <c r="S221" s="17"/>
      <c r="T221" s="17"/>
    </row>
    <row r="222" spans="1:20" s="18" customFormat="1" ht="32.25" hidden="1" customHeight="1">
      <c r="A222" s="16" t="s">
        <v>324</v>
      </c>
      <c r="B222" s="49">
        <v>795</v>
      </c>
      <c r="C222" s="15" t="s">
        <v>54</v>
      </c>
      <c r="D222" s="15" t="s">
        <v>123</v>
      </c>
      <c r="E222" s="15" t="s">
        <v>187</v>
      </c>
      <c r="F222" s="15" t="s">
        <v>37</v>
      </c>
      <c r="G222" s="70">
        <f>G223</f>
        <v>0</v>
      </c>
      <c r="H222" s="70">
        <v>0</v>
      </c>
      <c r="I222" s="70">
        <v>0</v>
      </c>
      <c r="P222" s="17"/>
      <c r="Q222" s="17"/>
      <c r="R222" s="17"/>
      <c r="S222" s="17"/>
      <c r="T222" s="17"/>
    </row>
    <row r="223" spans="1:20" s="18" customFormat="1" ht="32.25" hidden="1" customHeight="1">
      <c r="A223" s="16" t="s">
        <v>38</v>
      </c>
      <c r="B223" s="49">
        <v>795</v>
      </c>
      <c r="C223" s="15" t="s">
        <v>54</v>
      </c>
      <c r="D223" s="15" t="s">
        <v>123</v>
      </c>
      <c r="E223" s="15" t="s">
        <v>187</v>
      </c>
      <c r="F223" s="15" t="s">
        <v>39</v>
      </c>
      <c r="G223" s="70"/>
      <c r="H223" s="70">
        <v>0</v>
      </c>
      <c r="I223" s="70">
        <v>0</v>
      </c>
      <c r="P223" s="17"/>
      <c r="Q223" s="17"/>
      <c r="R223" s="17"/>
      <c r="S223" s="17"/>
      <c r="T223" s="17"/>
    </row>
    <row r="224" spans="1:20" ht="18" hidden="1" customHeight="1">
      <c r="A224" s="16" t="s">
        <v>324</v>
      </c>
      <c r="B224" s="49">
        <v>795</v>
      </c>
      <c r="C224" s="15" t="s">
        <v>54</v>
      </c>
      <c r="D224" s="15" t="s">
        <v>123</v>
      </c>
      <c r="E224" s="15" t="s">
        <v>187</v>
      </c>
      <c r="F224" s="15" t="s">
        <v>37</v>
      </c>
      <c r="G224" s="70">
        <f>G225</f>
        <v>0</v>
      </c>
      <c r="H224" s="70">
        <v>0</v>
      </c>
      <c r="I224" s="70">
        <v>0</v>
      </c>
      <c r="J224" s="1"/>
    </row>
    <row r="225" spans="1:20" ht="29.25" hidden="1" customHeight="1">
      <c r="A225" s="16" t="s">
        <v>38</v>
      </c>
      <c r="B225" s="49">
        <v>795</v>
      </c>
      <c r="C225" s="15" t="s">
        <v>54</v>
      </c>
      <c r="D225" s="15" t="s">
        <v>123</v>
      </c>
      <c r="E225" s="15" t="s">
        <v>187</v>
      </c>
      <c r="F225" s="15" t="s">
        <v>39</v>
      </c>
      <c r="G225" s="70"/>
      <c r="H225" s="70"/>
      <c r="I225" s="70"/>
      <c r="J225" s="1"/>
    </row>
    <row r="226" spans="1:20" ht="18" hidden="1" customHeight="1">
      <c r="A226" s="16" t="s">
        <v>156</v>
      </c>
      <c r="B226" s="49">
        <v>795</v>
      </c>
      <c r="C226" s="15" t="s">
        <v>54</v>
      </c>
      <c r="D226" s="15" t="s">
        <v>123</v>
      </c>
      <c r="E226" s="15" t="s">
        <v>187</v>
      </c>
      <c r="F226" s="15" t="s">
        <v>157</v>
      </c>
      <c r="G226" s="70">
        <f>G227</f>
        <v>0</v>
      </c>
      <c r="H226" s="70">
        <v>0</v>
      </c>
      <c r="I226" s="70">
        <v>0</v>
      </c>
      <c r="J226" s="1"/>
    </row>
    <row r="227" spans="1:20" ht="15" hidden="1" customHeight="1">
      <c r="A227" s="16" t="s">
        <v>178</v>
      </c>
      <c r="B227" s="49">
        <v>795</v>
      </c>
      <c r="C227" s="15" t="s">
        <v>54</v>
      </c>
      <c r="D227" s="15" t="s">
        <v>123</v>
      </c>
      <c r="E227" s="15" t="s">
        <v>187</v>
      </c>
      <c r="F227" s="15" t="s">
        <v>179</v>
      </c>
      <c r="G227" s="70">
        <f>'прил 5,'!G1832</f>
        <v>0</v>
      </c>
      <c r="H227" s="70">
        <v>0</v>
      </c>
      <c r="I227" s="70">
        <v>0</v>
      </c>
      <c r="J227" s="1"/>
    </row>
    <row r="228" spans="1:20" ht="78" hidden="1" customHeight="1">
      <c r="A228" s="50" t="s">
        <v>658</v>
      </c>
      <c r="B228" s="49">
        <v>795</v>
      </c>
      <c r="C228" s="15" t="s">
        <v>54</v>
      </c>
      <c r="D228" s="15" t="s">
        <v>123</v>
      </c>
      <c r="E228" s="15" t="s">
        <v>660</v>
      </c>
      <c r="F228" s="15"/>
      <c r="G228" s="70">
        <f>G229</f>
        <v>0</v>
      </c>
      <c r="H228" s="70">
        <v>0</v>
      </c>
      <c r="I228" s="70">
        <v>0</v>
      </c>
      <c r="J228" s="1"/>
    </row>
    <row r="229" spans="1:20" ht="18" hidden="1" customHeight="1">
      <c r="A229" s="16" t="s">
        <v>156</v>
      </c>
      <c r="B229" s="49">
        <v>795</v>
      </c>
      <c r="C229" s="15" t="s">
        <v>54</v>
      </c>
      <c r="D229" s="15" t="s">
        <v>123</v>
      </c>
      <c r="E229" s="15" t="s">
        <v>660</v>
      </c>
      <c r="F229" s="15" t="s">
        <v>157</v>
      </c>
      <c r="G229" s="70">
        <f>G230</f>
        <v>0</v>
      </c>
      <c r="H229" s="70">
        <v>0</v>
      </c>
      <c r="I229" s="70">
        <v>0</v>
      </c>
      <c r="J229" s="1"/>
    </row>
    <row r="230" spans="1:20" ht="27.75" hidden="1" customHeight="1">
      <c r="A230" s="16" t="s">
        <v>178</v>
      </c>
      <c r="B230" s="49">
        <v>795</v>
      </c>
      <c r="C230" s="15" t="s">
        <v>54</v>
      </c>
      <c r="D230" s="15" t="s">
        <v>123</v>
      </c>
      <c r="E230" s="15" t="s">
        <v>660</v>
      </c>
      <c r="F230" s="15" t="s">
        <v>179</v>
      </c>
      <c r="G230" s="70">
        <f>'прил 5,'!G1835</f>
        <v>0</v>
      </c>
      <c r="H230" s="70">
        <v>0</v>
      </c>
      <c r="I230" s="70">
        <v>0</v>
      </c>
      <c r="J230" s="1"/>
    </row>
    <row r="231" spans="1:20" ht="78.75" hidden="1" customHeight="1">
      <c r="A231" s="16" t="s">
        <v>107</v>
      </c>
      <c r="B231" s="49">
        <v>795</v>
      </c>
      <c r="C231" s="15" t="s">
        <v>54</v>
      </c>
      <c r="D231" s="15" t="s">
        <v>123</v>
      </c>
      <c r="E231" s="15" t="s">
        <v>105</v>
      </c>
      <c r="F231" s="15"/>
      <c r="G231" s="70">
        <f>G232+G239+G249+G233+G252+G255+G261+G246</f>
        <v>0</v>
      </c>
      <c r="H231" s="70">
        <f>H232+H239+H249+H233+H252+H255</f>
        <v>0</v>
      </c>
      <c r="I231" s="70">
        <f>I232+I239+I249+I233+I252+I255</f>
        <v>0</v>
      </c>
    </row>
    <row r="232" spans="1:20" ht="47.25" hidden="1" customHeight="1">
      <c r="A232" s="16" t="s">
        <v>108</v>
      </c>
      <c r="B232" s="49">
        <v>795</v>
      </c>
      <c r="C232" s="15" t="s">
        <v>54</v>
      </c>
      <c r="D232" s="15" t="s">
        <v>123</v>
      </c>
      <c r="E232" s="15" t="s">
        <v>106</v>
      </c>
      <c r="F232" s="15"/>
      <c r="G232" s="70">
        <f>G235+G237</f>
        <v>0</v>
      </c>
      <c r="H232" s="70">
        <f t="shared" ref="H232:I232" si="56">H235+H237</f>
        <v>0</v>
      </c>
      <c r="I232" s="70">
        <f t="shared" si="56"/>
        <v>0</v>
      </c>
    </row>
    <row r="233" spans="1:20" s="18" customFormat="1" ht="15.75" hidden="1" customHeight="1">
      <c r="A233" s="16" t="s">
        <v>63</v>
      </c>
      <c r="B233" s="49">
        <v>795</v>
      </c>
      <c r="C233" s="15" t="s">
        <v>54</v>
      </c>
      <c r="D233" s="15" t="s">
        <v>123</v>
      </c>
      <c r="E233" s="15" t="s">
        <v>106</v>
      </c>
      <c r="F233" s="15" t="s">
        <v>64</v>
      </c>
      <c r="G233" s="70">
        <f>G234</f>
        <v>0</v>
      </c>
      <c r="H233" s="70">
        <v>0</v>
      </c>
      <c r="I233" s="70">
        <v>0</v>
      </c>
      <c r="J233" s="116"/>
      <c r="P233" s="17"/>
      <c r="Q233" s="17"/>
      <c r="R233" s="17"/>
      <c r="S233" s="17"/>
      <c r="T233" s="17"/>
    </row>
    <row r="234" spans="1:20" s="18" customFormat="1" ht="15.75" hidden="1" customHeight="1">
      <c r="A234" s="16" t="s">
        <v>180</v>
      </c>
      <c r="B234" s="49">
        <v>795</v>
      </c>
      <c r="C234" s="15" t="s">
        <v>54</v>
      </c>
      <c r="D234" s="15" t="s">
        <v>123</v>
      </c>
      <c r="E234" s="15" t="s">
        <v>106</v>
      </c>
      <c r="F234" s="15" t="s">
        <v>181</v>
      </c>
      <c r="G234" s="70">
        <f>'прил 5,'!G1839</f>
        <v>0</v>
      </c>
      <c r="H234" s="70">
        <v>0</v>
      </c>
      <c r="I234" s="70">
        <v>0</v>
      </c>
      <c r="J234" s="116"/>
      <c r="P234" s="17"/>
      <c r="Q234" s="17"/>
      <c r="R234" s="17"/>
      <c r="S234" s="17"/>
      <c r="T234" s="17"/>
    </row>
    <row r="235" spans="1:20" ht="16.5" hidden="1" customHeight="1">
      <c r="A235" s="16" t="s">
        <v>156</v>
      </c>
      <c r="B235" s="49">
        <v>795</v>
      </c>
      <c r="C235" s="15" t="s">
        <v>54</v>
      </c>
      <c r="D235" s="15" t="s">
        <v>123</v>
      </c>
      <c r="E235" s="15" t="s">
        <v>106</v>
      </c>
      <c r="F235" s="15" t="s">
        <v>157</v>
      </c>
      <c r="G235" s="70">
        <f>G236</f>
        <v>0</v>
      </c>
      <c r="H235" s="70">
        <f>H236</f>
        <v>0</v>
      </c>
      <c r="I235" s="70">
        <f>I236</f>
        <v>0</v>
      </c>
    </row>
    <row r="236" spans="1:20" ht="19.5" hidden="1" customHeight="1">
      <c r="A236" s="16" t="s">
        <v>178</v>
      </c>
      <c r="B236" s="49">
        <v>795</v>
      </c>
      <c r="C236" s="15" t="s">
        <v>54</v>
      </c>
      <c r="D236" s="15" t="s">
        <v>123</v>
      </c>
      <c r="E236" s="15" t="s">
        <v>106</v>
      </c>
      <c r="F236" s="15" t="s">
        <v>179</v>
      </c>
      <c r="G236" s="70">
        <f>'прил 5,'!G1841</f>
        <v>0</v>
      </c>
      <c r="H236" s="70">
        <f>'прил 5,'!H1841</f>
        <v>0</v>
      </c>
      <c r="I236" s="70">
        <f>'прил 5,'!I1841</f>
        <v>0</v>
      </c>
    </row>
    <row r="237" spans="1:20" ht="22.5" hidden="1" customHeight="1">
      <c r="A237" s="16" t="s">
        <v>324</v>
      </c>
      <c r="B237" s="49">
        <v>795</v>
      </c>
      <c r="C237" s="15" t="s">
        <v>54</v>
      </c>
      <c r="D237" s="15" t="s">
        <v>123</v>
      </c>
      <c r="E237" s="15" t="s">
        <v>106</v>
      </c>
      <c r="F237" s="15" t="s">
        <v>37</v>
      </c>
      <c r="G237" s="70">
        <f>G238</f>
        <v>0</v>
      </c>
      <c r="H237" s="70">
        <f>H238</f>
        <v>0</v>
      </c>
      <c r="I237" s="70">
        <f>I238</f>
        <v>0</v>
      </c>
      <c r="J237" s="1"/>
    </row>
    <row r="238" spans="1:20" ht="32.25" hidden="1" customHeight="1">
      <c r="A238" s="16" t="s">
        <v>38</v>
      </c>
      <c r="B238" s="49">
        <v>795</v>
      </c>
      <c r="C238" s="15" t="s">
        <v>54</v>
      </c>
      <c r="D238" s="15" t="s">
        <v>123</v>
      </c>
      <c r="E238" s="15" t="s">
        <v>106</v>
      </c>
      <c r="F238" s="15" t="s">
        <v>39</v>
      </c>
      <c r="G238" s="70">
        <f>'прил 5,'!G1843</f>
        <v>0</v>
      </c>
      <c r="H238" s="70">
        <f>'прил 5,'!H1843</f>
        <v>0</v>
      </c>
      <c r="I238" s="70">
        <f>'прил 5,'!I1843</f>
        <v>0</v>
      </c>
      <c r="J238" s="1"/>
    </row>
    <row r="239" spans="1:20" s="18" customFormat="1" ht="65.25" hidden="1" customHeight="1">
      <c r="A239" s="16" t="s">
        <v>527</v>
      </c>
      <c r="B239" s="49">
        <v>795</v>
      </c>
      <c r="C239" s="15" t="s">
        <v>54</v>
      </c>
      <c r="D239" s="15" t="s">
        <v>123</v>
      </c>
      <c r="E239" s="15" t="s">
        <v>46</v>
      </c>
      <c r="F239" s="15"/>
      <c r="G239" s="70">
        <f>G240+G244+G242</f>
        <v>0</v>
      </c>
      <c r="H239" s="27">
        <v>0</v>
      </c>
      <c r="I239" s="27">
        <v>0</v>
      </c>
      <c r="J239" s="116"/>
      <c r="P239" s="17"/>
      <c r="Q239" s="17"/>
      <c r="R239" s="17"/>
      <c r="S239" s="17"/>
      <c r="T239" s="17"/>
    </row>
    <row r="240" spans="1:20" s="18" customFormat="1" ht="15.75" hidden="1" customHeight="1">
      <c r="A240" s="16" t="s">
        <v>324</v>
      </c>
      <c r="B240" s="49">
        <v>795</v>
      </c>
      <c r="C240" s="15" t="s">
        <v>54</v>
      </c>
      <c r="D240" s="15" t="s">
        <v>123</v>
      </c>
      <c r="E240" s="15" t="s">
        <v>46</v>
      </c>
      <c r="F240" s="15" t="s">
        <v>37</v>
      </c>
      <c r="G240" s="70">
        <f>G241</f>
        <v>0</v>
      </c>
      <c r="H240" s="27">
        <v>0</v>
      </c>
      <c r="I240" s="27">
        <v>0</v>
      </c>
      <c r="J240" s="116"/>
      <c r="P240" s="17"/>
      <c r="Q240" s="17"/>
      <c r="R240" s="17"/>
      <c r="S240" s="17"/>
      <c r="T240" s="17"/>
    </row>
    <row r="241" spans="1:20" s="18" customFormat="1" ht="15.75" hidden="1" customHeight="1">
      <c r="A241" s="16" t="s">
        <v>38</v>
      </c>
      <c r="B241" s="49">
        <v>795</v>
      </c>
      <c r="C241" s="15" t="s">
        <v>54</v>
      </c>
      <c r="D241" s="15" t="s">
        <v>123</v>
      </c>
      <c r="E241" s="15" t="s">
        <v>46</v>
      </c>
      <c r="F241" s="15" t="s">
        <v>39</v>
      </c>
      <c r="G241" s="70">
        <f>'прил 5,'!G1846</f>
        <v>0</v>
      </c>
      <c r="H241" s="27">
        <v>0</v>
      </c>
      <c r="I241" s="27">
        <v>0</v>
      </c>
      <c r="J241" s="116"/>
      <c r="P241" s="17"/>
      <c r="Q241" s="17"/>
      <c r="R241" s="17"/>
      <c r="S241" s="17"/>
      <c r="T241" s="17"/>
    </row>
    <row r="242" spans="1:20" ht="22.5" hidden="1" customHeight="1">
      <c r="A242" s="16" t="s">
        <v>324</v>
      </c>
      <c r="B242" s="49">
        <v>795</v>
      </c>
      <c r="C242" s="15" t="s">
        <v>54</v>
      </c>
      <c r="D242" s="15" t="s">
        <v>123</v>
      </c>
      <c r="E242" s="15" t="s">
        <v>46</v>
      </c>
      <c r="F242" s="15" t="s">
        <v>37</v>
      </c>
      <c r="G242" s="70">
        <f>G243</f>
        <v>0</v>
      </c>
      <c r="H242" s="70">
        <v>0</v>
      </c>
      <c r="I242" s="70">
        <v>0</v>
      </c>
      <c r="J242" s="1"/>
    </row>
    <row r="243" spans="1:20" ht="16.5" hidden="1" customHeight="1">
      <c r="A243" s="16" t="s">
        <v>38</v>
      </c>
      <c r="B243" s="49">
        <v>795</v>
      </c>
      <c r="C243" s="15" t="s">
        <v>54</v>
      </c>
      <c r="D243" s="15" t="s">
        <v>123</v>
      </c>
      <c r="E243" s="15" t="s">
        <v>46</v>
      </c>
      <c r="F243" s="15" t="s">
        <v>39</v>
      </c>
      <c r="G243" s="70"/>
      <c r="H243" s="70"/>
      <c r="I243" s="70"/>
      <c r="J243" s="1"/>
    </row>
    <row r="244" spans="1:20" ht="22.5" hidden="1" customHeight="1">
      <c r="A244" s="16" t="s">
        <v>156</v>
      </c>
      <c r="B244" s="49">
        <v>795</v>
      </c>
      <c r="C244" s="15" t="s">
        <v>54</v>
      </c>
      <c r="D244" s="15" t="s">
        <v>123</v>
      </c>
      <c r="E244" s="15" t="s">
        <v>46</v>
      </c>
      <c r="F244" s="15" t="s">
        <v>157</v>
      </c>
      <c r="G244" s="70">
        <f>G245</f>
        <v>0</v>
      </c>
      <c r="H244" s="27">
        <v>0</v>
      </c>
      <c r="I244" s="27">
        <v>0</v>
      </c>
      <c r="J244" s="1"/>
    </row>
    <row r="245" spans="1:20" ht="16.5" hidden="1" customHeight="1">
      <c r="A245" s="16" t="s">
        <v>178</v>
      </c>
      <c r="B245" s="49">
        <v>795</v>
      </c>
      <c r="C245" s="15" t="s">
        <v>54</v>
      </c>
      <c r="D245" s="15" t="s">
        <v>123</v>
      </c>
      <c r="E245" s="15" t="s">
        <v>46</v>
      </c>
      <c r="F245" s="15" t="s">
        <v>179</v>
      </c>
      <c r="G245" s="70">
        <f>'прил 5,'!G1850</f>
        <v>0</v>
      </c>
      <c r="H245" s="27">
        <v>0</v>
      </c>
      <c r="I245" s="27">
        <v>0</v>
      </c>
      <c r="J245" s="1"/>
    </row>
    <row r="246" spans="1:20" ht="62.25" hidden="1" customHeight="1">
      <c r="A246" s="16" t="s">
        <v>714</v>
      </c>
      <c r="B246" s="49">
        <v>795</v>
      </c>
      <c r="C246" s="15" t="s">
        <v>54</v>
      </c>
      <c r="D246" s="15" t="s">
        <v>123</v>
      </c>
      <c r="E246" s="15" t="s">
        <v>713</v>
      </c>
      <c r="F246" s="15"/>
      <c r="G246" s="70">
        <f>G247</f>
        <v>0</v>
      </c>
      <c r="H246" s="70">
        <f t="shared" ref="H246:I246" si="57">H247+H249+H251</f>
        <v>0</v>
      </c>
      <c r="I246" s="70">
        <f t="shared" si="57"/>
        <v>0</v>
      </c>
      <c r="J246" s="1"/>
      <c r="L246" s="2">
        <f>I221+I226+I250</f>
        <v>0</v>
      </c>
    </row>
    <row r="247" spans="1:20" s="18" customFormat="1" ht="15.75" hidden="1" customHeight="1">
      <c r="A247" s="16" t="s">
        <v>324</v>
      </c>
      <c r="B247" s="49">
        <v>795</v>
      </c>
      <c r="C247" s="15" t="s">
        <v>54</v>
      </c>
      <c r="D247" s="15" t="s">
        <v>123</v>
      </c>
      <c r="E247" s="15" t="s">
        <v>713</v>
      </c>
      <c r="F247" s="15" t="s">
        <v>37</v>
      </c>
      <c r="G247" s="70">
        <f>G248</f>
        <v>0</v>
      </c>
      <c r="H247" s="119">
        <v>0</v>
      </c>
      <c r="I247" s="119">
        <v>0</v>
      </c>
      <c r="J247" s="116"/>
      <c r="P247" s="17"/>
      <c r="Q247" s="17"/>
      <c r="R247" s="17"/>
      <c r="S247" s="17"/>
      <c r="T247" s="17"/>
    </row>
    <row r="248" spans="1:20" s="18" customFormat="1" ht="35.25" hidden="1" customHeight="1">
      <c r="A248" s="16" t="s">
        <v>38</v>
      </c>
      <c r="B248" s="49">
        <v>795</v>
      </c>
      <c r="C248" s="15" t="s">
        <v>54</v>
      </c>
      <c r="D248" s="15" t="s">
        <v>123</v>
      </c>
      <c r="E248" s="15" t="s">
        <v>713</v>
      </c>
      <c r="F248" s="15" t="s">
        <v>39</v>
      </c>
      <c r="G248" s="70"/>
      <c r="H248" s="119"/>
      <c r="I248" s="119"/>
      <c r="J248" s="116"/>
      <c r="P248" s="17"/>
      <c r="Q248" s="17"/>
      <c r="R248" s="17"/>
      <c r="S248" s="17"/>
      <c r="T248" s="17"/>
    </row>
    <row r="249" spans="1:20" ht="68.25" hidden="1" customHeight="1">
      <c r="A249" s="16" t="s">
        <v>423</v>
      </c>
      <c r="B249" s="49">
        <v>795</v>
      </c>
      <c r="C249" s="15" t="s">
        <v>54</v>
      </c>
      <c r="D249" s="15" t="s">
        <v>123</v>
      </c>
      <c r="E249" s="15" t="s">
        <v>10</v>
      </c>
      <c r="F249" s="15"/>
      <c r="G249" s="70">
        <f>G250</f>
        <v>0</v>
      </c>
      <c r="H249" s="27">
        <v>0</v>
      </c>
      <c r="I249" s="27">
        <v>0</v>
      </c>
      <c r="J249" s="1"/>
    </row>
    <row r="250" spans="1:20" ht="22.5" hidden="1" customHeight="1">
      <c r="A250" s="16" t="s">
        <v>156</v>
      </c>
      <c r="B250" s="49">
        <v>795</v>
      </c>
      <c r="C250" s="15" t="s">
        <v>54</v>
      </c>
      <c r="D250" s="15" t="s">
        <v>123</v>
      </c>
      <c r="E250" s="15" t="s">
        <v>10</v>
      </c>
      <c r="F250" s="15" t="s">
        <v>157</v>
      </c>
      <c r="G250" s="70">
        <f>G251</f>
        <v>0</v>
      </c>
      <c r="H250" s="27">
        <v>0</v>
      </c>
      <c r="I250" s="27">
        <v>0</v>
      </c>
      <c r="J250" s="1"/>
    </row>
    <row r="251" spans="1:20" ht="16.5" hidden="1" customHeight="1">
      <c r="A251" s="16" t="s">
        <v>178</v>
      </c>
      <c r="B251" s="49">
        <v>795</v>
      </c>
      <c r="C251" s="15" t="s">
        <v>54</v>
      </c>
      <c r="D251" s="15" t="s">
        <v>123</v>
      </c>
      <c r="E251" s="15" t="s">
        <v>10</v>
      </c>
      <c r="F251" s="15" t="s">
        <v>179</v>
      </c>
      <c r="G251" s="70">
        <f>'прил 5,'!G1856</f>
        <v>0</v>
      </c>
      <c r="H251" s="27">
        <v>0</v>
      </c>
      <c r="I251" s="27">
        <v>0</v>
      </c>
      <c r="J251" s="1"/>
    </row>
    <row r="252" spans="1:20" ht="77.25" hidden="1" customHeight="1">
      <c r="A252" s="16" t="s">
        <v>592</v>
      </c>
      <c r="B252" s="49">
        <v>795</v>
      </c>
      <c r="C252" s="15" t="s">
        <v>54</v>
      </c>
      <c r="D252" s="15" t="s">
        <v>123</v>
      </c>
      <c r="E252" s="15" t="s">
        <v>591</v>
      </c>
      <c r="F252" s="15"/>
      <c r="G252" s="70">
        <f>G253</f>
        <v>0</v>
      </c>
      <c r="H252" s="27">
        <v>0</v>
      </c>
      <c r="I252" s="27">
        <v>0</v>
      </c>
      <c r="J252" s="1"/>
    </row>
    <row r="253" spans="1:20" ht="22.5" hidden="1" customHeight="1">
      <c r="A253" s="16" t="s">
        <v>156</v>
      </c>
      <c r="B253" s="49">
        <v>795</v>
      </c>
      <c r="C253" s="15" t="s">
        <v>54</v>
      </c>
      <c r="D253" s="15" t="s">
        <v>123</v>
      </c>
      <c r="E253" s="15" t="s">
        <v>591</v>
      </c>
      <c r="F253" s="15" t="s">
        <v>157</v>
      </c>
      <c r="G253" s="70">
        <f>G254</f>
        <v>0</v>
      </c>
      <c r="H253" s="27">
        <v>0</v>
      </c>
      <c r="I253" s="27">
        <v>0</v>
      </c>
      <c r="J253" s="1"/>
    </row>
    <row r="254" spans="1:20" ht="16.5" hidden="1" customHeight="1">
      <c r="A254" s="16" t="s">
        <v>170</v>
      </c>
      <c r="B254" s="49">
        <v>795</v>
      </c>
      <c r="C254" s="15" t="s">
        <v>54</v>
      </c>
      <c r="D254" s="15" t="s">
        <v>123</v>
      </c>
      <c r="E254" s="15" t="s">
        <v>591</v>
      </c>
      <c r="F254" s="15" t="s">
        <v>171</v>
      </c>
      <c r="G254" s="70"/>
      <c r="H254" s="27">
        <v>0</v>
      </c>
      <c r="I254" s="27">
        <v>0</v>
      </c>
      <c r="J254" s="1"/>
    </row>
    <row r="255" spans="1:20" ht="48" hidden="1" customHeight="1">
      <c r="A255" s="16" t="s">
        <v>607</v>
      </c>
      <c r="B255" s="49">
        <v>795</v>
      </c>
      <c r="C255" s="15" t="s">
        <v>54</v>
      </c>
      <c r="D255" s="15" t="s">
        <v>123</v>
      </c>
      <c r="E255" s="84" t="s">
        <v>606</v>
      </c>
      <c r="F255" s="15"/>
      <c r="G255" s="70">
        <f>G256</f>
        <v>0</v>
      </c>
      <c r="H255" s="70">
        <v>0</v>
      </c>
      <c r="I255" s="70">
        <v>0</v>
      </c>
      <c r="J255" s="1"/>
    </row>
    <row r="256" spans="1:20" ht="22.5" hidden="1" customHeight="1">
      <c r="A256" s="16" t="s">
        <v>156</v>
      </c>
      <c r="B256" s="49">
        <v>795</v>
      </c>
      <c r="C256" s="15" t="s">
        <v>54</v>
      </c>
      <c r="D256" s="15" t="s">
        <v>123</v>
      </c>
      <c r="E256" s="15" t="s">
        <v>606</v>
      </c>
      <c r="F256" s="15" t="s">
        <v>157</v>
      </c>
      <c r="G256" s="70">
        <f>G257</f>
        <v>0</v>
      </c>
      <c r="H256" s="70">
        <v>0</v>
      </c>
      <c r="I256" s="70">
        <v>0</v>
      </c>
      <c r="J256" s="1"/>
    </row>
    <row r="257" spans="1:20" ht="16.5" hidden="1" customHeight="1">
      <c r="A257" s="16" t="s">
        <v>170</v>
      </c>
      <c r="B257" s="49">
        <v>795</v>
      </c>
      <c r="C257" s="15" t="s">
        <v>54</v>
      </c>
      <c r="D257" s="15" t="s">
        <v>123</v>
      </c>
      <c r="E257" s="15" t="s">
        <v>606</v>
      </c>
      <c r="F257" s="15" t="s">
        <v>171</v>
      </c>
      <c r="G257" s="70"/>
      <c r="H257" s="70">
        <v>0</v>
      </c>
      <c r="I257" s="70">
        <v>0</v>
      </c>
      <c r="J257" s="1"/>
    </row>
    <row r="258" spans="1:20" ht="63" hidden="1" customHeight="1">
      <c r="A258" s="16" t="s">
        <v>659</v>
      </c>
      <c r="B258" s="49">
        <v>795</v>
      </c>
      <c r="C258" s="15" t="s">
        <v>54</v>
      </c>
      <c r="D258" s="15" t="s">
        <v>123</v>
      </c>
      <c r="E258" s="15" t="s">
        <v>300</v>
      </c>
      <c r="F258" s="15"/>
      <c r="G258" s="70">
        <f>G259</f>
        <v>0</v>
      </c>
      <c r="H258" s="70"/>
      <c r="I258" s="70"/>
      <c r="J258" s="1"/>
    </row>
    <row r="259" spans="1:20" ht="16.5" hidden="1" customHeight="1">
      <c r="A259" s="16" t="s">
        <v>324</v>
      </c>
      <c r="B259" s="49">
        <v>795</v>
      </c>
      <c r="C259" s="15" t="s">
        <v>54</v>
      </c>
      <c r="D259" s="15" t="s">
        <v>123</v>
      </c>
      <c r="E259" s="15" t="s">
        <v>300</v>
      </c>
      <c r="F259" s="15" t="s">
        <v>37</v>
      </c>
      <c r="G259" s="70">
        <f>G260</f>
        <v>0</v>
      </c>
      <c r="H259" s="70"/>
      <c r="I259" s="70"/>
      <c r="J259" s="1"/>
    </row>
    <row r="260" spans="1:20" ht="28.5" hidden="1" customHeight="1">
      <c r="A260" s="16" t="s">
        <v>38</v>
      </c>
      <c r="B260" s="49">
        <v>795</v>
      </c>
      <c r="C260" s="15" t="s">
        <v>54</v>
      </c>
      <c r="D260" s="15" t="s">
        <v>123</v>
      </c>
      <c r="E260" s="15" t="s">
        <v>300</v>
      </c>
      <c r="F260" s="15" t="s">
        <v>39</v>
      </c>
      <c r="G260" s="70">
        <f>'прил 5,'!G1859</f>
        <v>0</v>
      </c>
      <c r="H260" s="70"/>
      <c r="I260" s="70"/>
      <c r="J260" s="1"/>
    </row>
    <row r="261" spans="1:20" s="18" customFormat="1" ht="76.5" hidden="1" customHeight="1">
      <c r="A261" s="50" t="s">
        <v>669</v>
      </c>
      <c r="B261" s="49">
        <v>795</v>
      </c>
      <c r="C261" s="15" t="s">
        <v>54</v>
      </c>
      <c r="D261" s="15" t="s">
        <v>123</v>
      </c>
      <c r="E261" s="15" t="s">
        <v>704</v>
      </c>
      <c r="F261" s="15"/>
      <c r="G261" s="70">
        <f t="shared" ref="G261:I262" si="58">G262</f>
        <v>0</v>
      </c>
      <c r="H261" s="70">
        <f t="shared" si="58"/>
        <v>0</v>
      </c>
      <c r="I261" s="70">
        <f t="shared" si="58"/>
        <v>0</v>
      </c>
      <c r="P261" s="17"/>
      <c r="Q261" s="17"/>
      <c r="R261" s="17"/>
      <c r="S261" s="17"/>
      <c r="T261" s="17"/>
    </row>
    <row r="262" spans="1:20" s="18" customFormat="1" ht="15" hidden="1" customHeight="1">
      <c r="A262" s="16" t="s">
        <v>324</v>
      </c>
      <c r="B262" s="49">
        <v>795</v>
      </c>
      <c r="C262" s="15" t="s">
        <v>54</v>
      </c>
      <c r="D262" s="15" t="s">
        <v>123</v>
      </c>
      <c r="E262" s="15" t="s">
        <v>704</v>
      </c>
      <c r="F262" s="15" t="s">
        <v>37</v>
      </c>
      <c r="G262" s="70">
        <f t="shared" si="58"/>
        <v>0</v>
      </c>
      <c r="H262" s="70">
        <f t="shared" si="58"/>
        <v>0</v>
      </c>
      <c r="I262" s="70">
        <f t="shared" si="58"/>
        <v>0</v>
      </c>
      <c r="P262" s="17"/>
      <c r="Q262" s="17"/>
      <c r="R262" s="17"/>
      <c r="S262" s="17"/>
      <c r="T262" s="17"/>
    </row>
    <row r="263" spans="1:20" s="18" customFormat="1" ht="32.25" hidden="1" customHeight="1">
      <c r="A263" s="16" t="s">
        <v>38</v>
      </c>
      <c r="B263" s="49">
        <v>795</v>
      </c>
      <c r="C263" s="15" t="s">
        <v>54</v>
      </c>
      <c r="D263" s="15" t="s">
        <v>123</v>
      </c>
      <c r="E263" s="15" t="s">
        <v>704</v>
      </c>
      <c r="F263" s="15" t="s">
        <v>39</v>
      </c>
      <c r="G263" s="70">
        <f>'прил 5,'!G1862</f>
        <v>0</v>
      </c>
      <c r="H263" s="70">
        <v>0</v>
      </c>
      <c r="I263" s="70">
        <v>0</v>
      </c>
      <c r="J263" s="18" t="s">
        <v>466</v>
      </c>
      <c r="L263" s="18">
        <v>26808448</v>
      </c>
      <c r="P263" s="17"/>
      <c r="Q263" s="17"/>
      <c r="R263" s="17"/>
      <c r="S263" s="17"/>
      <c r="T263" s="17"/>
    </row>
    <row r="264" spans="1:20" ht="87" hidden="1" customHeight="1">
      <c r="A264" s="16" t="s">
        <v>674</v>
      </c>
      <c r="B264" s="49">
        <v>795</v>
      </c>
      <c r="C264" s="15" t="s">
        <v>54</v>
      </c>
      <c r="D264" s="15" t="s">
        <v>123</v>
      </c>
      <c r="E264" s="15" t="s">
        <v>11</v>
      </c>
      <c r="F264" s="15"/>
      <c r="G264" s="70">
        <f>G265+G268+G271</f>
        <v>0</v>
      </c>
      <c r="H264" s="70">
        <f t="shared" ref="H264:I264" si="59">H265+H268+H271</f>
        <v>0</v>
      </c>
      <c r="I264" s="70">
        <f t="shared" si="59"/>
        <v>0</v>
      </c>
      <c r="J264" s="1"/>
    </row>
    <row r="265" spans="1:20" ht="91.5" hidden="1" customHeight="1">
      <c r="A265" s="16" t="s">
        <v>623</v>
      </c>
      <c r="B265" s="49">
        <v>795</v>
      </c>
      <c r="C265" s="15" t="s">
        <v>54</v>
      </c>
      <c r="D265" s="15" t="s">
        <v>123</v>
      </c>
      <c r="E265" s="15" t="s">
        <v>622</v>
      </c>
      <c r="F265" s="15"/>
      <c r="G265" s="70">
        <f>G266</f>
        <v>0</v>
      </c>
      <c r="H265" s="70">
        <v>0</v>
      </c>
      <c r="I265" s="70">
        <v>0</v>
      </c>
      <c r="J265" s="1"/>
    </row>
    <row r="266" spans="1:20" ht="22.5" hidden="1" customHeight="1">
      <c r="A266" s="16" t="s">
        <v>156</v>
      </c>
      <c r="B266" s="49">
        <v>795</v>
      </c>
      <c r="C266" s="15" t="s">
        <v>54</v>
      </c>
      <c r="D266" s="15" t="s">
        <v>123</v>
      </c>
      <c r="E266" s="15" t="s">
        <v>622</v>
      </c>
      <c r="F266" s="15" t="s">
        <v>157</v>
      </c>
      <c r="G266" s="70">
        <f>G267</f>
        <v>0</v>
      </c>
      <c r="H266" s="70">
        <v>0</v>
      </c>
      <c r="I266" s="70">
        <v>0</v>
      </c>
      <c r="J266" s="1"/>
    </row>
    <row r="267" spans="1:20" ht="16.5" hidden="1" customHeight="1">
      <c r="A267" s="16" t="s">
        <v>170</v>
      </c>
      <c r="B267" s="49">
        <v>795</v>
      </c>
      <c r="C267" s="15" t="s">
        <v>54</v>
      </c>
      <c r="D267" s="15" t="s">
        <v>123</v>
      </c>
      <c r="E267" s="15" t="s">
        <v>622</v>
      </c>
      <c r="F267" s="15" t="s">
        <v>171</v>
      </c>
      <c r="G267" s="70"/>
      <c r="H267" s="70">
        <v>0</v>
      </c>
      <c r="I267" s="70">
        <v>0</v>
      </c>
      <c r="J267" s="1"/>
    </row>
    <row r="268" spans="1:20" ht="48" hidden="1" customHeight="1">
      <c r="A268" s="16" t="s">
        <v>607</v>
      </c>
      <c r="B268" s="49">
        <v>795</v>
      </c>
      <c r="C268" s="15" t="s">
        <v>54</v>
      </c>
      <c r="D268" s="15" t="s">
        <v>123</v>
      </c>
      <c r="E268" s="15" t="s">
        <v>407</v>
      </c>
      <c r="F268" s="15"/>
      <c r="G268" s="70">
        <f>G269</f>
        <v>0</v>
      </c>
      <c r="H268" s="70">
        <v>0</v>
      </c>
      <c r="I268" s="70">
        <v>0</v>
      </c>
      <c r="J268" s="1"/>
    </row>
    <row r="269" spans="1:20" ht="22.5" hidden="1" customHeight="1">
      <c r="A269" s="16" t="s">
        <v>156</v>
      </c>
      <c r="B269" s="49">
        <v>795</v>
      </c>
      <c r="C269" s="15" t="s">
        <v>54</v>
      </c>
      <c r="D269" s="15" t="s">
        <v>123</v>
      </c>
      <c r="E269" s="15" t="s">
        <v>407</v>
      </c>
      <c r="F269" s="15" t="s">
        <v>157</v>
      </c>
      <c r="G269" s="70">
        <f>G270</f>
        <v>0</v>
      </c>
      <c r="H269" s="70">
        <v>0</v>
      </c>
      <c r="I269" s="70">
        <v>0</v>
      </c>
      <c r="J269" s="1"/>
    </row>
    <row r="270" spans="1:20" ht="16.5" hidden="1" customHeight="1">
      <c r="A270" s="16" t="s">
        <v>170</v>
      </c>
      <c r="B270" s="49">
        <v>795</v>
      </c>
      <c r="C270" s="15" t="s">
        <v>54</v>
      </c>
      <c r="D270" s="15" t="s">
        <v>123</v>
      </c>
      <c r="E270" s="15" t="s">
        <v>407</v>
      </c>
      <c r="F270" s="15" t="s">
        <v>171</v>
      </c>
      <c r="G270" s="70"/>
      <c r="H270" s="70">
        <v>0</v>
      </c>
      <c r="I270" s="70">
        <v>0</v>
      </c>
      <c r="J270" s="1"/>
    </row>
    <row r="271" spans="1:20" s="18" customFormat="1" ht="96" hidden="1" customHeight="1">
      <c r="A271" s="80" t="s">
        <v>675</v>
      </c>
      <c r="B271" s="49">
        <v>795</v>
      </c>
      <c r="C271" s="15" t="s">
        <v>54</v>
      </c>
      <c r="D271" s="15" t="s">
        <v>123</v>
      </c>
      <c r="E271" s="15" t="s">
        <v>624</v>
      </c>
      <c r="F271" s="15"/>
      <c r="G271" s="70">
        <f>G272+G274</f>
        <v>0</v>
      </c>
      <c r="H271" s="70">
        <f>H274+H272</f>
        <v>0</v>
      </c>
      <c r="I271" s="70">
        <f>I274+I272</f>
        <v>0</v>
      </c>
      <c r="P271" s="17"/>
      <c r="Q271" s="17"/>
      <c r="R271" s="17"/>
      <c r="S271" s="17"/>
      <c r="T271" s="17"/>
    </row>
    <row r="272" spans="1:20" s="18" customFormat="1" ht="24.75" hidden="1" customHeight="1">
      <c r="A272" s="16" t="s">
        <v>324</v>
      </c>
      <c r="B272" s="49">
        <v>795</v>
      </c>
      <c r="C272" s="15" t="s">
        <v>54</v>
      </c>
      <c r="D272" s="15" t="s">
        <v>123</v>
      </c>
      <c r="E272" s="15" t="s">
        <v>624</v>
      </c>
      <c r="F272" s="15" t="s">
        <v>37</v>
      </c>
      <c r="G272" s="70">
        <f t="shared" ref="G272:I272" si="60">G273</f>
        <v>0</v>
      </c>
      <c r="H272" s="70">
        <f t="shared" si="60"/>
        <v>0</v>
      </c>
      <c r="I272" s="70">
        <f t="shared" si="60"/>
        <v>0</v>
      </c>
      <c r="P272" s="17"/>
      <c r="Q272" s="17"/>
      <c r="R272" s="17"/>
      <c r="S272" s="17"/>
      <c r="T272" s="17"/>
    </row>
    <row r="273" spans="1:20" s="18" customFormat="1" ht="30.75" hidden="1" customHeight="1">
      <c r="A273" s="16" t="s">
        <v>38</v>
      </c>
      <c r="B273" s="49">
        <v>795</v>
      </c>
      <c r="C273" s="15" t="s">
        <v>54</v>
      </c>
      <c r="D273" s="15" t="s">
        <v>123</v>
      </c>
      <c r="E273" s="15" t="s">
        <v>624</v>
      </c>
      <c r="F273" s="15" t="s">
        <v>39</v>
      </c>
      <c r="G273" s="70"/>
      <c r="H273" s="70"/>
      <c r="I273" s="70"/>
      <c r="P273" s="17"/>
      <c r="Q273" s="17"/>
      <c r="R273" s="17"/>
      <c r="S273" s="17"/>
      <c r="T273" s="17"/>
    </row>
    <row r="274" spans="1:20" s="90" customFormat="1" ht="22.5" hidden="1" customHeight="1">
      <c r="A274" s="82" t="s">
        <v>156</v>
      </c>
      <c r="B274" s="83">
        <v>795</v>
      </c>
      <c r="C274" s="84" t="s">
        <v>54</v>
      </c>
      <c r="D274" s="84" t="s">
        <v>123</v>
      </c>
      <c r="E274" s="84" t="s">
        <v>624</v>
      </c>
      <c r="F274" s="84" t="s">
        <v>157</v>
      </c>
      <c r="G274" s="87">
        <f>G275</f>
        <v>0</v>
      </c>
      <c r="H274" s="87">
        <f t="shared" ref="H274:I274" si="61">H275</f>
        <v>0</v>
      </c>
      <c r="I274" s="87">
        <f t="shared" si="61"/>
        <v>0</v>
      </c>
      <c r="P274" s="126"/>
      <c r="Q274" s="126"/>
      <c r="R274" s="126"/>
      <c r="S274" s="126"/>
      <c r="T274" s="126"/>
    </row>
    <row r="275" spans="1:20" s="90" customFormat="1" ht="16.5" hidden="1" customHeight="1">
      <c r="A275" s="82" t="s">
        <v>178</v>
      </c>
      <c r="B275" s="83">
        <v>795</v>
      </c>
      <c r="C275" s="84" t="s">
        <v>54</v>
      </c>
      <c r="D275" s="84" t="s">
        <v>123</v>
      </c>
      <c r="E275" s="84" t="s">
        <v>624</v>
      </c>
      <c r="F275" s="84" t="s">
        <v>179</v>
      </c>
      <c r="G275" s="87">
        <f>'прил 5,'!G1874</f>
        <v>0</v>
      </c>
      <c r="H275" s="127">
        <f>'прил 5,'!H1874</f>
        <v>0</v>
      </c>
      <c r="I275" s="127">
        <f>'прил 5,'!I1874</f>
        <v>0</v>
      </c>
      <c r="P275" s="126"/>
      <c r="Q275" s="126"/>
      <c r="R275" s="126"/>
      <c r="S275" s="126"/>
      <c r="T275" s="126"/>
    </row>
    <row r="276" spans="1:20" s="90" customFormat="1" ht="47.45" customHeight="1">
      <c r="A276" s="16" t="s">
        <v>1066</v>
      </c>
      <c r="B276" s="83"/>
      <c r="C276" s="84"/>
      <c r="D276" s="84"/>
      <c r="E276" s="15" t="s">
        <v>1067</v>
      </c>
      <c r="F276" s="15"/>
      <c r="G276" s="87">
        <f>G277</f>
        <v>5336807.38</v>
      </c>
      <c r="H276" s="127"/>
      <c r="I276" s="127"/>
      <c r="P276" s="126"/>
      <c r="Q276" s="126"/>
      <c r="R276" s="126"/>
      <c r="S276" s="126"/>
      <c r="T276" s="126"/>
    </row>
    <row r="277" spans="1:20" s="90" customFormat="1" ht="16.5" customHeight="1">
      <c r="A277" s="82" t="s">
        <v>457</v>
      </c>
      <c r="B277" s="83"/>
      <c r="C277" s="84"/>
      <c r="D277" s="84"/>
      <c r="E277" s="15" t="s">
        <v>1067</v>
      </c>
      <c r="F277" s="15" t="s">
        <v>37</v>
      </c>
      <c r="G277" s="87">
        <f>G278</f>
        <v>5336807.38</v>
      </c>
      <c r="H277" s="127"/>
      <c r="I277" s="127"/>
      <c r="P277" s="126"/>
      <c r="Q277" s="126"/>
      <c r="R277" s="126"/>
      <c r="S277" s="126"/>
      <c r="T277" s="126"/>
    </row>
    <row r="278" spans="1:20" s="90" customFormat="1" ht="16.5" customHeight="1">
      <c r="A278" s="82" t="s">
        <v>38</v>
      </c>
      <c r="B278" s="83"/>
      <c r="C278" s="84"/>
      <c r="D278" s="84"/>
      <c r="E278" s="15" t="s">
        <v>1067</v>
      </c>
      <c r="F278" s="15" t="s">
        <v>39</v>
      </c>
      <c r="G278" s="87">
        <f>'прил 5,'!G1362</f>
        <v>5336807.38</v>
      </c>
      <c r="H278" s="127"/>
      <c r="I278" s="127"/>
      <c r="P278" s="126"/>
      <c r="Q278" s="126"/>
      <c r="R278" s="126"/>
      <c r="S278" s="126"/>
      <c r="T278" s="126"/>
    </row>
    <row r="279" spans="1:20" s="18" customFormat="1" ht="86.25" customHeight="1">
      <c r="A279" s="16" t="s">
        <v>998</v>
      </c>
      <c r="B279" s="14">
        <v>793</v>
      </c>
      <c r="C279" s="15" t="s">
        <v>54</v>
      </c>
      <c r="D279" s="15" t="s">
        <v>123</v>
      </c>
      <c r="E279" s="15" t="s">
        <v>997</v>
      </c>
      <c r="F279" s="15"/>
      <c r="G279" s="70">
        <f>G280</f>
        <v>527146.93999999994</v>
      </c>
      <c r="H279" s="70">
        <f t="shared" ref="H279:I279" si="62">H280+H285</f>
        <v>0</v>
      </c>
      <c r="I279" s="70">
        <f t="shared" si="62"/>
        <v>0</v>
      </c>
      <c r="J279" s="176"/>
      <c r="K279" s="184"/>
      <c r="L279" s="184"/>
      <c r="M279" s="184"/>
      <c r="N279" s="184"/>
      <c r="O279" s="184"/>
      <c r="P279" s="184"/>
      <c r="Q279" s="184"/>
      <c r="R279" s="184"/>
    </row>
    <row r="280" spans="1:20" s="18" customFormat="1" ht="76.5" customHeight="1">
      <c r="A280" s="16" t="s">
        <v>998</v>
      </c>
      <c r="B280" s="14">
        <v>793</v>
      </c>
      <c r="C280" s="15" t="s">
        <v>54</v>
      </c>
      <c r="D280" s="15" t="s">
        <v>123</v>
      </c>
      <c r="E280" s="15" t="s">
        <v>1001</v>
      </c>
      <c r="F280" s="15"/>
      <c r="G280" s="70">
        <f>G281+G283</f>
        <v>527146.93999999994</v>
      </c>
      <c r="H280" s="70">
        <f t="shared" ref="G280:I283" si="63">H281</f>
        <v>0</v>
      </c>
      <c r="I280" s="70">
        <f t="shared" si="63"/>
        <v>0</v>
      </c>
      <c r="J280" s="176"/>
      <c r="K280" s="184"/>
      <c r="L280" s="184"/>
      <c r="M280" s="184"/>
      <c r="N280" s="184"/>
      <c r="O280" s="184"/>
      <c r="P280" s="184"/>
      <c r="Q280" s="184"/>
      <c r="R280" s="184"/>
    </row>
    <row r="281" spans="1:20" s="18" customFormat="1" ht="15" customHeight="1">
      <c r="A281" s="16" t="s">
        <v>156</v>
      </c>
      <c r="B281" s="14">
        <v>793</v>
      </c>
      <c r="C281" s="15" t="s">
        <v>54</v>
      </c>
      <c r="D281" s="15" t="s">
        <v>123</v>
      </c>
      <c r="E281" s="15" t="s">
        <v>1001</v>
      </c>
      <c r="F281" s="15" t="s">
        <v>157</v>
      </c>
      <c r="G281" s="70">
        <f t="shared" si="63"/>
        <v>78240.87</v>
      </c>
      <c r="H281" s="70">
        <f t="shared" si="63"/>
        <v>0</v>
      </c>
      <c r="I281" s="70">
        <f t="shared" si="63"/>
        <v>0</v>
      </c>
      <c r="J281" s="176"/>
      <c r="K281" s="184"/>
      <c r="L281" s="184"/>
      <c r="M281" s="184"/>
      <c r="N281" s="184"/>
      <c r="O281" s="184"/>
      <c r="P281" s="184"/>
      <c r="Q281" s="184"/>
      <c r="R281" s="184"/>
    </row>
    <row r="282" spans="1:20" s="18" customFormat="1" ht="32.25" customHeight="1">
      <c r="A282" s="16" t="s">
        <v>178</v>
      </c>
      <c r="B282" s="14">
        <v>793</v>
      </c>
      <c r="C282" s="15" t="s">
        <v>54</v>
      </c>
      <c r="D282" s="15" t="s">
        <v>123</v>
      </c>
      <c r="E282" s="15" t="s">
        <v>1001</v>
      </c>
      <c r="F282" s="15" t="s">
        <v>179</v>
      </c>
      <c r="G282" s="70">
        <v>78240.87</v>
      </c>
      <c r="H282" s="70"/>
      <c r="I282" s="70"/>
      <c r="J282" s="176"/>
      <c r="K282" s="184"/>
      <c r="L282" s="184"/>
      <c r="M282" s="184"/>
      <c r="N282" s="184"/>
      <c r="O282" s="184"/>
      <c r="P282" s="184"/>
      <c r="Q282" s="184"/>
      <c r="R282" s="184"/>
    </row>
    <row r="283" spans="1:20" s="18" customFormat="1" ht="15" customHeight="1">
      <c r="A283" s="16" t="s">
        <v>324</v>
      </c>
      <c r="B283" s="14">
        <v>793</v>
      </c>
      <c r="C283" s="15" t="s">
        <v>54</v>
      </c>
      <c r="D283" s="15" t="s">
        <v>123</v>
      </c>
      <c r="E283" s="15" t="s">
        <v>1001</v>
      </c>
      <c r="F283" s="15" t="s">
        <v>37</v>
      </c>
      <c r="G283" s="70">
        <f t="shared" si="63"/>
        <v>448906.07</v>
      </c>
      <c r="H283" s="70">
        <f t="shared" si="63"/>
        <v>0</v>
      </c>
      <c r="I283" s="70">
        <f t="shared" si="63"/>
        <v>0</v>
      </c>
      <c r="J283" s="176"/>
      <c r="K283" s="184"/>
      <c r="L283" s="184"/>
      <c r="M283" s="184"/>
      <c r="N283" s="184"/>
      <c r="O283" s="184"/>
      <c r="P283" s="184"/>
      <c r="Q283" s="184"/>
      <c r="R283" s="184"/>
    </row>
    <row r="284" spans="1:20" s="18" customFormat="1" ht="32.25" customHeight="1">
      <c r="A284" s="16" t="s">
        <v>38</v>
      </c>
      <c r="B284" s="14">
        <v>793</v>
      </c>
      <c r="C284" s="15" t="s">
        <v>54</v>
      </c>
      <c r="D284" s="15" t="s">
        <v>123</v>
      </c>
      <c r="E284" s="15" t="s">
        <v>1001</v>
      </c>
      <c r="F284" s="15" t="s">
        <v>39</v>
      </c>
      <c r="G284" s="70">
        <v>448906.07</v>
      </c>
      <c r="H284" s="70">
        <v>0</v>
      </c>
      <c r="I284" s="70">
        <v>0</v>
      </c>
      <c r="J284" s="176"/>
      <c r="K284" s="184"/>
      <c r="L284" s="184"/>
      <c r="M284" s="184"/>
      <c r="N284" s="184"/>
      <c r="O284" s="184"/>
      <c r="P284" s="184"/>
      <c r="Q284" s="184"/>
      <c r="R284" s="184"/>
    </row>
    <row r="285" spans="1:20" s="18" customFormat="1" ht="86.25" customHeight="1">
      <c r="A285" s="16" t="s">
        <v>999</v>
      </c>
      <c r="B285" s="14">
        <v>793</v>
      </c>
      <c r="C285" s="15" t="s">
        <v>54</v>
      </c>
      <c r="D285" s="15" t="s">
        <v>123</v>
      </c>
      <c r="E285" s="15" t="s">
        <v>11</v>
      </c>
      <c r="F285" s="15"/>
      <c r="G285" s="70">
        <f>G286</f>
        <v>1024610.61</v>
      </c>
      <c r="H285" s="70">
        <f t="shared" ref="H285:I285" si="64">H286</f>
        <v>0</v>
      </c>
      <c r="I285" s="70">
        <f t="shared" si="64"/>
        <v>0</v>
      </c>
      <c r="J285" s="176"/>
      <c r="K285" s="184"/>
      <c r="L285" s="184"/>
      <c r="M285" s="184"/>
      <c r="N285" s="184"/>
      <c r="O285" s="184"/>
      <c r="P285" s="184"/>
      <c r="Q285" s="184"/>
      <c r="R285" s="184"/>
    </row>
    <row r="286" spans="1:20" s="18" customFormat="1" ht="76.5" customHeight="1">
      <c r="A286" s="16" t="s">
        <v>999</v>
      </c>
      <c r="B286" s="14">
        <v>793</v>
      </c>
      <c r="C286" s="15" t="s">
        <v>54</v>
      </c>
      <c r="D286" s="15" t="s">
        <v>123</v>
      </c>
      <c r="E286" s="15" t="s">
        <v>1000</v>
      </c>
      <c r="F286" s="15"/>
      <c r="G286" s="70">
        <f>G288+G290</f>
        <v>1024610.61</v>
      </c>
      <c r="H286" s="70">
        <f t="shared" ref="G286:I287" si="65">H287</f>
        <v>0</v>
      </c>
      <c r="I286" s="70">
        <f t="shared" si="65"/>
        <v>0</v>
      </c>
      <c r="J286" s="176"/>
      <c r="K286" s="184"/>
      <c r="L286" s="184"/>
      <c r="M286" s="184"/>
      <c r="N286" s="184"/>
      <c r="O286" s="184"/>
      <c r="P286" s="184"/>
      <c r="Q286" s="184"/>
      <c r="R286" s="184"/>
    </row>
    <row r="287" spans="1:20" s="18" customFormat="1" ht="15" customHeight="1">
      <c r="A287" s="16" t="s">
        <v>156</v>
      </c>
      <c r="B287" s="14">
        <v>793</v>
      </c>
      <c r="C287" s="15" t="s">
        <v>54</v>
      </c>
      <c r="D287" s="15" t="s">
        <v>123</v>
      </c>
      <c r="E287" s="15" t="s">
        <v>1000</v>
      </c>
      <c r="F287" s="15" t="s">
        <v>157</v>
      </c>
      <c r="G287" s="70">
        <f t="shared" si="65"/>
        <v>427365.25</v>
      </c>
      <c r="H287" s="70">
        <f t="shared" si="65"/>
        <v>0</v>
      </c>
      <c r="I287" s="70">
        <f t="shared" si="65"/>
        <v>0</v>
      </c>
      <c r="J287" s="176"/>
      <c r="K287" s="184"/>
      <c r="L287" s="184"/>
      <c r="M287" s="184"/>
      <c r="N287" s="184"/>
      <c r="O287" s="184"/>
      <c r="P287" s="184"/>
      <c r="Q287" s="184"/>
      <c r="R287" s="184"/>
    </row>
    <row r="288" spans="1:20" s="18" customFormat="1" ht="32.25" customHeight="1">
      <c r="A288" s="16" t="s">
        <v>178</v>
      </c>
      <c r="B288" s="14">
        <v>793</v>
      </c>
      <c r="C288" s="15" t="s">
        <v>54</v>
      </c>
      <c r="D288" s="15" t="s">
        <v>123</v>
      </c>
      <c r="E288" s="15" t="s">
        <v>1000</v>
      </c>
      <c r="F288" s="15" t="s">
        <v>179</v>
      </c>
      <c r="G288" s="70">
        <v>427365.25</v>
      </c>
      <c r="H288" s="70">
        <v>0</v>
      </c>
      <c r="I288" s="70">
        <v>0</v>
      </c>
      <c r="J288" s="176"/>
      <c r="K288" s="184"/>
      <c r="L288" s="184"/>
      <c r="M288" s="184"/>
      <c r="N288" s="184"/>
      <c r="O288" s="184"/>
      <c r="P288" s="184"/>
      <c r="Q288" s="184"/>
      <c r="R288" s="184"/>
    </row>
    <row r="289" spans="1:20" s="18" customFormat="1" ht="15" customHeight="1">
      <c r="A289" s="16" t="s">
        <v>324</v>
      </c>
      <c r="B289" s="14">
        <v>793</v>
      </c>
      <c r="C289" s="15" t="s">
        <v>54</v>
      </c>
      <c r="D289" s="15" t="s">
        <v>123</v>
      </c>
      <c r="E289" s="15" t="s">
        <v>1000</v>
      </c>
      <c r="F289" s="15" t="s">
        <v>37</v>
      </c>
      <c r="G289" s="70">
        <f t="shared" ref="G289:I289" si="66">G290</f>
        <v>597245.36</v>
      </c>
      <c r="H289" s="70">
        <f t="shared" si="66"/>
        <v>0</v>
      </c>
      <c r="I289" s="70">
        <f t="shared" si="66"/>
        <v>0</v>
      </c>
      <c r="J289" s="176"/>
      <c r="K289" s="184"/>
      <c r="L289" s="184"/>
      <c r="M289" s="184"/>
      <c r="N289" s="184"/>
      <c r="O289" s="184"/>
      <c r="P289" s="184"/>
      <c r="Q289" s="184"/>
      <c r="R289" s="184"/>
    </row>
    <row r="290" spans="1:20" s="18" customFormat="1" ht="32.25" customHeight="1">
      <c r="A290" s="16" t="s">
        <v>38</v>
      </c>
      <c r="B290" s="14">
        <v>793</v>
      </c>
      <c r="C290" s="15" t="s">
        <v>54</v>
      </c>
      <c r="D290" s="15" t="s">
        <v>123</v>
      </c>
      <c r="E290" s="15" t="s">
        <v>1000</v>
      </c>
      <c r="F290" s="15" t="s">
        <v>39</v>
      </c>
      <c r="G290" s="70">
        <f>447043.05+150202.31</f>
        <v>597245.36</v>
      </c>
      <c r="H290" s="70">
        <v>0</v>
      </c>
      <c r="I290" s="70">
        <v>0</v>
      </c>
      <c r="J290" s="176"/>
      <c r="K290" s="184"/>
      <c r="L290" s="184"/>
      <c r="M290" s="184"/>
      <c r="N290" s="184"/>
      <c r="O290" s="184"/>
      <c r="P290" s="184"/>
      <c r="Q290" s="184"/>
      <c r="R290" s="184"/>
    </row>
    <row r="291" spans="1:20" s="18" customFormat="1" ht="102" customHeight="1">
      <c r="A291" s="16" t="s">
        <v>1003</v>
      </c>
      <c r="B291" s="14">
        <v>793</v>
      </c>
      <c r="C291" s="15" t="s">
        <v>54</v>
      </c>
      <c r="D291" s="15" t="s">
        <v>123</v>
      </c>
      <c r="E291" s="15" t="s">
        <v>1002</v>
      </c>
      <c r="F291" s="15"/>
      <c r="G291" s="70">
        <f>G292</f>
        <v>28597</v>
      </c>
      <c r="H291" s="70">
        <f t="shared" ref="H291:I291" si="67">H292+H309</f>
        <v>0</v>
      </c>
      <c r="I291" s="70">
        <f t="shared" si="67"/>
        <v>0</v>
      </c>
      <c r="J291" s="176"/>
      <c r="K291" s="184"/>
      <c r="L291" s="184"/>
      <c r="M291" s="184"/>
      <c r="N291" s="184"/>
      <c r="O291" s="184"/>
      <c r="P291" s="184"/>
      <c r="Q291" s="184"/>
      <c r="R291" s="184"/>
    </row>
    <row r="292" spans="1:20" s="18" customFormat="1" ht="108" customHeight="1">
      <c r="A292" s="16" t="s">
        <v>1003</v>
      </c>
      <c r="B292" s="14">
        <v>793</v>
      </c>
      <c r="C292" s="15" t="s">
        <v>54</v>
      </c>
      <c r="D292" s="15" t="s">
        <v>123</v>
      </c>
      <c r="E292" s="15" t="s">
        <v>1004</v>
      </c>
      <c r="F292" s="15"/>
      <c r="G292" s="70">
        <f>G293+G304</f>
        <v>28597</v>
      </c>
      <c r="H292" s="70">
        <f t="shared" ref="G292:I293" si="68">H293</f>
        <v>0</v>
      </c>
      <c r="I292" s="70">
        <f t="shared" si="68"/>
        <v>0</v>
      </c>
      <c r="J292" s="176"/>
      <c r="K292" s="184"/>
      <c r="L292" s="184"/>
      <c r="M292" s="184"/>
      <c r="N292" s="184"/>
      <c r="O292" s="184"/>
      <c r="P292" s="184"/>
      <c r="Q292" s="184"/>
      <c r="R292" s="184"/>
    </row>
    <row r="293" spans="1:20" s="18" customFormat="1" ht="15" customHeight="1">
      <c r="A293" s="16" t="s">
        <v>156</v>
      </c>
      <c r="B293" s="14">
        <v>793</v>
      </c>
      <c r="C293" s="15" t="s">
        <v>54</v>
      </c>
      <c r="D293" s="15" t="s">
        <v>123</v>
      </c>
      <c r="E293" s="15" t="s">
        <v>1004</v>
      </c>
      <c r="F293" s="15" t="s">
        <v>157</v>
      </c>
      <c r="G293" s="70">
        <f t="shared" si="68"/>
        <v>28597</v>
      </c>
      <c r="H293" s="70">
        <f t="shared" si="68"/>
        <v>0</v>
      </c>
      <c r="I293" s="70">
        <f t="shared" si="68"/>
        <v>0</v>
      </c>
      <c r="J293" s="176"/>
      <c r="K293" s="184"/>
      <c r="L293" s="184"/>
      <c r="M293" s="184"/>
      <c r="N293" s="184"/>
      <c r="O293" s="184"/>
      <c r="P293" s="184"/>
      <c r="Q293" s="184"/>
      <c r="R293" s="184"/>
    </row>
    <row r="294" spans="1:20" s="18" customFormat="1" ht="32.25" customHeight="1">
      <c r="A294" s="16" t="s">
        <v>178</v>
      </c>
      <c r="B294" s="14">
        <v>793</v>
      </c>
      <c r="C294" s="15" t="s">
        <v>54</v>
      </c>
      <c r="D294" s="15" t="s">
        <v>123</v>
      </c>
      <c r="E294" s="15" t="s">
        <v>1004</v>
      </c>
      <c r="F294" s="15" t="s">
        <v>179</v>
      </c>
      <c r="G294" s="70">
        <v>28597</v>
      </c>
      <c r="H294" s="70">
        <v>0</v>
      </c>
      <c r="I294" s="70">
        <v>0</v>
      </c>
      <c r="J294" s="176"/>
      <c r="K294" s="184"/>
      <c r="L294" s="184"/>
      <c r="M294" s="184"/>
      <c r="N294" s="184"/>
      <c r="O294" s="184"/>
      <c r="P294" s="184"/>
      <c r="Q294" s="184"/>
      <c r="R294" s="184"/>
    </row>
    <row r="295" spans="1:20" s="18" customFormat="1" ht="32.25" customHeight="1">
      <c r="A295" s="82" t="s">
        <v>1027</v>
      </c>
      <c r="B295" s="14"/>
      <c r="C295" s="15"/>
      <c r="D295" s="15"/>
      <c r="E295" s="84" t="s">
        <v>1030</v>
      </c>
      <c r="F295" s="15"/>
      <c r="G295" s="70">
        <f>G296</f>
        <v>4200600</v>
      </c>
      <c r="H295" s="70"/>
      <c r="I295" s="70"/>
      <c r="J295" s="176"/>
      <c r="K295" s="184"/>
      <c r="L295" s="184"/>
      <c r="M295" s="184"/>
      <c r="N295" s="184"/>
      <c r="O295" s="184"/>
      <c r="P295" s="184"/>
      <c r="Q295" s="184"/>
      <c r="R295" s="184"/>
    </row>
    <row r="296" spans="1:20" s="18" customFormat="1" ht="32.25" customHeight="1">
      <c r="A296" s="82" t="s">
        <v>1028</v>
      </c>
      <c r="B296" s="14"/>
      <c r="C296" s="15"/>
      <c r="D296" s="15"/>
      <c r="E296" s="84" t="s">
        <v>1031</v>
      </c>
      <c r="F296" s="15"/>
      <c r="G296" s="70">
        <f>G297</f>
        <v>4200600</v>
      </c>
      <c r="H296" s="70"/>
      <c r="I296" s="70"/>
      <c r="J296" s="176"/>
      <c r="K296" s="184"/>
      <c r="L296" s="184"/>
      <c r="M296" s="184"/>
      <c r="N296" s="184"/>
      <c r="O296" s="184"/>
      <c r="P296" s="184"/>
      <c r="Q296" s="184"/>
      <c r="R296" s="184"/>
    </row>
    <row r="297" spans="1:20" s="18" customFormat="1" ht="32.25" customHeight="1">
      <c r="A297" s="16" t="s">
        <v>324</v>
      </c>
      <c r="B297" s="14"/>
      <c r="C297" s="15"/>
      <c r="D297" s="15"/>
      <c r="E297" s="84" t="s">
        <v>1031</v>
      </c>
      <c r="F297" s="15" t="s">
        <v>37</v>
      </c>
      <c r="G297" s="70">
        <f>G298</f>
        <v>4200600</v>
      </c>
      <c r="H297" s="70"/>
      <c r="I297" s="70"/>
      <c r="J297" s="176"/>
      <c r="K297" s="184"/>
      <c r="L297" s="184"/>
      <c r="M297" s="184"/>
      <c r="N297" s="184"/>
      <c r="O297" s="184"/>
      <c r="P297" s="184"/>
      <c r="Q297" s="184"/>
      <c r="R297" s="184"/>
    </row>
    <row r="298" spans="1:20" s="18" customFormat="1" ht="32.25" customHeight="1">
      <c r="A298" s="16" t="s">
        <v>38</v>
      </c>
      <c r="B298" s="14"/>
      <c r="C298" s="15"/>
      <c r="D298" s="15"/>
      <c r="E298" s="84" t="s">
        <v>1031</v>
      </c>
      <c r="F298" s="15" t="s">
        <v>39</v>
      </c>
      <c r="G298" s="70">
        <v>4200600</v>
      </c>
      <c r="H298" s="70"/>
      <c r="I298" s="70"/>
      <c r="J298" s="176"/>
      <c r="K298" s="184"/>
      <c r="L298" s="184"/>
      <c r="M298" s="184"/>
      <c r="N298" s="184"/>
      <c r="O298" s="184"/>
      <c r="P298" s="184"/>
      <c r="Q298" s="184"/>
      <c r="R298" s="184"/>
    </row>
    <row r="299" spans="1:20" s="18" customFormat="1" ht="32.25" customHeight="1">
      <c r="A299" s="82" t="s">
        <v>1022</v>
      </c>
      <c r="B299" s="14"/>
      <c r="C299" s="15"/>
      <c r="D299" s="15"/>
      <c r="E299" s="84" t="s">
        <v>1032</v>
      </c>
      <c r="F299" s="15"/>
      <c r="G299" s="70">
        <f>G300</f>
        <v>1700000</v>
      </c>
      <c r="H299" s="70"/>
      <c r="I299" s="70"/>
      <c r="J299" s="176"/>
      <c r="K299" s="184"/>
      <c r="L299" s="184"/>
      <c r="M299" s="184"/>
      <c r="N299" s="184"/>
      <c r="O299" s="184"/>
      <c r="P299" s="184"/>
      <c r="Q299" s="184"/>
      <c r="R299" s="184"/>
    </row>
    <row r="300" spans="1:20" s="18" customFormat="1" ht="32.25" customHeight="1">
      <c r="A300" s="82" t="s">
        <v>1024</v>
      </c>
      <c r="B300" s="14"/>
      <c r="C300" s="15"/>
      <c r="D300" s="15"/>
      <c r="E300" s="84" t="s">
        <v>1033</v>
      </c>
      <c r="F300" s="15"/>
      <c r="G300" s="70">
        <f>G301</f>
        <v>1700000</v>
      </c>
      <c r="H300" s="70"/>
      <c r="I300" s="70"/>
      <c r="J300" s="176"/>
      <c r="K300" s="184"/>
      <c r="L300" s="184"/>
      <c r="M300" s="184"/>
      <c r="N300" s="184"/>
      <c r="O300" s="184"/>
      <c r="P300" s="184"/>
      <c r="Q300" s="184"/>
      <c r="R300" s="184"/>
    </row>
    <row r="301" spans="1:20" s="18" customFormat="1" ht="32.25" customHeight="1">
      <c r="A301" s="16" t="s">
        <v>324</v>
      </c>
      <c r="B301" s="14"/>
      <c r="C301" s="15"/>
      <c r="D301" s="15"/>
      <c r="E301" s="84" t="s">
        <v>1033</v>
      </c>
      <c r="F301" s="15" t="s">
        <v>37</v>
      </c>
      <c r="G301" s="70">
        <f>G302</f>
        <v>1700000</v>
      </c>
      <c r="H301" s="70"/>
      <c r="I301" s="70"/>
      <c r="J301" s="176"/>
      <c r="K301" s="184"/>
      <c r="L301" s="184"/>
      <c r="M301" s="184"/>
      <c r="N301" s="184"/>
      <c r="O301" s="184"/>
      <c r="P301" s="184"/>
      <c r="Q301" s="184"/>
      <c r="R301" s="184"/>
    </row>
    <row r="302" spans="1:20" s="18" customFormat="1" ht="32.25" customHeight="1">
      <c r="A302" s="16" t="s">
        <v>38</v>
      </c>
      <c r="B302" s="14"/>
      <c r="C302" s="15"/>
      <c r="D302" s="15"/>
      <c r="E302" s="84" t="s">
        <v>1033</v>
      </c>
      <c r="F302" s="15" t="s">
        <v>39</v>
      </c>
      <c r="G302" s="70">
        <f>'прил 5,'!G1397</f>
        <v>1700000</v>
      </c>
      <c r="H302" s="70"/>
      <c r="I302" s="70"/>
      <c r="J302" s="176"/>
      <c r="K302" s="184"/>
      <c r="L302" s="184"/>
      <c r="M302" s="184"/>
      <c r="N302" s="184"/>
      <c r="O302" s="184"/>
      <c r="P302" s="184"/>
      <c r="Q302" s="184"/>
      <c r="R302" s="184"/>
    </row>
    <row r="303" spans="1:20" s="235" customFormat="1" ht="63.75">
      <c r="A303" s="34" t="s">
        <v>514</v>
      </c>
      <c r="B303" s="36" t="s">
        <v>94</v>
      </c>
      <c r="C303" s="36" t="s">
        <v>26</v>
      </c>
      <c r="D303" s="36" t="s">
        <v>28</v>
      </c>
      <c r="E303" s="36" t="s">
        <v>214</v>
      </c>
      <c r="F303" s="36"/>
      <c r="G303" s="71">
        <f>G307+G310+G313+G318+G325+G342+G330</f>
        <v>77563500</v>
      </c>
      <c r="H303" s="71">
        <f>H307+H310+H313+H318+H325+H342</f>
        <v>1800000</v>
      </c>
      <c r="I303" s="71">
        <f>I307+I310+I313+I318+I325+I342</f>
        <v>199712224.15000001</v>
      </c>
      <c r="P303" s="234"/>
      <c r="Q303" s="234"/>
      <c r="R303" s="234"/>
      <c r="S303" s="234"/>
      <c r="T303" s="234"/>
    </row>
    <row r="304" spans="1:20" s="18" customFormat="1" ht="38.25" hidden="1">
      <c r="A304" s="16" t="s">
        <v>604</v>
      </c>
      <c r="B304" s="14">
        <v>757</v>
      </c>
      <c r="C304" s="15" t="s">
        <v>26</v>
      </c>
      <c r="D304" s="15" t="s">
        <v>70</v>
      </c>
      <c r="E304" s="15" t="s">
        <v>585</v>
      </c>
      <c r="F304" s="15"/>
      <c r="G304" s="70">
        <f>G305</f>
        <v>0</v>
      </c>
      <c r="H304" s="70">
        <f t="shared" ref="H304:I305" si="69">H305</f>
        <v>0</v>
      </c>
      <c r="I304" s="70">
        <f t="shared" si="69"/>
        <v>0</v>
      </c>
      <c r="P304" s="17"/>
      <c r="Q304" s="17"/>
      <c r="R304" s="17"/>
      <c r="S304" s="17"/>
      <c r="T304" s="17"/>
    </row>
    <row r="305" spans="1:20" s="18" customFormat="1" ht="36" hidden="1" customHeight="1">
      <c r="A305" s="16" t="s">
        <v>96</v>
      </c>
      <c r="B305" s="14">
        <v>757</v>
      </c>
      <c r="C305" s="15" t="s">
        <v>26</v>
      </c>
      <c r="D305" s="15" t="s">
        <v>70</v>
      </c>
      <c r="E305" s="15" t="s">
        <v>585</v>
      </c>
      <c r="F305" s="15" t="s">
        <v>349</v>
      </c>
      <c r="G305" s="70">
        <f>G306</f>
        <v>0</v>
      </c>
      <c r="H305" s="70">
        <f t="shared" si="69"/>
        <v>0</v>
      </c>
      <c r="I305" s="70">
        <f t="shared" si="69"/>
        <v>0</v>
      </c>
      <c r="P305" s="17"/>
      <c r="Q305" s="17"/>
      <c r="R305" s="17"/>
      <c r="S305" s="17"/>
      <c r="T305" s="17"/>
    </row>
    <row r="306" spans="1:20" s="18" customFormat="1" ht="99" hidden="1" customHeight="1">
      <c r="A306" s="50" t="s">
        <v>421</v>
      </c>
      <c r="B306" s="14">
        <v>757</v>
      </c>
      <c r="C306" s="15" t="s">
        <v>26</v>
      </c>
      <c r="D306" s="15" t="s">
        <v>70</v>
      </c>
      <c r="E306" s="15" t="s">
        <v>585</v>
      </c>
      <c r="F306" s="15" t="s">
        <v>420</v>
      </c>
      <c r="G306" s="70">
        <v>0</v>
      </c>
      <c r="H306" s="70"/>
      <c r="I306" s="70">
        <v>0</v>
      </c>
      <c r="P306" s="17"/>
      <c r="Q306" s="17"/>
      <c r="R306" s="17"/>
      <c r="S306" s="17"/>
      <c r="T306" s="17"/>
    </row>
    <row r="307" spans="1:20" s="18" customFormat="1" ht="25.5" hidden="1">
      <c r="A307" s="16" t="s">
        <v>506</v>
      </c>
      <c r="B307" s="15" t="s">
        <v>94</v>
      </c>
      <c r="C307" s="15" t="s">
        <v>26</v>
      </c>
      <c r="D307" s="15" t="s">
        <v>28</v>
      </c>
      <c r="E307" s="15" t="s">
        <v>505</v>
      </c>
      <c r="F307" s="15"/>
      <c r="G307" s="70">
        <f>G308</f>
        <v>0</v>
      </c>
      <c r="H307" s="70">
        <f t="shared" ref="H307:I308" si="70">H308</f>
        <v>0</v>
      </c>
      <c r="I307" s="70">
        <f t="shared" si="70"/>
        <v>0</v>
      </c>
      <c r="P307" s="17"/>
      <c r="Q307" s="17"/>
      <c r="R307" s="17"/>
      <c r="S307" s="17"/>
      <c r="T307" s="17"/>
    </row>
    <row r="308" spans="1:20" s="18" customFormat="1" ht="36" hidden="1" customHeight="1">
      <c r="A308" s="16" t="s">
        <v>96</v>
      </c>
      <c r="B308" s="15" t="s">
        <v>94</v>
      </c>
      <c r="C308" s="15" t="s">
        <v>26</v>
      </c>
      <c r="D308" s="15" t="s">
        <v>28</v>
      </c>
      <c r="E308" s="15" t="s">
        <v>505</v>
      </c>
      <c r="F308" s="15" t="s">
        <v>349</v>
      </c>
      <c r="G308" s="70">
        <f>G309</f>
        <v>0</v>
      </c>
      <c r="H308" s="70">
        <f t="shared" si="70"/>
        <v>0</v>
      </c>
      <c r="I308" s="70">
        <f t="shared" si="70"/>
        <v>0</v>
      </c>
      <c r="P308" s="17"/>
      <c r="Q308" s="17"/>
      <c r="R308" s="17"/>
      <c r="S308" s="17"/>
      <c r="T308" s="17"/>
    </row>
    <row r="309" spans="1:20" s="18" customFormat="1" ht="99" hidden="1" customHeight="1">
      <c r="A309" s="50" t="s">
        <v>421</v>
      </c>
      <c r="B309" s="15" t="s">
        <v>94</v>
      </c>
      <c r="C309" s="15" t="s">
        <v>26</v>
      </c>
      <c r="D309" s="15" t="s">
        <v>28</v>
      </c>
      <c r="E309" s="15" t="s">
        <v>505</v>
      </c>
      <c r="F309" s="15" t="s">
        <v>420</v>
      </c>
      <c r="G309" s="70">
        <v>0</v>
      </c>
      <c r="H309" s="70"/>
      <c r="I309" s="70">
        <v>0</v>
      </c>
      <c r="P309" s="17"/>
      <c r="Q309" s="17"/>
      <c r="R309" s="17"/>
      <c r="S309" s="17"/>
      <c r="T309" s="17"/>
    </row>
    <row r="310" spans="1:20" s="18" customFormat="1" ht="25.5" hidden="1">
      <c r="A310" s="16" t="s">
        <v>508</v>
      </c>
      <c r="B310" s="15" t="s">
        <v>94</v>
      </c>
      <c r="C310" s="15" t="s">
        <v>26</v>
      </c>
      <c r="D310" s="15" t="s">
        <v>28</v>
      </c>
      <c r="E310" s="15" t="s">
        <v>507</v>
      </c>
      <c r="F310" s="15"/>
      <c r="G310" s="70">
        <f>G311</f>
        <v>0</v>
      </c>
      <c r="H310" s="70">
        <f t="shared" ref="H310:I311" si="71">H311</f>
        <v>0</v>
      </c>
      <c r="I310" s="70">
        <f t="shared" si="71"/>
        <v>0</v>
      </c>
      <c r="P310" s="17"/>
      <c r="Q310" s="17"/>
      <c r="R310" s="17"/>
      <c r="S310" s="17"/>
      <c r="T310" s="17"/>
    </row>
    <row r="311" spans="1:20" s="18" customFormat="1" ht="36" hidden="1" customHeight="1">
      <c r="A311" s="16" t="s">
        <v>96</v>
      </c>
      <c r="B311" s="15" t="s">
        <v>94</v>
      </c>
      <c r="C311" s="15" t="s">
        <v>26</v>
      </c>
      <c r="D311" s="15" t="s">
        <v>28</v>
      </c>
      <c r="E311" s="15" t="s">
        <v>507</v>
      </c>
      <c r="F311" s="15" t="s">
        <v>349</v>
      </c>
      <c r="G311" s="70">
        <f>G312</f>
        <v>0</v>
      </c>
      <c r="H311" s="70">
        <f t="shared" si="71"/>
        <v>0</v>
      </c>
      <c r="I311" s="70">
        <f t="shared" si="71"/>
        <v>0</v>
      </c>
      <c r="P311" s="17"/>
      <c r="Q311" s="17"/>
      <c r="R311" s="17"/>
      <c r="S311" s="17"/>
      <c r="T311" s="17"/>
    </row>
    <row r="312" spans="1:20" s="18" customFormat="1" ht="99" hidden="1" customHeight="1">
      <c r="A312" s="50" t="s">
        <v>421</v>
      </c>
      <c r="B312" s="15" t="s">
        <v>94</v>
      </c>
      <c r="C312" s="15" t="s">
        <v>26</v>
      </c>
      <c r="D312" s="15" t="s">
        <v>28</v>
      </c>
      <c r="E312" s="15" t="s">
        <v>507</v>
      </c>
      <c r="F312" s="15" t="s">
        <v>420</v>
      </c>
      <c r="G312" s="70">
        <v>0</v>
      </c>
      <c r="H312" s="70"/>
      <c r="I312" s="70">
        <v>0</v>
      </c>
      <c r="P312" s="17"/>
      <c r="Q312" s="17"/>
      <c r="R312" s="17"/>
      <c r="S312" s="17"/>
      <c r="T312" s="17"/>
    </row>
    <row r="313" spans="1:20" s="18" customFormat="1" ht="89.25">
      <c r="A313" s="16" t="s">
        <v>439</v>
      </c>
      <c r="B313" s="49">
        <v>795</v>
      </c>
      <c r="C313" s="10" t="s">
        <v>173</v>
      </c>
      <c r="D313" s="10" t="s">
        <v>19</v>
      </c>
      <c r="E313" s="15" t="s">
        <v>525</v>
      </c>
      <c r="F313" s="15"/>
      <c r="G313" s="70">
        <f>G316+G314</f>
        <v>72520000</v>
      </c>
      <c r="H313" s="70">
        <f t="shared" ref="H313:I313" si="72">H316+H314</f>
        <v>0</v>
      </c>
      <c r="I313" s="70">
        <f t="shared" si="72"/>
        <v>193987877.08000001</v>
      </c>
      <c r="P313" s="17"/>
      <c r="Q313" s="17"/>
      <c r="R313" s="17"/>
      <c r="S313" s="17"/>
      <c r="T313" s="17"/>
    </row>
    <row r="314" spans="1:20" s="18" customFormat="1" ht="31.15" customHeight="1">
      <c r="A314" s="16" t="s">
        <v>148</v>
      </c>
      <c r="B314" s="49">
        <v>793</v>
      </c>
      <c r="C314" s="10" t="s">
        <v>173</v>
      </c>
      <c r="D314" s="10" t="s">
        <v>19</v>
      </c>
      <c r="E314" s="15" t="s">
        <v>525</v>
      </c>
      <c r="F314" s="15" t="s">
        <v>149</v>
      </c>
      <c r="G314" s="70">
        <f>G315</f>
        <v>29400000</v>
      </c>
      <c r="H314" s="70">
        <f t="shared" ref="H314:I314" si="73">H315</f>
        <v>0</v>
      </c>
      <c r="I314" s="70">
        <f t="shared" si="73"/>
        <v>0</v>
      </c>
      <c r="J314" s="176"/>
    </row>
    <row r="315" spans="1:20" s="18" customFormat="1" ht="31.15" customHeight="1">
      <c r="A315" s="16" t="s">
        <v>150</v>
      </c>
      <c r="B315" s="49">
        <v>793</v>
      </c>
      <c r="C315" s="10" t="s">
        <v>173</v>
      </c>
      <c r="D315" s="10" t="s">
        <v>19</v>
      </c>
      <c r="E315" s="15" t="s">
        <v>525</v>
      </c>
      <c r="F315" s="15" t="s">
        <v>151</v>
      </c>
      <c r="G315" s="70">
        <f>'прил 5,'!G1688</f>
        <v>29400000</v>
      </c>
      <c r="H315" s="70">
        <f>'прил 5,'!H1484</f>
        <v>0</v>
      </c>
      <c r="I315" s="70">
        <f>'прил 5,'!I1484</f>
        <v>0</v>
      </c>
      <c r="J315" s="176"/>
    </row>
    <row r="316" spans="1:20" s="18" customFormat="1" ht="20.25" customHeight="1">
      <c r="A316" s="16" t="s">
        <v>63</v>
      </c>
      <c r="B316" s="49">
        <v>795</v>
      </c>
      <c r="C316" s="10" t="s">
        <v>173</v>
      </c>
      <c r="D316" s="10" t="s">
        <v>19</v>
      </c>
      <c r="E316" s="15" t="s">
        <v>525</v>
      </c>
      <c r="F316" s="15" t="s">
        <v>64</v>
      </c>
      <c r="G316" s="70">
        <f>G317</f>
        <v>43120000</v>
      </c>
      <c r="H316" s="70">
        <f t="shared" ref="H316:I316" si="74">H317</f>
        <v>0</v>
      </c>
      <c r="I316" s="70">
        <f t="shared" si="74"/>
        <v>193987877.08000001</v>
      </c>
      <c r="P316" s="17"/>
      <c r="Q316" s="17"/>
      <c r="R316" s="17"/>
      <c r="S316" s="17"/>
      <c r="T316" s="17"/>
    </row>
    <row r="317" spans="1:20" s="18" customFormat="1" ht="25.9" customHeight="1">
      <c r="A317" s="50" t="s">
        <v>144</v>
      </c>
      <c r="B317" s="49">
        <v>795</v>
      </c>
      <c r="C317" s="10" t="s">
        <v>173</v>
      </c>
      <c r="D317" s="10" t="s">
        <v>19</v>
      </c>
      <c r="E317" s="15" t="s">
        <v>525</v>
      </c>
      <c r="F317" s="15" t="s">
        <v>67</v>
      </c>
      <c r="G317" s="70">
        <f>'прил 5,'!G1486</f>
        <v>43120000</v>
      </c>
      <c r="H317" s="70">
        <f>'прил 5,'!H1486</f>
        <v>0</v>
      </c>
      <c r="I317" s="70">
        <f>'прил 5,'!I1486</f>
        <v>193987877.08000001</v>
      </c>
      <c r="P317" s="17"/>
      <c r="Q317" s="17"/>
      <c r="R317" s="17"/>
      <c r="S317" s="17"/>
      <c r="T317" s="17"/>
    </row>
    <row r="318" spans="1:20" s="18" customFormat="1" ht="99.75" customHeight="1">
      <c r="A318" s="16" t="s">
        <v>1113</v>
      </c>
      <c r="B318" s="49">
        <v>795</v>
      </c>
      <c r="C318" s="10" t="s">
        <v>173</v>
      </c>
      <c r="D318" s="10" t="s">
        <v>19</v>
      </c>
      <c r="E318" s="15" t="s">
        <v>526</v>
      </c>
      <c r="F318" s="15"/>
      <c r="G318" s="70">
        <f>G323+G319+G321</f>
        <v>1436000</v>
      </c>
      <c r="H318" s="70">
        <f t="shared" ref="H318:I318" si="75">H323+H319</f>
        <v>0</v>
      </c>
      <c r="I318" s="70">
        <f t="shared" si="75"/>
        <v>3924347.07</v>
      </c>
      <c r="P318" s="17"/>
      <c r="Q318" s="17"/>
      <c r="R318" s="17"/>
      <c r="S318" s="17"/>
      <c r="T318" s="17"/>
    </row>
    <row r="319" spans="1:20" s="18" customFormat="1" ht="26.25" customHeight="1">
      <c r="A319" s="82" t="s">
        <v>96</v>
      </c>
      <c r="B319" s="49">
        <v>793</v>
      </c>
      <c r="C319" s="10" t="s">
        <v>173</v>
      </c>
      <c r="D319" s="10" t="s">
        <v>19</v>
      </c>
      <c r="E319" s="15" t="s">
        <v>526</v>
      </c>
      <c r="F319" s="15" t="s">
        <v>349</v>
      </c>
      <c r="G319" s="70">
        <f>G320</f>
        <v>0</v>
      </c>
      <c r="H319" s="70">
        <f t="shared" ref="H319:I319" si="76">H320</f>
        <v>0</v>
      </c>
      <c r="I319" s="70">
        <f t="shared" si="76"/>
        <v>0</v>
      </c>
      <c r="J319" s="176"/>
    </row>
    <row r="320" spans="1:20" s="18" customFormat="1" ht="20.25" customHeight="1">
      <c r="A320" s="133" t="s">
        <v>350</v>
      </c>
      <c r="B320" s="49">
        <v>793</v>
      </c>
      <c r="C320" s="10" t="s">
        <v>173</v>
      </c>
      <c r="D320" s="10" t="s">
        <v>19</v>
      </c>
      <c r="E320" s="15" t="s">
        <v>526</v>
      </c>
      <c r="F320" s="15" t="s">
        <v>351</v>
      </c>
      <c r="G320" s="70">
        <f>'прил 5,'!G1489</f>
        <v>0</v>
      </c>
      <c r="H320" s="70">
        <f>'прил 5,'!H1489</f>
        <v>0</v>
      </c>
      <c r="I320" s="70">
        <f>'прил 5,'!I1489</f>
        <v>0</v>
      </c>
      <c r="J320" s="176"/>
    </row>
    <row r="321" spans="1:20" s="18" customFormat="1" ht="20.25" customHeight="1">
      <c r="A321" s="16" t="s">
        <v>148</v>
      </c>
      <c r="B321" s="14">
        <v>793</v>
      </c>
      <c r="C321" s="15" t="s">
        <v>69</v>
      </c>
      <c r="D321" s="15" t="s">
        <v>70</v>
      </c>
      <c r="E321" s="15" t="s">
        <v>526</v>
      </c>
      <c r="F321" s="15" t="s">
        <v>149</v>
      </c>
      <c r="G321" s="70">
        <f>G322</f>
        <v>600000</v>
      </c>
      <c r="H321" s="70"/>
      <c r="I321" s="70"/>
      <c r="J321" s="176"/>
    </row>
    <row r="322" spans="1:20" s="18" customFormat="1" ht="25.15" customHeight="1">
      <c r="A322" s="16" t="s">
        <v>150</v>
      </c>
      <c r="B322" s="14">
        <v>793</v>
      </c>
      <c r="C322" s="15" t="s">
        <v>69</v>
      </c>
      <c r="D322" s="15" t="s">
        <v>70</v>
      </c>
      <c r="E322" s="15" t="s">
        <v>526</v>
      </c>
      <c r="F322" s="15" t="s">
        <v>151</v>
      </c>
      <c r="G322" s="70">
        <f>'прил 5,'!G1691</f>
        <v>600000</v>
      </c>
      <c r="H322" s="70"/>
      <c r="I322" s="70"/>
      <c r="J322" s="176"/>
    </row>
    <row r="323" spans="1:20" s="18" customFormat="1" ht="21.75" customHeight="1">
      <c r="A323" s="16" t="s">
        <v>63</v>
      </c>
      <c r="B323" s="49">
        <v>795</v>
      </c>
      <c r="C323" s="10" t="s">
        <v>173</v>
      </c>
      <c r="D323" s="10" t="s">
        <v>19</v>
      </c>
      <c r="E323" s="15" t="s">
        <v>526</v>
      </c>
      <c r="F323" s="15" t="s">
        <v>64</v>
      </c>
      <c r="G323" s="70">
        <f>G324</f>
        <v>836000</v>
      </c>
      <c r="H323" s="70">
        <f t="shared" ref="H323:I323" si="77">H324</f>
        <v>0</v>
      </c>
      <c r="I323" s="70">
        <f t="shared" si="77"/>
        <v>3924347.07</v>
      </c>
      <c r="P323" s="17"/>
      <c r="Q323" s="17"/>
      <c r="R323" s="17"/>
      <c r="S323" s="17"/>
      <c r="T323" s="17"/>
    </row>
    <row r="324" spans="1:20" s="18" customFormat="1" ht="23.25" customHeight="1">
      <c r="A324" s="50" t="s">
        <v>144</v>
      </c>
      <c r="B324" s="49">
        <v>795</v>
      </c>
      <c r="C324" s="10" t="s">
        <v>173</v>
      </c>
      <c r="D324" s="10" t="s">
        <v>19</v>
      </c>
      <c r="E324" s="15" t="s">
        <v>526</v>
      </c>
      <c r="F324" s="15" t="s">
        <v>67</v>
      </c>
      <c r="G324" s="70">
        <f>'прил 5,'!G1491</f>
        <v>836000</v>
      </c>
      <c r="H324" s="70">
        <f>'прил 5,'!H1491</f>
        <v>0</v>
      </c>
      <c r="I324" s="70">
        <f>'прил 5,'!I1491</f>
        <v>3924347.07</v>
      </c>
      <c r="P324" s="17"/>
      <c r="Q324" s="17"/>
      <c r="R324" s="17"/>
      <c r="S324" s="17"/>
      <c r="T324" s="17"/>
    </row>
    <row r="325" spans="1:20" s="46" customFormat="1" ht="48.75" hidden="1" customHeight="1">
      <c r="A325" s="16" t="s">
        <v>424</v>
      </c>
      <c r="B325" s="49">
        <v>795</v>
      </c>
      <c r="C325" s="10" t="s">
        <v>173</v>
      </c>
      <c r="D325" s="10" t="s">
        <v>19</v>
      </c>
      <c r="E325" s="15" t="s">
        <v>379</v>
      </c>
      <c r="F325" s="15"/>
      <c r="G325" s="70">
        <f>G326+G328</f>
        <v>0</v>
      </c>
      <c r="H325" s="70">
        <f t="shared" ref="G325:I326" si="78">H326</f>
        <v>0</v>
      </c>
      <c r="I325" s="70">
        <f t="shared" si="78"/>
        <v>0</v>
      </c>
      <c r="P325" s="110"/>
      <c r="Q325" s="110"/>
      <c r="R325" s="110"/>
      <c r="S325" s="110"/>
      <c r="T325" s="110"/>
    </row>
    <row r="326" spans="1:20" s="46" customFormat="1" ht="28.5" hidden="1" customHeight="1">
      <c r="A326" s="16" t="s">
        <v>324</v>
      </c>
      <c r="B326" s="49">
        <v>795</v>
      </c>
      <c r="C326" s="10" t="s">
        <v>173</v>
      </c>
      <c r="D326" s="10" t="s">
        <v>19</v>
      </c>
      <c r="E326" s="15" t="s">
        <v>379</v>
      </c>
      <c r="F326" s="15" t="s">
        <v>37</v>
      </c>
      <c r="G326" s="70">
        <f t="shared" si="78"/>
        <v>0</v>
      </c>
      <c r="H326" s="70">
        <f t="shared" si="78"/>
        <v>0</v>
      </c>
      <c r="I326" s="70">
        <f t="shared" si="78"/>
        <v>0</v>
      </c>
      <c r="P326" s="110"/>
      <c r="Q326" s="110"/>
      <c r="R326" s="110"/>
      <c r="S326" s="110"/>
      <c r="T326" s="110"/>
    </row>
    <row r="327" spans="1:20" s="46" customFormat="1" ht="28.5" hidden="1" customHeight="1">
      <c r="A327" s="16" t="s">
        <v>38</v>
      </c>
      <c r="B327" s="49">
        <v>795</v>
      </c>
      <c r="C327" s="10" t="s">
        <v>173</v>
      </c>
      <c r="D327" s="10" t="s">
        <v>19</v>
      </c>
      <c r="E327" s="15" t="s">
        <v>379</v>
      </c>
      <c r="F327" s="15" t="s">
        <v>39</v>
      </c>
      <c r="G327" s="70"/>
      <c r="H327" s="70">
        <f>'прил 5,'!H1924</f>
        <v>0</v>
      </c>
      <c r="I327" s="70">
        <f>'прил 5,'!I1924</f>
        <v>0</v>
      </c>
      <c r="P327" s="110"/>
      <c r="Q327" s="110"/>
      <c r="R327" s="110"/>
      <c r="S327" s="110"/>
      <c r="T327" s="110"/>
    </row>
    <row r="328" spans="1:20" hidden="1">
      <c r="A328" s="82" t="s">
        <v>156</v>
      </c>
      <c r="B328" s="49">
        <v>795</v>
      </c>
      <c r="C328" s="15" t="s">
        <v>173</v>
      </c>
      <c r="D328" s="15" t="s">
        <v>28</v>
      </c>
      <c r="E328" s="15" t="s">
        <v>379</v>
      </c>
      <c r="F328" s="15" t="s">
        <v>157</v>
      </c>
      <c r="G328" s="70">
        <f>G329</f>
        <v>0</v>
      </c>
      <c r="H328" s="70">
        <f>H329</f>
        <v>0</v>
      </c>
      <c r="I328" s="70">
        <f>I329</f>
        <v>0</v>
      </c>
      <c r="J328" s="1"/>
    </row>
    <row r="329" spans="1:20" hidden="1">
      <c r="A329" s="82" t="s">
        <v>178</v>
      </c>
      <c r="B329" s="49">
        <v>795</v>
      </c>
      <c r="C329" s="15" t="s">
        <v>173</v>
      </c>
      <c r="D329" s="15" t="s">
        <v>28</v>
      </c>
      <c r="E329" s="15" t="s">
        <v>379</v>
      </c>
      <c r="F329" s="15" t="s">
        <v>179</v>
      </c>
      <c r="G329" s="70"/>
      <c r="H329" s="70"/>
      <c r="I329" s="70"/>
      <c r="J329" s="1"/>
    </row>
    <row r="330" spans="1:20" s="18" customFormat="1" ht="84.75" customHeight="1">
      <c r="A330" s="82" t="s">
        <v>1009</v>
      </c>
      <c r="B330" s="49">
        <v>793</v>
      </c>
      <c r="C330" s="10" t="s">
        <v>173</v>
      </c>
      <c r="D330" s="10" t="s">
        <v>19</v>
      </c>
      <c r="E330" s="15" t="s">
        <v>1008</v>
      </c>
      <c r="F330" s="15"/>
      <c r="G330" s="70">
        <f>G331</f>
        <v>40000</v>
      </c>
      <c r="H330" s="70">
        <f t="shared" ref="H330:I331" si="79">H331</f>
        <v>0</v>
      </c>
      <c r="I330" s="70">
        <f t="shared" si="79"/>
        <v>0</v>
      </c>
      <c r="J330" s="177"/>
      <c r="K330" s="200"/>
      <c r="L330" s="200"/>
      <c r="M330" s="200"/>
      <c r="N330" s="200"/>
      <c r="O330" s="200"/>
      <c r="P330" s="200"/>
      <c r="Q330" s="200"/>
      <c r="R330" s="200"/>
    </row>
    <row r="331" spans="1:20" s="18" customFormat="1" ht="22.5" customHeight="1">
      <c r="A331" s="82" t="s">
        <v>63</v>
      </c>
      <c r="B331" s="49">
        <v>793</v>
      </c>
      <c r="C331" s="10" t="s">
        <v>173</v>
      </c>
      <c r="D331" s="10" t="s">
        <v>19</v>
      </c>
      <c r="E331" s="15" t="s">
        <v>1008</v>
      </c>
      <c r="F331" s="15" t="s">
        <v>64</v>
      </c>
      <c r="G331" s="70">
        <f>G332</f>
        <v>40000</v>
      </c>
      <c r="H331" s="70">
        <f t="shared" si="79"/>
        <v>0</v>
      </c>
      <c r="I331" s="70">
        <f t="shared" si="79"/>
        <v>0</v>
      </c>
      <c r="J331" s="177"/>
      <c r="K331" s="200"/>
      <c r="L331" s="200"/>
      <c r="M331" s="200"/>
      <c r="N331" s="200"/>
      <c r="O331" s="200"/>
      <c r="P331" s="200"/>
      <c r="Q331" s="200"/>
      <c r="R331" s="200"/>
    </row>
    <row r="332" spans="1:20" s="18" customFormat="1" ht="37.5" customHeight="1">
      <c r="A332" s="133" t="s">
        <v>144</v>
      </c>
      <c r="B332" s="49">
        <v>793</v>
      </c>
      <c r="C332" s="10" t="s">
        <v>173</v>
      </c>
      <c r="D332" s="10" t="s">
        <v>19</v>
      </c>
      <c r="E332" s="15" t="s">
        <v>1008</v>
      </c>
      <c r="F332" s="15" t="s">
        <v>67</v>
      </c>
      <c r="G332" s="70">
        <f>'прил 5,'!G1494</f>
        <v>40000</v>
      </c>
      <c r="H332" s="70">
        <f>'прил 5,'!H1494</f>
        <v>0</v>
      </c>
      <c r="I332" s="70">
        <f>'прил 5,'!I1494</f>
        <v>0</v>
      </c>
      <c r="J332" s="177"/>
      <c r="K332" s="200"/>
      <c r="L332" s="200"/>
      <c r="M332" s="200"/>
      <c r="N332" s="200"/>
      <c r="O332" s="200"/>
      <c r="P332" s="200"/>
      <c r="Q332" s="200"/>
      <c r="R332" s="200"/>
    </row>
    <row r="333" spans="1:20" s="18" customFormat="1" ht="51">
      <c r="A333" s="16" t="s">
        <v>514</v>
      </c>
      <c r="B333" s="49">
        <v>793</v>
      </c>
      <c r="C333" s="10" t="s">
        <v>173</v>
      </c>
      <c r="D333" s="10" t="s">
        <v>19</v>
      </c>
      <c r="E333" s="15" t="s">
        <v>214</v>
      </c>
      <c r="F333" s="15"/>
      <c r="G333" s="70">
        <f>G334+G340+G337</f>
        <v>3567500</v>
      </c>
      <c r="H333" s="70">
        <f t="shared" ref="H333:I333" si="80">H334+H340+H337</f>
        <v>1800000</v>
      </c>
      <c r="I333" s="70">
        <f t="shared" si="80"/>
        <v>1800000</v>
      </c>
      <c r="P333" s="17"/>
      <c r="Q333" s="17"/>
      <c r="R333" s="17"/>
      <c r="S333" s="17"/>
      <c r="T333" s="17"/>
    </row>
    <row r="334" spans="1:20" s="18" customFormat="1" ht="89.25" hidden="1">
      <c r="A334" s="16" t="s">
        <v>439</v>
      </c>
      <c r="B334" s="49">
        <v>793</v>
      </c>
      <c r="C334" s="10" t="s">
        <v>173</v>
      </c>
      <c r="D334" s="10" t="s">
        <v>19</v>
      </c>
      <c r="E334" s="15" t="s">
        <v>525</v>
      </c>
      <c r="F334" s="15"/>
      <c r="G334" s="70">
        <f>G335</f>
        <v>0</v>
      </c>
      <c r="H334" s="70">
        <f t="shared" ref="H334:I338" si="81">H335</f>
        <v>0</v>
      </c>
      <c r="I334" s="70">
        <f t="shared" si="81"/>
        <v>0</v>
      </c>
      <c r="P334" s="17"/>
      <c r="Q334" s="17"/>
      <c r="R334" s="17"/>
      <c r="S334" s="17"/>
      <c r="T334" s="17"/>
    </row>
    <row r="335" spans="1:20" s="18" customFormat="1" ht="23.25" hidden="1" customHeight="1">
      <c r="A335" s="82" t="s">
        <v>63</v>
      </c>
      <c r="B335" s="49">
        <v>793</v>
      </c>
      <c r="C335" s="10" t="s">
        <v>173</v>
      </c>
      <c r="D335" s="10" t="s">
        <v>19</v>
      </c>
      <c r="E335" s="15" t="s">
        <v>525</v>
      </c>
      <c r="F335" s="15" t="s">
        <v>64</v>
      </c>
      <c r="G335" s="70">
        <f>G336</f>
        <v>0</v>
      </c>
      <c r="H335" s="70">
        <f t="shared" si="81"/>
        <v>0</v>
      </c>
      <c r="I335" s="70">
        <f t="shared" si="81"/>
        <v>0</v>
      </c>
      <c r="P335" s="17"/>
      <c r="Q335" s="17"/>
      <c r="R335" s="17"/>
      <c r="S335" s="17"/>
      <c r="T335" s="17"/>
    </row>
    <row r="336" spans="1:20" s="18" customFormat="1" ht="20.25" hidden="1" customHeight="1">
      <c r="A336" s="133" t="s">
        <v>144</v>
      </c>
      <c r="B336" s="49">
        <v>793</v>
      </c>
      <c r="C336" s="10" t="s">
        <v>173</v>
      </c>
      <c r="D336" s="10" t="s">
        <v>19</v>
      </c>
      <c r="E336" s="15" t="s">
        <v>525</v>
      </c>
      <c r="F336" s="15" t="s">
        <v>67</v>
      </c>
      <c r="G336" s="70"/>
      <c r="H336" s="70"/>
      <c r="I336" s="70"/>
      <c r="P336" s="17"/>
      <c r="Q336" s="17"/>
      <c r="R336" s="17"/>
      <c r="S336" s="17"/>
      <c r="T336" s="17"/>
    </row>
    <row r="337" spans="1:20" s="18" customFormat="1" ht="76.5" hidden="1">
      <c r="A337" s="82" t="s">
        <v>440</v>
      </c>
      <c r="B337" s="49">
        <v>793</v>
      </c>
      <c r="C337" s="10" t="s">
        <v>173</v>
      </c>
      <c r="D337" s="10" t="s">
        <v>19</v>
      </c>
      <c r="E337" s="15" t="s">
        <v>526</v>
      </c>
      <c r="F337" s="15"/>
      <c r="G337" s="70">
        <f>G338</f>
        <v>0</v>
      </c>
      <c r="H337" s="70">
        <f t="shared" si="81"/>
        <v>0</v>
      </c>
      <c r="I337" s="70">
        <f t="shared" si="81"/>
        <v>0</v>
      </c>
      <c r="P337" s="17"/>
      <c r="Q337" s="17"/>
      <c r="R337" s="17"/>
      <c r="S337" s="17"/>
      <c r="T337" s="17"/>
    </row>
    <row r="338" spans="1:20" s="18" customFormat="1" ht="22.5" hidden="1" customHeight="1">
      <c r="A338" s="82" t="s">
        <v>63</v>
      </c>
      <c r="B338" s="49">
        <v>793</v>
      </c>
      <c r="C338" s="10" t="s">
        <v>173</v>
      </c>
      <c r="D338" s="10" t="s">
        <v>19</v>
      </c>
      <c r="E338" s="15" t="s">
        <v>526</v>
      </c>
      <c r="F338" s="15" t="s">
        <v>64</v>
      </c>
      <c r="G338" s="70">
        <f>G339</f>
        <v>0</v>
      </c>
      <c r="H338" s="70">
        <f t="shared" si="81"/>
        <v>0</v>
      </c>
      <c r="I338" s="70">
        <f t="shared" si="81"/>
        <v>0</v>
      </c>
      <c r="P338" s="17"/>
      <c r="Q338" s="17"/>
      <c r="R338" s="17"/>
      <c r="S338" s="17"/>
      <c r="T338" s="17"/>
    </row>
    <row r="339" spans="1:20" s="18" customFormat="1" ht="17.25" hidden="1" customHeight="1">
      <c r="A339" s="133" t="s">
        <v>144</v>
      </c>
      <c r="B339" s="49">
        <v>793</v>
      </c>
      <c r="C339" s="10" t="s">
        <v>173</v>
      </c>
      <c r="D339" s="10" t="s">
        <v>19</v>
      </c>
      <c r="E339" s="15" t="s">
        <v>526</v>
      </c>
      <c r="F339" s="15" t="s">
        <v>67</v>
      </c>
      <c r="G339" s="70"/>
      <c r="H339" s="70"/>
      <c r="I339" s="70"/>
      <c r="P339" s="17"/>
      <c r="Q339" s="17"/>
      <c r="R339" s="17"/>
      <c r="S339" s="17"/>
      <c r="T339" s="17"/>
    </row>
    <row r="340" spans="1:20" s="46" customFormat="1" ht="48.75" customHeight="1">
      <c r="A340" s="16" t="s">
        <v>424</v>
      </c>
      <c r="B340" s="49">
        <v>793</v>
      </c>
      <c r="C340" s="10" t="s">
        <v>173</v>
      </c>
      <c r="D340" s="10" t="s">
        <v>19</v>
      </c>
      <c r="E340" s="15" t="s">
        <v>379</v>
      </c>
      <c r="F340" s="15"/>
      <c r="G340" s="70">
        <f>G341+G346</f>
        <v>3567500</v>
      </c>
      <c r="H340" s="70">
        <f t="shared" ref="G340:I341" si="82">H341</f>
        <v>1800000</v>
      </c>
      <c r="I340" s="70">
        <f t="shared" si="82"/>
        <v>1800000</v>
      </c>
      <c r="P340" s="110"/>
      <c r="Q340" s="110"/>
      <c r="R340" s="110"/>
      <c r="S340" s="110"/>
      <c r="T340" s="110"/>
    </row>
    <row r="341" spans="1:20" s="46" customFormat="1" ht="21" customHeight="1">
      <c r="A341" s="16" t="s">
        <v>324</v>
      </c>
      <c r="B341" s="49">
        <v>793</v>
      </c>
      <c r="C341" s="10" t="s">
        <v>173</v>
      </c>
      <c r="D341" s="10" t="s">
        <v>19</v>
      </c>
      <c r="E341" s="15" t="s">
        <v>379</v>
      </c>
      <c r="F341" s="15" t="s">
        <v>37</v>
      </c>
      <c r="G341" s="70">
        <f t="shared" si="82"/>
        <v>3567500</v>
      </c>
      <c r="H341" s="70">
        <f t="shared" si="82"/>
        <v>1800000</v>
      </c>
      <c r="I341" s="70">
        <f t="shared" si="82"/>
        <v>1800000</v>
      </c>
      <c r="P341" s="110"/>
      <c r="Q341" s="110"/>
      <c r="R341" s="110"/>
      <c r="S341" s="110"/>
      <c r="T341" s="110"/>
    </row>
    <row r="342" spans="1:20" s="46" customFormat="1" ht="28.5" customHeight="1">
      <c r="A342" s="16" t="s">
        <v>38</v>
      </c>
      <c r="B342" s="49">
        <v>793</v>
      </c>
      <c r="C342" s="10" t="s">
        <v>173</v>
      </c>
      <c r="D342" s="10" t="s">
        <v>19</v>
      </c>
      <c r="E342" s="15" t="s">
        <v>379</v>
      </c>
      <c r="F342" s="15" t="s">
        <v>39</v>
      </c>
      <c r="G342" s="70">
        <f>'прил 5,'!G2176+'прил 5,'!G1480</f>
        <v>3567500</v>
      </c>
      <c r="H342" s="70">
        <f>'прил 5,'!H2176+'прил 5,'!H1480</f>
        <v>1800000</v>
      </c>
      <c r="I342" s="70">
        <f>'прил 5,'!I2176+'прил 5,'!I1480</f>
        <v>1800000</v>
      </c>
      <c r="P342" s="110"/>
      <c r="Q342" s="110"/>
      <c r="R342" s="110"/>
      <c r="S342" s="110"/>
      <c r="T342" s="110"/>
    </row>
    <row r="343" spans="1:20" s="235" customFormat="1" ht="31.5" customHeight="1">
      <c r="A343" s="34" t="s">
        <v>478</v>
      </c>
      <c r="B343" s="35">
        <v>774</v>
      </c>
      <c r="C343" s="36" t="s">
        <v>26</v>
      </c>
      <c r="D343" s="36" t="s">
        <v>19</v>
      </c>
      <c r="E343" s="36" t="s">
        <v>189</v>
      </c>
      <c r="F343" s="36"/>
      <c r="G343" s="71">
        <f>G344+G504+G603+G654+G658+G678</f>
        <v>1191576940.0699997</v>
      </c>
      <c r="H343" s="71">
        <f>H344+H504+H603+H654+H658</f>
        <v>1065356197.9299999</v>
      </c>
      <c r="I343" s="71">
        <f>I344+I504+I603+I654+I658</f>
        <v>1056420748.0299999</v>
      </c>
      <c r="J343" s="71">
        <f t="shared" ref="J343:O343" si="83">J344+J504+J603+J654+J658+J458</f>
        <v>18738720</v>
      </c>
      <c r="K343" s="71">
        <f t="shared" si="83"/>
        <v>0</v>
      </c>
      <c r="L343" s="71">
        <f t="shared" si="83"/>
        <v>0</v>
      </c>
      <c r="M343" s="71">
        <f t="shared" si="83"/>
        <v>0</v>
      </c>
      <c r="N343" s="71">
        <f t="shared" si="83"/>
        <v>0</v>
      </c>
      <c r="O343" s="71">
        <f t="shared" si="83"/>
        <v>0</v>
      </c>
      <c r="P343" s="234"/>
      <c r="Q343" s="236"/>
      <c r="R343" s="234"/>
      <c r="S343" s="234"/>
      <c r="T343" s="234"/>
    </row>
    <row r="344" spans="1:20" s="18" customFormat="1" ht="42.75" customHeight="1">
      <c r="A344" s="16" t="s">
        <v>90</v>
      </c>
      <c r="B344" s="14">
        <v>774</v>
      </c>
      <c r="C344" s="15" t="s">
        <v>26</v>
      </c>
      <c r="D344" s="15" t="s">
        <v>19</v>
      </c>
      <c r="E344" s="15" t="s">
        <v>215</v>
      </c>
      <c r="F344" s="15"/>
      <c r="G344" s="70">
        <f>G350+G353+G356+G362+G369+G372+G375+G384+G387+G390+G393+G396+G401+G410+G428+G439+G445+G460+G469+G470+G471+G473+G491+G494+G503+G378+G404+G413+G407+G419+G425+G420</f>
        <v>997580927.3299998</v>
      </c>
      <c r="H344" s="70">
        <f t="shared" ref="H344:I344" si="84">H350+H353+H356+H362+H369+H372+H375+H384+H387+H390+H393+H396+H401+H410+H428+H439+H445+H460+H469+H470+H471+H473+H491+H494+H503+H378+H404+H413+H407+H419+H425</f>
        <v>985287176.06999993</v>
      </c>
      <c r="I344" s="70">
        <f t="shared" si="84"/>
        <v>1024544211.4699999</v>
      </c>
      <c r="J344" s="17">
        <v>18738720</v>
      </c>
      <c r="P344" s="17"/>
      <c r="Q344" s="17"/>
      <c r="R344" s="17"/>
      <c r="S344" s="17"/>
      <c r="T344" s="17"/>
    </row>
    <row r="345" spans="1:20" ht="50.25" hidden="1" customHeight="1">
      <c r="A345" s="16" t="s">
        <v>649</v>
      </c>
      <c r="B345" s="15" t="s">
        <v>94</v>
      </c>
      <c r="C345" s="15" t="s">
        <v>26</v>
      </c>
      <c r="D345" s="15" t="s">
        <v>28</v>
      </c>
      <c r="E345" s="15" t="s">
        <v>648</v>
      </c>
      <c r="F345" s="15"/>
      <c r="G345" s="70">
        <f t="shared" ref="G345:I346" si="85">G346</f>
        <v>0</v>
      </c>
      <c r="H345" s="70">
        <f t="shared" si="85"/>
        <v>0</v>
      </c>
      <c r="I345" s="70">
        <f t="shared" si="85"/>
        <v>0</v>
      </c>
      <c r="J345" s="1"/>
    </row>
    <row r="346" spans="1:20" s="18" customFormat="1" ht="25.5" hidden="1">
      <c r="A346" s="16" t="s">
        <v>30</v>
      </c>
      <c r="B346" s="15" t="s">
        <v>94</v>
      </c>
      <c r="C346" s="15" t="s">
        <v>26</v>
      </c>
      <c r="D346" s="15" t="s">
        <v>28</v>
      </c>
      <c r="E346" s="15" t="s">
        <v>648</v>
      </c>
      <c r="F346" s="15" t="s">
        <v>31</v>
      </c>
      <c r="G346" s="70">
        <f t="shared" si="85"/>
        <v>0</v>
      </c>
      <c r="H346" s="70">
        <f t="shared" si="85"/>
        <v>0</v>
      </c>
      <c r="I346" s="70">
        <f t="shared" si="85"/>
        <v>0</v>
      </c>
      <c r="L346" s="17" t="e">
        <f>#REF!+#REF!</f>
        <v>#REF!</v>
      </c>
      <c r="M346" s="17" t="e">
        <f>#REF!-L346</f>
        <v>#REF!</v>
      </c>
      <c r="P346" s="17"/>
      <c r="Q346" s="17"/>
      <c r="R346" s="17"/>
      <c r="S346" s="17"/>
      <c r="T346" s="17"/>
    </row>
    <row r="347" spans="1:20" s="18" customFormat="1" hidden="1">
      <c r="A347" s="16" t="s">
        <v>32</v>
      </c>
      <c r="B347" s="15" t="s">
        <v>94</v>
      </c>
      <c r="C347" s="15" t="s">
        <v>26</v>
      </c>
      <c r="D347" s="15" t="s">
        <v>28</v>
      </c>
      <c r="E347" s="15" t="s">
        <v>648</v>
      </c>
      <c r="F347" s="15" t="s">
        <v>33</v>
      </c>
      <c r="G347" s="70">
        <f>'прил 5,'!G555</f>
        <v>0</v>
      </c>
      <c r="H347" s="70">
        <f>'прил 5,'!H554</f>
        <v>0</v>
      </c>
      <c r="I347" s="70">
        <f>'прил 5,'!I554</f>
        <v>0</v>
      </c>
      <c r="P347" s="17"/>
      <c r="Q347" s="17"/>
      <c r="R347" s="17"/>
      <c r="S347" s="17"/>
      <c r="T347" s="17"/>
    </row>
    <row r="348" spans="1:20" s="18" customFormat="1" ht="56.25" customHeight="1">
      <c r="A348" s="80" t="s">
        <v>65</v>
      </c>
      <c r="B348" s="15" t="s">
        <v>94</v>
      </c>
      <c r="C348" s="15" t="s">
        <v>26</v>
      </c>
      <c r="D348" s="15" t="s">
        <v>28</v>
      </c>
      <c r="E348" s="15" t="s">
        <v>437</v>
      </c>
      <c r="F348" s="15"/>
      <c r="G348" s="87">
        <f t="shared" ref="G348:I349" si="86">G349</f>
        <v>721420</v>
      </c>
      <c r="H348" s="87">
        <f t="shared" si="86"/>
        <v>814538</v>
      </c>
      <c r="I348" s="87">
        <f t="shared" si="86"/>
        <v>847150</v>
      </c>
      <c r="J348" s="17">
        <v>188298123</v>
      </c>
      <c r="P348" s="17"/>
      <c r="Q348" s="17"/>
      <c r="R348" s="17"/>
      <c r="S348" s="17"/>
      <c r="T348" s="17"/>
    </row>
    <row r="349" spans="1:20" s="18" customFormat="1" ht="25.5">
      <c r="A349" s="16" t="s">
        <v>30</v>
      </c>
      <c r="B349" s="15" t="s">
        <v>94</v>
      </c>
      <c r="C349" s="15" t="s">
        <v>26</v>
      </c>
      <c r="D349" s="15" t="s">
        <v>28</v>
      </c>
      <c r="E349" s="15" t="s">
        <v>437</v>
      </c>
      <c r="F349" s="15" t="s">
        <v>31</v>
      </c>
      <c r="G349" s="87">
        <f t="shared" si="86"/>
        <v>721420</v>
      </c>
      <c r="H349" s="87">
        <f t="shared" si="86"/>
        <v>814538</v>
      </c>
      <c r="I349" s="87">
        <f t="shared" si="86"/>
        <v>847150</v>
      </c>
      <c r="J349" s="17">
        <v>100473040</v>
      </c>
      <c r="P349" s="17"/>
      <c r="Q349" s="17"/>
      <c r="R349" s="17"/>
      <c r="S349" s="17"/>
      <c r="T349" s="17"/>
    </row>
    <row r="350" spans="1:20" s="18" customFormat="1">
      <c r="A350" s="16" t="s">
        <v>32</v>
      </c>
      <c r="B350" s="15" t="s">
        <v>94</v>
      </c>
      <c r="C350" s="15" t="s">
        <v>26</v>
      </c>
      <c r="D350" s="15" t="s">
        <v>28</v>
      </c>
      <c r="E350" s="15" t="s">
        <v>437</v>
      </c>
      <c r="F350" s="15" t="s">
        <v>33</v>
      </c>
      <c r="G350" s="70">
        <f>'прил 5,'!G1008</f>
        <v>721420</v>
      </c>
      <c r="H350" s="70">
        <f>'прил 5,'!H1008</f>
        <v>814538</v>
      </c>
      <c r="I350" s="70">
        <f>'прил 5,'!I1008</f>
        <v>847150</v>
      </c>
      <c r="J350" s="17">
        <v>1481975</v>
      </c>
      <c r="P350" s="17"/>
      <c r="Q350" s="17"/>
      <c r="R350" s="17"/>
      <c r="S350" s="17"/>
      <c r="T350" s="17"/>
    </row>
    <row r="351" spans="1:20" s="18" customFormat="1" ht="76.5">
      <c r="A351" s="80" t="s">
        <v>780</v>
      </c>
      <c r="B351" s="15" t="s">
        <v>94</v>
      </c>
      <c r="C351" s="15" t="s">
        <v>26</v>
      </c>
      <c r="D351" s="15" t="s">
        <v>28</v>
      </c>
      <c r="E351" s="15" t="s">
        <v>779</v>
      </c>
      <c r="F351" s="15"/>
      <c r="G351" s="70">
        <f t="shared" ref="G351:I352" si="87">G352</f>
        <v>1803468</v>
      </c>
      <c r="H351" s="70">
        <f t="shared" si="87"/>
        <v>1803468</v>
      </c>
      <c r="I351" s="70">
        <f t="shared" si="87"/>
        <v>1803468</v>
      </c>
      <c r="P351" s="17"/>
      <c r="Q351" s="17"/>
      <c r="R351" s="17"/>
      <c r="S351" s="17"/>
      <c r="T351" s="17"/>
    </row>
    <row r="352" spans="1:20" s="18" customFormat="1" ht="25.5">
      <c r="A352" s="16" t="s">
        <v>30</v>
      </c>
      <c r="B352" s="15" t="s">
        <v>94</v>
      </c>
      <c r="C352" s="15" t="s">
        <v>26</v>
      </c>
      <c r="D352" s="15" t="s">
        <v>28</v>
      </c>
      <c r="E352" s="15" t="s">
        <v>779</v>
      </c>
      <c r="F352" s="15" t="s">
        <v>31</v>
      </c>
      <c r="G352" s="70">
        <f t="shared" si="87"/>
        <v>1803468</v>
      </c>
      <c r="H352" s="70">
        <f t="shared" si="87"/>
        <v>1803468</v>
      </c>
      <c r="I352" s="70">
        <f t="shared" si="87"/>
        <v>1803468</v>
      </c>
      <c r="P352" s="17"/>
      <c r="Q352" s="17"/>
      <c r="R352" s="17"/>
      <c r="S352" s="17"/>
      <c r="T352" s="17"/>
    </row>
    <row r="353" spans="1:20" s="18" customFormat="1">
      <c r="A353" s="16" t="s">
        <v>32</v>
      </c>
      <c r="B353" s="15" t="s">
        <v>94</v>
      </c>
      <c r="C353" s="15" t="s">
        <v>26</v>
      </c>
      <c r="D353" s="15" t="s">
        <v>28</v>
      </c>
      <c r="E353" s="15" t="s">
        <v>779</v>
      </c>
      <c r="F353" s="15" t="s">
        <v>33</v>
      </c>
      <c r="G353" s="70">
        <f>'прил 5,'!G594</f>
        <v>1803468</v>
      </c>
      <c r="H353" s="70">
        <f>'прил 5,'!H594</f>
        <v>1803468</v>
      </c>
      <c r="I353" s="70">
        <f>'прил 5,'!I594</f>
        <v>1803468</v>
      </c>
      <c r="P353" s="17"/>
      <c r="Q353" s="17"/>
      <c r="R353" s="17"/>
      <c r="S353" s="17"/>
      <c r="T353" s="17"/>
    </row>
    <row r="354" spans="1:20" s="18" customFormat="1" ht="60" customHeight="1">
      <c r="A354" s="16" t="s">
        <v>3</v>
      </c>
      <c r="B354" s="15"/>
      <c r="C354" s="15"/>
      <c r="D354" s="15"/>
      <c r="E354" s="15" t="s">
        <v>913</v>
      </c>
      <c r="F354" s="15"/>
      <c r="G354" s="70">
        <f t="shared" ref="G354:I355" si="88">G355</f>
        <v>49959872</v>
      </c>
      <c r="H354" s="70">
        <f t="shared" si="88"/>
        <v>31348796</v>
      </c>
      <c r="I354" s="70">
        <f t="shared" si="88"/>
        <v>52557201</v>
      </c>
      <c r="J354" s="17">
        <v>1277362</v>
      </c>
      <c r="P354" s="17"/>
      <c r="Q354" s="17"/>
      <c r="R354" s="17"/>
      <c r="S354" s="17"/>
      <c r="T354" s="17"/>
    </row>
    <row r="355" spans="1:20" s="18" customFormat="1" ht="25.5">
      <c r="A355" s="16" t="s">
        <v>30</v>
      </c>
      <c r="B355" s="15" t="s">
        <v>94</v>
      </c>
      <c r="C355" s="15" t="s">
        <v>26</v>
      </c>
      <c r="D355" s="15" t="s">
        <v>28</v>
      </c>
      <c r="E355" s="15" t="s">
        <v>913</v>
      </c>
      <c r="F355" s="15" t="s">
        <v>31</v>
      </c>
      <c r="G355" s="70">
        <f t="shared" si="88"/>
        <v>49959872</v>
      </c>
      <c r="H355" s="70">
        <f t="shared" si="88"/>
        <v>31348796</v>
      </c>
      <c r="I355" s="70">
        <f t="shared" si="88"/>
        <v>52557201</v>
      </c>
      <c r="J355" s="17">
        <v>442381</v>
      </c>
      <c r="P355" s="17"/>
      <c r="Q355" s="17"/>
      <c r="R355" s="17"/>
      <c r="S355" s="17"/>
      <c r="T355" s="17"/>
    </row>
    <row r="356" spans="1:20" s="18" customFormat="1">
      <c r="A356" s="16" t="s">
        <v>32</v>
      </c>
      <c r="B356" s="15" t="s">
        <v>94</v>
      </c>
      <c r="C356" s="15" t="s">
        <v>26</v>
      </c>
      <c r="D356" s="15" t="s">
        <v>28</v>
      </c>
      <c r="E356" s="15" t="s">
        <v>913</v>
      </c>
      <c r="F356" s="15" t="s">
        <v>33</v>
      </c>
      <c r="G356" s="70">
        <f>'прил 5,'!G558+'прил 5,'!G479+'прил 5,'!G795+'прил 5,'!G98</f>
        <v>49959872</v>
      </c>
      <c r="H356" s="70">
        <f>'прил 5,'!H558+'прил 5,'!H479+'прил 5,'!H795+'прил 5,'!H98</f>
        <v>31348796</v>
      </c>
      <c r="I356" s="70">
        <f>'прил 5,'!I558+'прил 5,'!I479+'прил 5,'!I795+'прил 5,'!I98</f>
        <v>52557201</v>
      </c>
      <c r="J356" s="17">
        <v>100000</v>
      </c>
      <c r="P356" s="17"/>
      <c r="Q356" s="17"/>
      <c r="R356" s="17"/>
      <c r="S356" s="17"/>
      <c r="T356" s="17"/>
    </row>
    <row r="357" spans="1:20" s="18" customFormat="1">
      <c r="A357" s="16" t="s">
        <v>91</v>
      </c>
      <c r="B357" s="15" t="s">
        <v>94</v>
      </c>
      <c r="C357" s="15" t="s">
        <v>26</v>
      </c>
      <c r="D357" s="15" t="s">
        <v>28</v>
      </c>
      <c r="E357" s="15" t="s">
        <v>134</v>
      </c>
      <c r="F357" s="15"/>
      <c r="G357" s="70">
        <f>G358+G360</f>
        <v>618068633.92999995</v>
      </c>
      <c r="H357" s="70">
        <f t="shared" ref="H357:I357" si="89">H358+H360</f>
        <v>629702800.27999997</v>
      </c>
      <c r="I357" s="70">
        <f t="shared" si="89"/>
        <v>649822035.52999997</v>
      </c>
      <c r="J357" s="17">
        <v>1000000</v>
      </c>
      <c r="P357" s="17"/>
      <c r="Q357" s="17"/>
      <c r="R357" s="17"/>
      <c r="S357" s="17"/>
      <c r="T357" s="17"/>
    </row>
    <row r="358" spans="1:20" s="18" customFormat="1" hidden="1">
      <c r="A358" s="16" t="s">
        <v>63</v>
      </c>
      <c r="B358" s="15" t="s">
        <v>94</v>
      </c>
      <c r="C358" s="15" t="s">
        <v>26</v>
      </c>
      <c r="D358" s="15" t="s">
        <v>28</v>
      </c>
      <c r="E358" s="15" t="s">
        <v>134</v>
      </c>
      <c r="F358" s="15" t="s">
        <v>64</v>
      </c>
      <c r="G358" s="70">
        <f t="shared" ref="G358:I358" si="90">G359</f>
        <v>0</v>
      </c>
      <c r="H358" s="87">
        <f t="shared" si="90"/>
        <v>0</v>
      </c>
      <c r="I358" s="87">
        <f t="shared" si="90"/>
        <v>0</v>
      </c>
      <c r="J358" s="17">
        <v>28108080</v>
      </c>
      <c r="P358" s="17"/>
      <c r="Q358" s="17"/>
      <c r="R358" s="17"/>
      <c r="S358" s="17"/>
      <c r="T358" s="17"/>
    </row>
    <row r="359" spans="1:20" s="18" customFormat="1" hidden="1">
      <c r="A359" s="16" t="s">
        <v>180</v>
      </c>
      <c r="B359" s="15" t="s">
        <v>94</v>
      </c>
      <c r="C359" s="15" t="s">
        <v>26</v>
      </c>
      <c r="D359" s="15" t="s">
        <v>28</v>
      </c>
      <c r="E359" s="15" t="s">
        <v>134</v>
      </c>
      <c r="F359" s="15" t="s">
        <v>181</v>
      </c>
      <c r="G359" s="70">
        <f>'прил 5,'!G564</f>
        <v>0</v>
      </c>
      <c r="H359" s="87">
        <f>'прил 5,'!H564</f>
        <v>0</v>
      </c>
      <c r="I359" s="87">
        <f>'прил 5,'!I564</f>
        <v>0</v>
      </c>
      <c r="J359" s="17">
        <v>346225581</v>
      </c>
      <c r="P359" s="17"/>
      <c r="Q359" s="17"/>
      <c r="R359" s="17"/>
      <c r="S359" s="17"/>
      <c r="T359" s="17"/>
    </row>
    <row r="360" spans="1:20" s="18" customFormat="1" ht="15" customHeight="1">
      <c r="A360" s="16" t="s">
        <v>91</v>
      </c>
      <c r="B360" s="14">
        <v>774</v>
      </c>
      <c r="C360" s="15" t="s">
        <v>26</v>
      </c>
      <c r="D360" s="15" t="s">
        <v>19</v>
      </c>
      <c r="E360" s="15" t="s">
        <v>134</v>
      </c>
      <c r="F360" s="15"/>
      <c r="G360" s="70">
        <f t="shared" ref="G360:I361" si="91">G361</f>
        <v>618068633.92999995</v>
      </c>
      <c r="H360" s="70">
        <f t="shared" si="91"/>
        <v>629702800.27999997</v>
      </c>
      <c r="I360" s="70">
        <f t="shared" si="91"/>
        <v>649822035.52999997</v>
      </c>
      <c r="J360" s="17"/>
      <c r="P360" s="17"/>
      <c r="Q360" s="17"/>
      <c r="R360" s="17"/>
      <c r="S360" s="17"/>
      <c r="T360" s="17"/>
    </row>
    <row r="361" spans="1:20" s="18" customFormat="1" ht="25.5">
      <c r="A361" s="16" t="s">
        <v>30</v>
      </c>
      <c r="B361" s="14">
        <v>774</v>
      </c>
      <c r="C361" s="15" t="s">
        <v>26</v>
      </c>
      <c r="D361" s="15" t="s">
        <v>19</v>
      </c>
      <c r="E361" s="15" t="s">
        <v>134</v>
      </c>
      <c r="F361" s="15" t="s">
        <v>31</v>
      </c>
      <c r="G361" s="70">
        <f t="shared" si="91"/>
        <v>618068633.92999995</v>
      </c>
      <c r="H361" s="70">
        <f t="shared" si="91"/>
        <v>629702800.27999997</v>
      </c>
      <c r="I361" s="70">
        <f t="shared" si="91"/>
        <v>649822035.52999997</v>
      </c>
      <c r="J361" s="17">
        <v>6074133</v>
      </c>
      <c r="P361" s="17"/>
      <c r="Q361" s="17"/>
      <c r="R361" s="17"/>
      <c r="S361" s="17"/>
      <c r="T361" s="17"/>
    </row>
    <row r="362" spans="1:20" s="18" customFormat="1">
      <c r="A362" s="16" t="s">
        <v>32</v>
      </c>
      <c r="B362" s="14">
        <v>774</v>
      </c>
      <c r="C362" s="15" t="s">
        <v>26</v>
      </c>
      <c r="D362" s="15" t="s">
        <v>19</v>
      </c>
      <c r="E362" s="15" t="s">
        <v>134</v>
      </c>
      <c r="F362" s="15" t="s">
        <v>33</v>
      </c>
      <c r="G362" s="70">
        <f>'прил 5,'!G482+'прил 5,'!G561+'прил 5,'!G798</f>
        <v>618068633.92999995</v>
      </c>
      <c r="H362" s="70">
        <f>'прил 5,'!H482+'прил 5,'!H561+'прил 5,'!H798</f>
        <v>629702800.27999997</v>
      </c>
      <c r="I362" s="70">
        <f>'прил 5,'!I482+'прил 5,'!I561+'прил 5,'!I798</f>
        <v>649822035.52999997</v>
      </c>
      <c r="J362" s="17">
        <v>123332466</v>
      </c>
      <c r="P362" s="17"/>
      <c r="Q362" s="17"/>
      <c r="R362" s="17"/>
      <c r="S362" s="17"/>
      <c r="T362" s="17"/>
    </row>
    <row r="363" spans="1:20" s="18" customFormat="1" ht="15" hidden="1" customHeight="1">
      <c r="A363" s="16" t="s">
        <v>91</v>
      </c>
      <c r="B363" s="14">
        <v>774</v>
      </c>
      <c r="C363" s="15" t="s">
        <v>26</v>
      </c>
      <c r="D363" s="15" t="s">
        <v>19</v>
      </c>
      <c r="E363" s="15" t="s">
        <v>216</v>
      </c>
      <c r="F363" s="15"/>
      <c r="G363" s="70">
        <f t="shared" ref="G363:I364" si="92">G364</f>
        <v>0</v>
      </c>
      <c r="H363" s="87">
        <f t="shared" si="92"/>
        <v>0</v>
      </c>
      <c r="I363" s="87">
        <f t="shared" si="92"/>
        <v>0</v>
      </c>
      <c r="J363" s="17"/>
      <c r="P363" s="17"/>
      <c r="Q363" s="17"/>
      <c r="R363" s="17"/>
      <c r="S363" s="17"/>
      <c r="T363" s="17"/>
    </row>
    <row r="364" spans="1:20" s="18" customFormat="1" ht="25.5" hidden="1">
      <c r="A364" s="16" t="s">
        <v>30</v>
      </c>
      <c r="B364" s="14">
        <v>774</v>
      </c>
      <c r="C364" s="15" t="s">
        <v>26</v>
      </c>
      <c r="D364" s="15" t="s">
        <v>19</v>
      </c>
      <c r="E364" s="15" t="s">
        <v>216</v>
      </c>
      <c r="F364" s="15" t="s">
        <v>31</v>
      </c>
      <c r="G364" s="70">
        <f t="shared" si="92"/>
        <v>0</v>
      </c>
      <c r="H364" s="87">
        <f t="shared" si="92"/>
        <v>0</v>
      </c>
      <c r="I364" s="87">
        <f t="shared" si="92"/>
        <v>0</v>
      </c>
      <c r="J364" s="17"/>
      <c r="P364" s="17"/>
      <c r="Q364" s="17"/>
      <c r="R364" s="17"/>
      <c r="S364" s="17"/>
      <c r="T364" s="17"/>
    </row>
    <row r="365" spans="1:20" s="18" customFormat="1" hidden="1">
      <c r="A365" s="16" t="s">
        <v>32</v>
      </c>
      <c r="B365" s="14">
        <v>774</v>
      </c>
      <c r="C365" s="15" t="s">
        <v>26</v>
      </c>
      <c r="D365" s="15" t="s">
        <v>19</v>
      </c>
      <c r="E365" s="15" t="s">
        <v>216</v>
      </c>
      <c r="F365" s="15" t="s">
        <v>33</v>
      </c>
      <c r="G365" s="70"/>
      <c r="H365" s="87"/>
      <c r="I365" s="87"/>
      <c r="J365" s="17"/>
      <c r="P365" s="17"/>
      <c r="Q365" s="17"/>
      <c r="R365" s="17"/>
      <c r="S365" s="17"/>
      <c r="T365" s="17"/>
    </row>
    <row r="366" spans="1:20" s="18" customFormat="1" ht="51" hidden="1">
      <c r="A366" s="16" t="s">
        <v>34</v>
      </c>
      <c r="B366" s="14">
        <v>774</v>
      </c>
      <c r="C366" s="15" t="s">
        <v>26</v>
      </c>
      <c r="D366" s="15" t="s">
        <v>19</v>
      </c>
      <c r="E366" s="15" t="s">
        <v>216</v>
      </c>
      <c r="F366" s="15" t="s">
        <v>92</v>
      </c>
      <c r="G366" s="70"/>
      <c r="H366" s="87"/>
      <c r="I366" s="87"/>
      <c r="J366" s="17"/>
      <c r="P366" s="17"/>
      <c r="Q366" s="17"/>
      <c r="R366" s="17"/>
      <c r="S366" s="17"/>
      <c r="T366" s="17"/>
    </row>
    <row r="367" spans="1:20" s="18" customFormat="1" ht="53.25" customHeight="1">
      <c r="A367" s="16" t="s">
        <v>638</v>
      </c>
      <c r="B367" s="15" t="s">
        <v>94</v>
      </c>
      <c r="C367" s="15" t="s">
        <v>26</v>
      </c>
      <c r="D367" s="15" t="s">
        <v>70</v>
      </c>
      <c r="E367" s="15" t="s">
        <v>637</v>
      </c>
      <c r="F367" s="15"/>
      <c r="G367" s="70">
        <f t="shared" ref="G367:I368" si="93">G368</f>
        <v>10919566.07</v>
      </c>
      <c r="H367" s="70">
        <f t="shared" si="93"/>
        <v>11053199.720000001</v>
      </c>
      <c r="I367" s="70">
        <f t="shared" si="93"/>
        <v>11215464.470000001</v>
      </c>
      <c r="P367" s="17" t="s">
        <v>894</v>
      </c>
      <c r="Q367" s="17"/>
      <c r="R367" s="17"/>
      <c r="S367" s="17"/>
      <c r="T367" s="17"/>
    </row>
    <row r="368" spans="1:20" s="18" customFormat="1" ht="25.5">
      <c r="A368" s="16" t="s">
        <v>30</v>
      </c>
      <c r="B368" s="15" t="s">
        <v>94</v>
      </c>
      <c r="C368" s="15" t="s">
        <v>26</v>
      </c>
      <c r="D368" s="15" t="s">
        <v>70</v>
      </c>
      <c r="E368" s="15" t="s">
        <v>637</v>
      </c>
      <c r="F368" s="15" t="s">
        <v>31</v>
      </c>
      <c r="G368" s="70">
        <f t="shared" si="93"/>
        <v>10919566.07</v>
      </c>
      <c r="H368" s="70">
        <f t="shared" si="93"/>
        <v>11053199.720000001</v>
      </c>
      <c r="I368" s="70">
        <f t="shared" si="93"/>
        <v>11215464.470000001</v>
      </c>
      <c r="P368" s="17"/>
      <c r="Q368" s="17"/>
      <c r="R368" s="17"/>
      <c r="S368" s="17"/>
      <c r="T368" s="17"/>
    </row>
    <row r="369" spans="1:20" s="18" customFormat="1">
      <c r="A369" s="16" t="s">
        <v>32</v>
      </c>
      <c r="B369" s="15" t="s">
        <v>94</v>
      </c>
      <c r="C369" s="15" t="s">
        <v>26</v>
      </c>
      <c r="D369" s="15" t="s">
        <v>70</v>
      </c>
      <c r="E369" s="15" t="s">
        <v>637</v>
      </c>
      <c r="F369" s="15" t="s">
        <v>33</v>
      </c>
      <c r="G369" s="70">
        <f>'прил 5,'!G810</f>
        <v>10919566.07</v>
      </c>
      <c r="H369" s="70">
        <f>'прил 5,'!H810</f>
        <v>11053199.720000001</v>
      </c>
      <c r="I369" s="70">
        <f>'прил 5,'!I810</f>
        <v>11215464.470000001</v>
      </c>
      <c r="P369" s="17"/>
      <c r="Q369" s="17"/>
      <c r="R369" s="17"/>
      <c r="S369" s="17"/>
      <c r="T369" s="17"/>
    </row>
    <row r="370" spans="1:20" s="18" customFormat="1" ht="25.5">
      <c r="A370" s="16" t="s">
        <v>93</v>
      </c>
      <c r="B370" s="14">
        <v>774</v>
      </c>
      <c r="C370" s="15" t="s">
        <v>26</v>
      </c>
      <c r="D370" s="15" t="s">
        <v>19</v>
      </c>
      <c r="E370" s="15" t="s">
        <v>217</v>
      </c>
      <c r="F370" s="15"/>
      <c r="G370" s="70">
        <f t="shared" ref="G370:I371" si="94">G371</f>
        <v>99427242</v>
      </c>
      <c r="H370" s="70">
        <f t="shared" si="94"/>
        <v>98500729</v>
      </c>
      <c r="I370" s="70">
        <f t="shared" si="94"/>
        <v>98842132</v>
      </c>
      <c r="J370" s="17">
        <v>100000</v>
      </c>
      <c r="P370" s="17"/>
      <c r="Q370" s="17"/>
      <c r="R370" s="17"/>
      <c r="S370" s="17"/>
      <c r="T370" s="17"/>
    </row>
    <row r="371" spans="1:20" s="18" customFormat="1" ht="25.5">
      <c r="A371" s="16" t="s">
        <v>30</v>
      </c>
      <c r="B371" s="14">
        <v>774</v>
      </c>
      <c r="C371" s="15" t="s">
        <v>26</v>
      </c>
      <c r="D371" s="15" t="s">
        <v>19</v>
      </c>
      <c r="E371" s="15" t="s">
        <v>217</v>
      </c>
      <c r="F371" s="15" t="s">
        <v>31</v>
      </c>
      <c r="G371" s="70">
        <f t="shared" si="94"/>
        <v>99427242</v>
      </c>
      <c r="H371" s="70">
        <f t="shared" si="94"/>
        <v>98500729</v>
      </c>
      <c r="I371" s="70">
        <f t="shared" si="94"/>
        <v>98842132</v>
      </c>
      <c r="J371" s="17">
        <v>1000000</v>
      </c>
      <c r="P371" s="17"/>
      <c r="Q371" s="17"/>
      <c r="R371" s="17"/>
      <c r="S371" s="17"/>
      <c r="T371" s="17"/>
    </row>
    <row r="372" spans="1:20" s="18" customFormat="1">
      <c r="A372" s="16" t="s">
        <v>32</v>
      </c>
      <c r="B372" s="14">
        <v>774</v>
      </c>
      <c r="C372" s="15" t="s">
        <v>26</v>
      </c>
      <c r="D372" s="15" t="s">
        <v>19</v>
      </c>
      <c r="E372" s="15" t="s">
        <v>217</v>
      </c>
      <c r="F372" s="15" t="s">
        <v>33</v>
      </c>
      <c r="G372" s="70">
        <f>'прил 5,'!G485</f>
        <v>99427242</v>
      </c>
      <c r="H372" s="70">
        <f>'прил 5,'!H485</f>
        <v>98500729</v>
      </c>
      <c r="I372" s="70">
        <f>'прил 5,'!I485</f>
        <v>98842132</v>
      </c>
      <c r="J372" s="17">
        <v>3557619</v>
      </c>
      <c r="P372" s="17"/>
      <c r="Q372" s="17"/>
      <c r="R372" s="17"/>
      <c r="S372" s="17"/>
      <c r="T372" s="17"/>
    </row>
    <row r="373" spans="1:20" s="18" customFormat="1" ht="42.75" customHeight="1">
      <c r="A373" s="42" t="s">
        <v>878</v>
      </c>
      <c r="B373" s="15" t="s">
        <v>94</v>
      </c>
      <c r="C373" s="15" t="s">
        <v>26</v>
      </c>
      <c r="D373" s="15" t="s">
        <v>19</v>
      </c>
      <c r="E373" s="15" t="s">
        <v>617</v>
      </c>
      <c r="F373" s="15"/>
      <c r="G373" s="70">
        <f t="shared" ref="G373:I374" si="95">G374</f>
        <v>0</v>
      </c>
      <c r="H373" s="70">
        <f t="shared" si="95"/>
        <v>857216</v>
      </c>
      <c r="I373" s="70">
        <f t="shared" si="95"/>
        <v>857216</v>
      </c>
      <c r="P373" s="17"/>
      <c r="Q373" s="17"/>
      <c r="R373" s="17"/>
      <c r="S373" s="17"/>
      <c r="T373" s="17"/>
    </row>
    <row r="374" spans="1:20" s="18" customFormat="1" ht="25.5">
      <c r="A374" s="16" t="s">
        <v>30</v>
      </c>
      <c r="B374" s="15" t="s">
        <v>94</v>
      </c>
      <c r="C374" s="15" t="s">
        <v>26</v>
      </c>
      <c r="D374" s="15" t="s">
        <v>19</v>
      </c>
      <c r="E374" s="15" t="s">
        <v>617</v>
      </c>
      <c r="F374" s="15" t="s">
        <v>31</v>
      </c>
      <c r="G374" s="70">
        <f t="shared" si="95"/>
        <v>0</v>
      </c>
      <c r="H374" s="70">
        <f t="shared" si="95"/>
        <v>857216</v>
      </c>
      <c r="I374" s="70">
        <f t="shared" si="95"/>
        <v>857216</v>
      </c>
      <c r="P374" s="17"/>
      <c r="Q374" s="17"/>
      <c r="R374" s="17"/>
      <c r="S374" s="17"/>
      <c r="T374" s="17"/>
    </row>
    <row r="375" spans="1:20">
      <c r="A375" s="16" t="s">
        <v>32</v>
      </c>
      <c r="B375" s="15" t="s">
        <v>94</v>
      </c>
      <c r="C375" s="15" t="s">
        <v>26</v>
      </c>
      <c r="D375" s="15" t="s">
        <v>19</v>
      </c>
      <c r="E375" s="15" t="s">
        <v>617</v>
      </c>
      <c r="F375" s="15" t="s">
        <v>33</v>
      </c>
      <c r="G375" s="70">
        <f>'прил 5,'!G494</f>
        <v>0</v>
      </c>
      <c r="H375" s="70">
        <f>'прил 5,'!H494</f>
        <v>857216</v>
      </c>
      <c r="I375" s="70">
        <f>'прил 5,'!I494</f>
        <v>857216</v>
      </c>
      <c r="J375" s="1"/>
    </row>
    <row r="376" spans="1:20" ht="43.5" customHeight="1">
      <c r="A376" s="16" t="s">
        <v>118</v>
      </c>
      <c r="B376" s="15" t="s">
        <v>94</v>
      </c>
      <c r="C376" s="15" t="s">
        <v>26</v>
      </c>
      <c r="D376" s="15" t="s">
        <v>28</v>
      </c>
      <c r="E376" s="15" t="s">
        <v>222</v>
      </c>
      <c r="F376" s="15"/>
      <c r="G376" s="70">
        <f>G377</f>
        <v>129281740.40000001</v>
      </c>
      <c r="H376" s="87">
        <f>H377</f>
        <v>125609321</v>
      </c>
      <c r="I376" s="87">
        <f>I377</f>
        <v>125675659</v>
      </c>
      <c r="J376" s="17">
        <v>1832238</v>
      </c>
    </row>
    <row r="377" spans="1:20" ht="25.5">
      <c r="A377" s="16" t="s">
        <v>30</v>
      </c>
      <c r="B377" s="15" t="s">
        <v>94</v>
      </c>
      <c r="C377" s="15" t="s">
        <v>26</v>
      </c>
      <c r="D377" s="15" t="s">
        <v>28</v>
      </c>
      <c r="E377" s="15" t="s">
        <v>222</v>
      </c>
      <c r="F377" s="15" t="s">
        <v>31</v>
      </c>
      <c r="G377" s="70">
        <f t="shared" ref="G377:I377" si="96">G378</f>
        <v>129281740.40000001</v>
      </c>
      <c r="H377" s="87">
        <f t="shared" si="96"/>
        <v>125609321</v>
      </c>
      <c r="I377" s="87">
        <f t="shared" si="96"/>
        <v>125675659</v>
      </c>
      <c r="J377" s="17">
        <v>275000</v>
      </c>
    </row>
    <row r="378" spans="1:20">
      <c r="A378" s="16" t="s">
        <v>32</v>
      </c>
      <c r="B378" s="15" t="s">
        <v>94</v>
      </c>
      <c r="C378" s="15" t="s">
        <v>26</v>
      </c>
      <c r="D378" s="15" t="s">
        <v>28</v>
      </c>
      <c r="E378" s="15" t="s">
        <v>222</v>
      </c>
      <c r="F378" s="15" t="s">
        <v>33</v>
      </c>
      <c r="G378" s="70">
        <f>'прил 5,'!G569</f>
        <v>129281740.40000001</v>
      </c>
      <c r="H378" s="70">
        <f>'прил 5,'!H569</f>
        <v>125609321</v>
      </c>
      <c r="I378" s="70">
        <f>'прил 5,'!I569</f>
        <v>125675659</v>
      </c>
      <c r="J378" s="17">
        <v>2097500</v>
      </c>
    </row>
    <row r="379" spans="1:20" ht="43.5" hidden="1" customHeight="1">
      <c r="A379" s="82" t="s">
        <v>744</v>
      </c>
      <c r="B379" s="84"/>
      <c r="C379" s="84"/>
      <c r="D379" s="84"/>
      <c r="E379" s="84" t="s">
        <v>738</v>
      </c>
      <c r="F379" s="84"/>
      <c r="G379" s="87">
        <f>G380</f>
        <v>0</v>
      </c>
      <c r="H379" s="87"/>
      <c r="I379" s="87"/>
      <c r="J379" s="17"/>
    </row>
    <row r="380" spans="1:20" ht="25.5" hidden="1">
      <c r="A380" s="82" t="s">
        <v>96</v>
      </c>
      <c r="B380" s="84" t="s">
        <v>94</v>
      </c>
      <c r="C380" s="84" t="s">
        <v>26</v>
      </c>
      <c r="D380" s="84" t="s">
        <v>28</v>
      </c>
      <c r="E380" s="84" t="s">
        <v>738</v>
      </c>
      <c r="F380" s="84" t="s">
        <v>349</v>
      </c>
      <c r="G380" s="87">
        <f>G381</f>
        <v>0</v>
      </c>
      <c r="H380" s="70">
        <f>H381</f>
        <v>0</v>
      </c>
      <c r="I380" s="70">
        <f>I381</f>
        <v>0</v>
      </c>
      <c r="J380" s="1"/>
    </row>
    <row r="381" spans="1:20" s="3" customFormat="1" ht="89.25" hidden="1">
      <c r="A381" s="82" t="s">
        <v>421</v>
      </c>
      <c r="B381" s="149">
        <v>774</v>
      </c>
      <c r="C381" s="84" t="s">
        <v>26</v>
      </c>
      <c r="D381" s="84" t="s">
        <v>28</v>
      </c>
      <c r="E381" s="84" t="s">
        <v>738</v>
      </c>
      <c r="F381" s="84" t="s">
        <v>420</v>
      </c>
      <c r="G381" s="87">
        <f>'прил 5,'!G572</f>
        <v>0</v>
      </c>
      <c r="H381" s="70">
        <v>0</v>
      </c>
      <c r="I381" s="70">
        <v>0</v>
      </c>
      <c r="P381" s="111"/>
      <c r="Q381" s="111"/>
      <c r="R381" s="111"/>
      <c r="S381" s="111"/>
      <c r="T381" s="111"/>
    </row>
    <row r="382" spans="1:20" ht="25.5">
      <c r="A382" s="16" t="s">
        <v>29</v>
      </c>
      <c r="B382" s="15" t="s">
        <v>94</v>
      </c>
      <c r="C382" s="15" t="s">
        <v>26</v>
      </c>
      <c r="D382" s="15" t="s">
        <v>28</v>
      </c>
      <c r="E382" s="15" t="s">
        <v>223</v>
      </c>
      <c r="F382" s="15"/>
      <c r="G382" s="87">
        <f t="shared" ref="G382:I383" si="97">G383</f>
        <v>17127247</v>
      </c>
      <c r="H382" s="87">
        <f t="shared" si="97"/>
        <v>15367283</v>
      </c>
      <c r="I382" s="87">
        <f t="shared" si="97"/>
        <v>11015458</v>
      </c>
      <c r="J382" s="2">
        <v>66815463</v>
      </c>
    </row>
    <row r="383" spans="1:20" ht="25.5">
      <c r="A383" s="16" t="s">
        <v>30</v>
      </c>
      <c r="B383" s="15" t="s">
        <v>94</v>
      </c>
      <c r="C383" s="15" t="s">
        <v>26</v>
      </c>
      <c r="D383" s="15" t="s">
        <v>28</v>
      </c>
      <c r="E383" s="15" t="s">
        <v>223</v>
      </c>
      <c r="F383" s="15" t="s">
        <v>31</v>
      </c>
      <c r="G383" s="87">
        <f t="shared" si="97"/>
        <v>17127247</v>
      </c>
      <c r="H383" s="87">
        <f t="shared" si="97"/>
        <v>15367283</v>
      </c>
      <c r="I383" s="87">
        <f t="shared" si="97"/>
        <v>11015458</v>
      </c>
      <c r="J383" s="2">
        <v>11498996</v>
      </c>
    </row>
    <row r="384" spans="1:20">
      <c r="A384" s="16" t="s">
        <v>32</v>
      </c>
      <c r="B384" s="15" t="s">
        <v>94</v>
      </c>
      <c r="C384" s="15" t="s">
        <v>26</v>
      </c>
      <c r="D384" s="15" t="s">
        <v>28</v>
      </c>
      <c r="E384" s="15" t="s">
        <v>223</v>
      </c>
      <c r="F384" s="15" t="s">
        <v>33</v>
      </c>
      <c r="G384" s="70">
        <f>'прил 5,'!G801</f>
        <v>17127247</v>
      </c>
      <c r="H384" s="70">
        <f>'прил 5,'!H801</f>
        <v>15367283</v>
      </c>
      <c r="I384" s="70">
        <f>'прил 5,'!I801</f>
        <v>11015458</v>
      </c>
      <c r="J384" s="2">
        <v>90400</v>
      </c>
    </row>
    <row r="385" spans="1:20" s="18" customFormat="1">
      <c r="A385" s="16" t="s">
        <v>859</v>
      </c>
      <c r="B385" s="14">
        <v>774</v>
      </c>
      <c r="C385" s="15" t="s">
        <v>26</v>
      </c>
      <c r="D385" s="15" t="s">
        <v>19</v>
      </c>
      <c r="E385" s="15" t="s">
        <v>877</v>
      </c>
      <c r="F385" s="15"/>
      <c r="G385" s="70">
        <f>G386</f>
        <v>1601437.1400000001</v>
      </c>
      <c r="H385" s="70">
        <f t="shared" ref="G385:I386" si="98">H386</f>
        <v>1835299</v>
      </c>
      <c r="I385" s="70">
        <f t="shared" si="98"/>
        <v>1835299</v>
      </c>
      <c r="P385" s="17"/>
      <c r="Q385" s="17"/>
      <c r="R385" s="17"/>
      <c r="S385" s="17"/>
      <c r="T385" s="17"/>
    </row>
    <row r="386" spans="1:20" s="18" customFormat="1" ht="25.5">
      <c r="A386" s="16" t="s">
        <v>30</v>
      </c>
      <c r="B386" s="14">
        <v>774</v>
      </c>
      <c r="C386" s="15" t="s">
        <v>26</v>
      </c>
      <c r="D386" s="15" t="s">
        <v>19</v>
      </c>
      <c r="E386" s="15" t="s">
        <v>877</v>
      </c>
      <c r="F386" s="15" t="s">
        <v>31</v>
      </c>
      <c r="G386" s="70">
        <f t="shared" si="98"/>
        <v>1601437.1400000001</v>
      </c>
      <c r="H386" s="70">
        <f t="shared" si="98"/>
        <v>1835299</v>
      </c>
      <c r="I386" s="70">
        <f t="shared" si="98"/>
        <v>1835299</v>
      </c>
      <c r="P386" s="17"/>
      <c r="Q386" s="17"/>
      <c r="R386" s="17"/>
      <c r="S386" s="17"/>
      <c r="T386" s="17"/>
    </row>
    <row r="387" spans="1:20" s="18" customFormat="1">
      <c r="A387" s="16" t="s">
        <v>32</v>
      </c>
      <c r="B387" s="14">
        <v>774</v>
      </c>
      <c r="C387" s="15" t="s">
        <v>26</v>
      </c>
      <c r="D387" s="15" t="s">
        <v>19</v>
      </c>
      <c r="E387" s="15" t="s">
        <v>877</v>
      </c>
      <c r="F387" s="15" t="s">
        <v>33</v>
      </c>
      <c r="G387" s="70">
        <f>'прил 5,'!G488+'прил 5,'!G804+'прил 5,'!G575</f>
        <v>1601437.1400000001</v>
      </c>
      <c r="H387" s="70">
        <f>'прил 5,'!H488+'прил 5,'!H804+'прил 5,'!H575</f>
        <v>1835299</v>
      </c>
      <c r="I387" s="70">
        <f>'прил 5,'!I488+'прил 5,'!I804+'прил 5,'!I575</f>
        <v>1835299</v>
      </c>
      <c r="P387" s="17"/>
      <c r="Q387" s="17"/>
      <c r="R387" s="17"/>
      <c r="S387" s="17"/>
      <c r="T387" s="17"/>
    </row>
    <row r="388" spans="1:20" s="18" customFormat="1" ht="54" customHeight="1">
      <c r="A388" s="180" t="s">
        <v>883</v>
      </c>
      <c r="B388" s="15" t="s">
        <v>94</v>
      </c>
      <c r="C388" s="15" t="s">
        <v>26</v>
      </c>
      <c r="D388" s="15" t="s">
        <v>19</v>
      </c>
      <c r="E388" s="15" t="s">
        <v>879</v>
      </c>
      <c r="F388" s="15"/>
      <c r="G388" s="70">
        <f t="shared" ref="G388:I389" si="99">G389</f>
        <v>4233923</v>
      </c>
      <c r="H388" s="70">
        <f t="shared" si="99"/>
        <v>4174525</v>
      </c>
      <c r="I388" s="70">
        <f t="shared" si="99"/>
        <v>4174525</v>
      </c>
      <c r="P388" s="17"/>
      <c r="Q388" s="17"/>
      <c r="R388" s="17"/>
      <c r="S388" s="17"/>
      <c r="T388" s="17"/>
    </row>
    <row r="389" spans="1:20" s="18" customFormat="1" ht="25.5">
      <c r="A389" s="16" t="s">
        <v>30</v>
      </c>
      <c r="B389" s="15" t="s">
        <v>94</v>
      </c>
      <c r="C389" s="15" t="s">
        <v>26</v>
      </c>
      <c r="D389" s="15" t="s">
        <v>19</v>
      </c>
      <c r="E389" s="15" t="s">
        <v>879</v>
      </c>
      <c r="F389" s="15" t="s">
        <v>31</v>
      </c>
      <c r="G389" s="70">
        <f t="shared" si="99"/>
        <v>4233923</v>
      </c>
      <c r="H389" s="70">
        <f t="shared" si="99"/>
        <v>4174525</v>
      </c>
      <c r="I389" s="70">
        <f t="shared" si="99"/>
        <v>4174525</v>
      </c>
      <c r="P389" s="17"/>
      <c r="Q389" s="17"/>
      <c r="R389" s="17"/>
      <c r="S389" s="17"/>
      <c r="T389" s="17"/>
    </row>
    <row r="390" spans="1:20">
      <c r="A390" s="16" t="s">
        <v>32</v>
      </c>
      <c r="B390" s="15" t="s">
        <v>94</v>
      </c>
      <c r="C390" s="15" t="s">
        <v>26</v>
      </c>
      <c r="D390" s="15" t="s">
        <v>19</v>
      </c>
      <c r="E390" s="15" t="s">
        <v>879</v>
      </c>
      <c r="F390" s="15" t="s">
        <v>33</v>
      </c>
      <c r="G390" s="70">
        <f>'прил 5,'!G499</f>
        <v>4233923</v>
      </c>
      <c r="H390" s="70">
        <f>'прил 5,'!H499</f>
        <v>4174525</v>
      </c>
      <c r="I390" s="70">
        <f>'прил 5,'!I499</f>
        <v>4174525</v>
      </c>
      <c r="J390" s="1"/>
    </row>
    <row r="391" spans="1:20" s="18" customFormat="1" ht="51" customHeight="1">
      <c r="A391" s="42" t="s">
        <v>880</v>
      </c>
      <c r="B391" s="15" t="s">
        <v>94</v>
      </c>
      <c r="C391" s="15" t="s">
        <v>26</v>
      </c>
      <c r="D391" s="15" t="s">
        <v>28</v>
      </c>
      <c r="E391" s="15" t="s">
        <v>884</v>
      </c>
      <c r="F391" s="15"/>
      <c r="G391" s="70">
        <f t="shared" ref="G391:I392" si="100">G392</f>
        <v>1630221</v>
      </c>
      <c r="H391" s="70">
        <f t="shared" si="100"/>
        <v>2386123</v>
      </c>
      <c r="I391" s="70">
        <f t="shared" si="100"/>
        <v>2386123</v>
      </c>
      <c r="P391" s="17"/>
      <c r="Q391" s="17"/>
      <c r="R391" s="17"/>
      <c r="S391" s="17"/>
      <c r="T391" s="17"/>
    </row>
    <row r="392" spans="1:20" s="18" customFormat="1" ht="25.5">
      <c r="A392" s="16" t="s">
        <v>30</v>
      </c>
      <c r="B392" s="15" t="s">
        <v>94</v>
      </c>
      <c r="C392" s="15" t="s">
        <v>26</v>
      </c>
      <c r="D392" s="15" t="s">
        <v>28</v>
      </c>
      <c r="E392" s="15" t="s">
        <v>884</v>
      </c>
      <c r="F392" s="15" t="s">
        <v>31</v>
      </c>
      <c r="G392" s="70">
        <f t="shared" si="100"/>
        <v>1630221</v>
      </c>
      <c r="H392" s="70">
        <f t="shared" si="100"/>
        <v>2386123</v>
      </c>
      <c r="I392" s="70">
        <f t="shared" si="100"/>
        <v>2386123</v>
      </c>
      <c r="P392" s="17"/>
      <c r="Q392" s="17"/>
      <c r="R392" s="17"/>
      <c r="S392" s="17"/>
      <c r="T392" s="17"/>
    </row>
    <row r="393" spans="1:20">
      <c r="A393" s="16" t="s">
        <v>32</v>
      </c>
      <c r="B393" s="15" t="s">
        <v>94</v>
      </c>
      <c r="C393" s="15" t="s">
        <v>26</v>
      </c>
      <c r="D393" s="15" t="s">
        <v>28</v>
      </c>
      <c r="E393" s="15" t="s">
        <v>884</v>
      </c>
      <c r="F393" s="15" t="s">
        <v>33</v>
      </c>
      <c r="G393" s="70">
        <f>'прил 5,'!G606</f>
        <v>1630221</v>
      </c>
      <c r="H393" s="70">
        <f>'прил 5,'!H606</f>
        <v>2386123</v>
      </c>
      <c r="I393" s="70">
        <f>'прил 5,'!I606</f>
        <v>2386123</v>
      </c>
      <c r="J393" s="1"/>
    </row>
    <row r="394" spans="1:20" ht="16.5" hidden="1" customHeight="1">
      <c r="A394" s="16" t="s">
        <v>1</v>
      </c>
      <c r="B394" s="15" t="s">
        <v>94</v>
      </c>
      <c r="C394" s="15" t="s">
        <v>26</v>
      </c>
      <c r="D394" s="15" t="s">
        <v>28</v>
      </c>
      <c r="E394" s="15" t="s">
        <v>551</v>
      </c>
      <c r="F394" s="15"/>
      <c r="G394" s="70">
        <f t="shared" ref="G394:I394" si="101">G395</f>
        <v>0</v>
      </c>
      <c r="H394" s="70">
        <f t="shared" si="101"/>
        <v>0</v>
      </c>
      <c r="I394" s="70">
        <f t="shared" si="101"/>
        <v>0</v>
      </c>
      <c r="J394" s="1"/>
      <c r="P394" s="1"/>
      <c r="Q394" s="1"/>
      <c r="R394" s="1"/>
      <c r="S394" s="1"/>
      <c r="T394" s="1"/>
    </row>
    <row r="395" spans="1:20" ht="24.75" hidden="1" customHeight="1">
      <c r="A395" s="16" t="s">
        <v>30</v>
      </c>
      <c r="B395" s="15" t="s">
        <v>94</v>
      </c>
      <c r="C395" s="15" t="s">
        <v>26</v>
      </c>
      <c r="D395" s="15" t="s">
        <v>28</v>
      </c>
      <c r="E395" s="15" t="s">
        <v>551</v>
      </c>
      <c r="F395" s="15" t="s">
        <v>31</v>
      </c>
      <c r="G395" s="70">
        <f>G396</f>
        <v>0</v>
      </c>
      <c r="H395" s="70">
        <f>H396</f>
        <v>0</v>
      </c>
      <c r="I395" s="70">
        <f>I396</f>
        <v>0</v>
      </c>
      <c r="J395" s="1"/>
      <c r="P395" s="1"/>
      <c r="Q395" s="1"/>
      <c r="R395" s="1"/>
      <c r="S395" s="1"/>
      <c r="T395" s="1"/>
    </row>
    <row r="396" spans="1:20" hidden="1">
      <c r="A396" s="16" t="s">
        <v>32</v>
      </c>
      <c r="B396" s="15" t="s">
        <v>94</v>
      </c>
      <c r="C396" s="15" t="s">
        <v>26</v>
      </c>
      <c r="D396" s="15" t="s">
        <v>28</v>
      </c>
      <c r="E396" s="15" t="s">
        <v>551</v>
      </c>
      <c r="F396" s="15" t="s">
        <v>33</v>
      </c>
      <c r="G396" s="70">
        <f>'прил 5,'!G826</f>
        <v>0</v>
      </c>
      <c r="H396" s="70">
        <f>'прил 5,'!H826</f>
        <v>0</v>
      </c>
      <c r="I396" s="70">
        <f>'прил 5,'!I826</f>
        <v>0</v>
      </c>
      <c r="J396" s="1"/>
      <c r="P396" s="1"/>
      <c r="Q396" s="1"/>
      <c r="R396" s="1"/>
      <c r="S396" s="1"/>
      <c r="T396" s="1"/>
    </row>
    <row r="397" spans="1:20" ht="74.25" customHeight="1">
      <c r="A397" s="82" t="s">
        <v>765</v>
      </c>
      <c r="B397" s="84" t="s">
        <v>94</v>
      </c>
      <c r="C397" s="84" t="s">
        <v>26</v>
      </c>
      <c r="D397" s="84" t="s">
        <v>28</v>
      </c>
      <c r="E397" s="84" t="s">
        <v>763</v>
      </c>
      <c r="F397" s="15"/>
      <c r="G397" s="70">
        <f>G400+G398</f>
        <v>0</v>
      </c>
      <c r="H397" s="70">
        <f t="shared" ref="H397:I397" si="102">H400+H398</f>
        <v>1000000</v>
      </c>
      <c r="I397" s="70">
        <f t="shared" si="102"/>
        <v>1000000</v>
      </c>
      <c r="J397" s="1"/>
    </row>
    <row r="398" spans="1:20" ht="25.5" hidden="1">
      <c r="A398" s="16" t="s">
        <v>96</v>
      </c>
      <c r="B398" s="15" t="s">
        <v>94</v>
      </c>
      <c r="C398" s="15" t="s">
        <v>26</v>
      </c>
      <c r="D398" s="15" t="s">
        <v>28</v>
      </c>
      <c r="E398" s="15" t="s">
        <v>738</v>
      </c>
      <c r="F398" s="15" t="s">
        <v>349</v>
      </c>
      <c r="G398" s="70">
        <f>G399</f>
        <v>0</v>
      </c>
      <c r="H398" s="70">
        <f>H399</f>
        <v>0</v>
      </c>
      <c r="I398" s="70">
        <f>I399</f>
        <v>0</v>
      </c>
      <c r="J398" s="1"/>
    </row>
    <row r="399" spans="1:20" s="3" customFormat="1" ht="89.25" hidden="1">
      <c r="A399" s="16" t="s">
        <v>421</v>
      </c>
      <c r="B399" s="14">
        <v>774</v>
      </c>
      <c r="C399" s="15" t="s">
        <v>26</v>
      </c>
      <c r="D399" s="15" t="s">
        <v>28</v>
      </c>
      <c r="E399" s="15" t="s">
        <v>738</v>
      </c>
      <c r="F399" s="15" t="s">
        <v>420</v>
      </c>
      <c r="G399" s="163"/>
      <c r="H399" s="70">
        <v>0</v>
      </c>
      <c r="I399" s="70">
        <v>0</v>
      </c>
      <c r="P399" s="111"/>
      <c r="Q399" s="111"/>
      <c r="R399" s="111"/>
      <c r="S399" s="111"/>
      <c r="T399" s="111"/>
    </row>
    <row r="400" spans="1:20" ht="25.5">
      <c r="A400" s="16" t="s">
        <v>30</v>
      </c>
      <c r="B400" s="15" t="s">
        <v>94</v>
      </c>
      <c r="C400" s="15" t="s">
        <v>26</v>
      </c>
      <c r="D400" s="15" t="s">
        <v>28</v>
      </c>
      <c r="E400" s="15" t="s">
        <v>763</v>
      </c>
      <c r="F400" s="15" t="s">
        <v>31</v>
      </c>
      <c r="G400" s="70">
        <f>G401</f>
        <v>0</v>
      </c>
      <c r="H400" s="70">
        <f t="shared" ref="H400:I400" si="103">H401</f>
        <v>1000000</v>
      </c>
      <c r="I400" s="70">
        <f t="shared" si="103"/>
        <v>1000000</v>
      </c>
      <c r="J400" s="1"/>
    </row>
    <row r="401" spans="1:20">
      <c r="A401" s="16" t="s">
        <v>32</v>
      </c>
      <c r="B401" s="15" t="s">
        <v>94</v>
      </c>
      <c r="C401" s="15" t="s">
        <v>26</v>
      </c>
      <c r="D401" s="15" t="s">
        <v>28</v>
      </c>
      <c r="E401" s="15" t="s">
        <v>763</v>
      </c>
      <c r="F401" s="15" t="s">
        <v>33</v>
      </c>
      <c r="G401" s="70">
        <f>'прил 5,'!G580</f>
        <v>0</v>
      </c>
      <c r="H401" s="70">
        <f>'прил 5,'!H580</f>
        <v>1000000</v>
      </c>
      <c r="I401" s="70">
        <f>'прил 5,'!I580</f>
        <v>1000000</v>
      </c>
      <c r="J401" s="1"/>
    </row>
    <row r="402" spans="1:20" ht="24.75" customHeight="1">
      <c r="A402" s="82" t="s">
        <v>945</v>
      </c>
      <c r="B402" s="84" t="s">
        <v>94</v>
      </c>
      <c r="C402" s="84" t="s">
        <v>26</v>
      </c>
      <c r="D402" s="84" t="s">
        <v>28</v>
      </c>
      <c r="E402" s="84" t="s">
        <v>944</v>
      </c>
      <c r="F402" s="15"/>
      <c r="G402" s="70">
        <f>G406+G403</f>
        <v>400000</v>
      </c>
      <c r="H402" s="70">
        <f t="shared" ref="H402:I402" si="104">H406</f>
        <v>0</v>
      </c>
      <c r="I402" s="70">
        <f t="shared" si="104"/>
        <v>0</v>
      </c>
      <c r="J402" s="1"/>
    </row>
    <row r="403" spans="1:20" ht="25.5">
      <c r="A403" s="16" t="s">
        <v>30</v>
      </c>
      <c r="B403" s="15" t="s">
        <v>94</v>
      </c>
      <c r="C403" s="15" t="s">
        <v>26</v>
      </c>
      <c r="D403" s="15" t="s">
        <v>28</v>
      </c>
      <c r="E403" s="15" t="s">
        <v>944</v>
      </c>
      <c r="F403" s="15" t="s">
        <v>31</v>
      </c>
      <c r="G403" s="70">
        <f>G404</f>
        <v>0</v>
      </c>
      <c r="H403" s="70">
        <f>H404</f>
        <v>0</v>
      </c>
      <c r="I403" s="70">
        <f>I404</f>
        <v>0</v>
      </c>
      <c r="J403" s="1"/>
    </row>
    <row r="404" spans="1:20" s="3" customFormat="1">
      <c r="A404" s="16" t="s">
        <v>32</v>
      </c>
      <c r="B404" s="14">
        <v>774</v>
      </c>
      <c r="C404" s="15" t="s">
        <v>26</v>
      </c>
      <c r="D404" s="15" t="s">
        <v>28</v>
      </c>
      <c r="E404" s="15" t="s">
        <v>944</v>
      </c>
      <c r="F404" s="15" t="s">
        <v>33</v>
      </c>
      <c r="G404" s="70">
        <f>'прил 5,'!G1015</f>
        <v>0</v>
      </c>
      <c r="H404" s="70">
        <v>0</v>
      </c>
      <c r="I404" s="70">
        <v>0</v>
      </c>
      <c r="P404" s="111"/>
      <c r="Q404" s="111"/>
      <c r="R404" s="111"/>
      <c r="S404" s="111"/>
      <c r="T404" s="111"/>
    </row>
    <row r="405" spans="1:20" ht="57" customHeight="1">
      <c r="A405" s="82" t="s">
        <v>764</v>
      </c>
      <c r="B405" s="84" t="s">
        <v>94</v>
      </c>
      <c r="C405" s="15" t="s">
        <v>26</v>
      </c>
      <c r="D405" s="15" t="s">
        <v>28</v>
      </c>
      <c r="E405" s="84" t="s">
        <v>762</v>
      </c>
      <c r="F405" s="15"/>
      <c r="G405" s="70">
        <f>G406</f>
        <v>400000</v>
      </c>
      <c r="H405" s="70">
        <f t="shared" ref="H405:I405" si="105">H406</f>
        <v>0</v>
      </c>
      <c r="I405" s="70">
        <f t="shared" si="105"/>
        <v>0</v>
      </c>
      <c r="J405" s="177"/>
      <c r="K405" s="186"/>
      <c r="L405" s="186"/>
      <c r="M405" s="186"/>
      <c r="N405" s="186"/>
      <c r="O405" s="186"/>
      <c r="P405" s="186"/>
      <c r="Q405" s="186"/>
      <c r="R405" s="186"/>
      <c r="S405" s="1"/>
      <c r="T405" s="1"/>
    </row>
    <row r="406" spans="1:20" ht="25.5">
      <c r="A406" s="16" t="s">
        <v>30</v>
      </c>
      <c r="B406" s="15" t="s">
        <v>94</v>
      </c>
      <c r="C406" s="15" t="s">
        <v>26</v>
      </c>
      <c r="D406" s="15" t="s">
        <v>28</v>
      </c>
      <c r="E406" s="15" t="s">
        <v>762</v>
      </c>
      <c r="F406" s="15" t="s">
        <v>31</v>
      </c>
      <c r="G406" s="70">
        <f>G407</f>
        <v>400000</v>
      </c>
      <c r="H406" s="70">
        <f>H407</f>
        <v>0</v>
      </c>
      <c r="I406" s="70">
        <f>I407</f>
        <v>0</v>
      </c>
      <c r="J406" s="1"/>
    </row>
    <row r="407" spans="1:20">
      <c r="A407" s="16" t="s">
        <v>32</v>
      </c>
      <c r="B407" s="15" t="s">
        <v>94</v>
      </c>
      <c r="C407" s="15" t="s">
        <v>26</v>
      </c>
      <c r="D407" s="15" t="s">
        <v>28</v>
      </c>
      <c r="E407" s="15" t="s">
        <v>762</v>
      </c>
      <c r="F407" s="15" t="s">
        <v>33</v>
      </c>
      <c r="G407" s="70">
        <f>'прил 5,'!G585</f>
        <v>400000</v>
      </c>
      <c r="H407" s="70">
        <v>0</v>
      </c>
      <c r="I407" s="70">
        <v>0</v>
      </c>
      <c r="J407" s="1"/>
    </row>
    <row r="408" spans="1:20" ht="32.25" customHeight="1">
      <c r="A408" s="16" t="s">
        <v>142</v>
      </c>
      <c r="B408" s="15" t="s">
        <v>94</v>
      </c>
      <c r="C408" s="15" t="s">
        <v>26</v>
      </c>
      <c r="D408" s="15" t="s">
        <v>28</v>
      </c>
      <c r="E408" s="15" t="s">
        <v>718</v>
      </c>
      <c r="F408" s="15"/>
      <c r="G408" s="70">
        <f t="shared" ref="G408:I408" si="106">G409</f>
        <v>616711</v>
      </c>
      <c r="H408" s="70">
        <f t="shared" si="106"/>
        <v>160000</v>
      </c>
      <c r="I408" s="70">
        <f t="shared" si="106"/>
        <v>160000</v>
      </c>
      <c r="J408" s="1"/>
    </row>
    <row r="409" spans="1:20" ht="25.5">
      <c r="A409" s="16" t="s">
        <v>30</v>
      </c>
      <c r="B409" s="15" t="s">
        <v>94</v>
      </c>
      <c r="C409" s="15" t="s">
        <v>26</v>
      </c>
      <c r="D409" s="15" t="s">
        <v>28</v>
      </c>
      <c r="E409" s="15" t="s">
        <v>718</v>
      </c>
      <c r="F409" s="15" t="s">
        <v>31</v>
      </c>
      <c r="G409" s="70">
        <f>G410</f>
        <v>616711</v>
      </c>
      <c r="H409" s="70">
        <f>H410</f>
        <v>160000</v>
      </c>
      <c r="I409" s="70">
        <f>I410</f>
        <v>160000</v>
      </c>
      <c r="J409" s="1"/>
    </row>
    <row r="410" spans="1:20">
      <c r="A410" s="16" t="s">
        <v>32</v>
      </c>
      <c r="B410" s="15" t="s">
        <v>94</v>
      </c>
      <c r="C410" s="15" t="s">
        <v>26</v>
      </c>
      <c r="D410" s="15" t="s">
        <v>28</v>
      </c>
      <c r="E410" s="15" t="s">
        <v>718</v>
      </c>
      <c r="F410" s="15" t="s">
        <v>33</v>
      </c>
      <c r="G410" s="70">
        <f>'прил 5,'!G588</f>
        <v>616711</v>
      </c>
      <c r="H410" s="70">
        <f>'прил 5,'!H588</f>
        <v>160000</v>
      </c>
      <c r="I410" s="70">
        <f>'прил 5,'!I588</f>
        <v>160000</v>
      </c>
      <c r="J410" s="1"/>
    </row>
    <row r="411" spans="1:20" ht="33" hidden="1" customHeight="1">
      <c r="A411" s="16" t="s">
        <v>958</v>
      </c>
      <c r="B411" s="15" t="s">
        <v>94</v>
      </c>
      <c r="C411" s="15" t="s">
        <v>26</v>
      </c>
      <c r="D411" s="15" t="s">
        <v>28</v>
      </c>
      <c r="E411" s="15" t="s">
        <v>957</v>
      </c>
      <c r="F411" s="15"/>
      <c r="G411" s="70">
        <f>G412</f>
        <v>0</v>
      </c>
      <c r="H411" s="70"/>
      <c r="I411" s="70"/>
      <c r="J411" s="177"/>
      <c r="K411" s="186"/>
      <c r="L411" s="186"/>
      <c r="M411" s="186"/>
      <c r="N411" s="186"/>
      <c r="O411" s="186"/>
      <c r="P411" s="186"/>
      <c r="Q411" s="186"/>
      <c r="R411" s="186"/>
      <c r="S411" s="1"/>
      <c r="T411" s="1"/>
    </row>
    <row r="412" spans="1:20" ht="24.75" hidden="1" customHeight="1">
      <c r="A412" s="16" t="s">
        <v>30</v>
      </c>
      <c r="B412" s="15" t="s">
        <v>94</v>
      </c>
      <c r="C412" s="15" t="s">
        <v>26</v>
      </c>
      <c r="D412" s="15" t="s">
        <v>28</v>
      </c>
      <c r="E412" s="15" t="s">
        <v>957</v>
      </c>
      <c r="F412" s="15" t="s">
        <v>31</v>
      </c>
      <c r="G412" s="70">
        <f>G413</f>
        <v>0</v>
      </c>
      <c r="H412" s="70"/>
      <c r="I412" s="70"/>
      <c r="J412" s="177"/>
      <c r="K412" s="186"/>
      <c r="L412" s="186"/>
      <c r="M412" s="186"/>
      <c r="N412" s="186"/>
      <c r="O412" s="186"/>
      <c r="P412" s="186"/>
      <c r="Q412" s="186"/>
      <c r="R412" s="186"/>
      <c r="S412" s="1"/>
      <c r="T412" s="1"/>
    </row>
    <row r="413" spans="1:20" ht="19.5" hidden="1" customHeight="1">
      <c r="A413" s="16" t="s">
        <v>32</v>
      </c>
      <c r="B413" s="15" t="s">
        <v>94</v>
      </c>
      <c r="C413" s="15" t="s">
        <v>26</v>
      </c>
      <c r="D413" s="15" t="s">
        <v>28</v>
      </c>
      <c r="E413" s="15" t="s">
        <v>957</v>
      </c>
      <c r="F413" s="15" t="s">
        <v>33</v>
      </c>
      <c r="G413" s="87"/>
      <c r="H413" s="70"/>
      <c r="I413" s="70"/>
      <c r="J413" s="177"/>
      <c r="K413" s="186"/>
      <c r="L413" s="186"/>
      <c r="M413" s="186"/>
      <c r="N413" s="186"/>
      <c r="O413" s="186"/>
      <c r="P413" s="186"/>
      <c r="Q413" s="186"/>
      <c r="R413" s="186"/>
      <c r="S413" s="1"/>
      <c r="T413" s="1"/>
    </row>
    <row r="414" spans="1:20" ht="16.5" hidden="1" customHeight="1">
      <c r="A414" s="16" t="s">
        <v>1</v>
      </c>
      <c r="B414" s="15" t="s">
        <v>94</v>
      </c>
      <c r="C414" s="15" t="s">
        <v>26</v>
      </c>
      <c r="D414" s="15" t="s">
        <v>28</v>
      </c>
      <c r="E414" s="15" t="s">
        <v>551</v>
      </c>
      <c r="F414" s="15"/>
      <c r="G414" s="70">
        <f t="shared" ref="G414:I414" si="107">G415</f>
        <v>0</v>
      </c>
      <c r="H414" s="70">
        <f t="shared" si="107"/>
        <v>0</v>
      </c>
      <c r="I414" s="70">
        <f t="shared" si="107"/>
        <v>0</v>
      </c>
      <c r="J414" s="1"/>
    </row>
    <row r="415" spans="1:20" ht="24.75" hidden="1" customHeight="1">
      <c r="A415" s="16" t="s">
        <v>30</v>
      </c>
      <c r="B415" s="15" t="s">
        <v>94</v>
      </c>
      <c r="C415" s="15" t="s">
        <v>26</v>
      </c>
      <c r="D415" s="15" t="s">
        <v>28</v>
      </c>
      <c r="E415" s="15" t="s">
        <v>551</v>
      </c>
      <c r="F415" s="15" t="s">
        <v>31</v>
      </c>
      <c r="G415" s="70">
        <f>G416</f>
        <v>0</v>
      </c>
      <c r="H415" s="70">
        <f>H416</f>
        <v>0</v>
      </c>
      <c r="I415" s="70">
        <f>I416</f>
        <v>0</v>
      </c>
      <c r="J415" s="1"/>
    </row>
    <row r="416" spans="1:20" hidden="1">
      <c r="A416" s="16" t="s">
        <v>32</v>
      </c>
      <c r="B416" s="15" t="s">
        <v>94</v>
      </c>
      <c r="C416" s="15" t="s">
        <v>26</v>
      </c>
      <c r="D416" s="15" t="s">
        <v>28</v>
      </c>
      <c r="E416" s="15" t="s">
        <v>551</v>
      </c>
      <c r="F416" s="15" t="s">
        <v>33</v>
      </c>
      <c r="G416" s="70">
        <f>'прил 5,'!G591</f>
        <v>0</v>
      </c>
      <c r="H416" s="70"/>
      <c r="I416" s="70"/>
      <c r="J416" s="1"/>
    </row>
    <row r="417" spans="1:20" ht="33" customHeight="1">
      <c r="A417" s="16" t="s">
        <v>984</v>
      </c>
      <c r="B417" s="15" t="s">
        <v>94</v>
      </c>
      <c r="C417" s="15" t="s">
        <v>26</v>
      </c>
      <c r="D417" s="15" t="s">
        <v>123</v>
      </c>
      <c r="E417" s="15" t="s">
        <v>957</v>
      </c>
      <c r="F417" s="15"/>
      <c r="G417" s="70">
        <f>G418</f>
        <v>100000</v>
      </c>
      <c r="H417" s="70">
        <f t="shared" ref="H417:I418" si="108">H418</f>
        <v>0</v>
      </c>
      <c r="I417" s="70">
        <f t="shared" si="108"/>
        <v>0</v>
      </c>
      <c r="J417" s="177"/>
      <c r="K417" s="186"/>
      <c r="L417" s="186"/>
      <c r="M417" s="186"/>
      <c r="N417" s="186"/>
      <c r="O417" s="186"/>
      <c r="P417" s="186"/>
      <c r="Q417" s="186"/>
      <c r="R417" s="186"/>
      <c r="S417" s="1"/>
      <c r="T417" s="1"/>
    </row>
    <row r="418" spans="1:20" ht="24.75" customHeight="1">
      <c r="A418" s="16" t="s">
        <v>36</v>
      </c>
      <c r="B418" s="15" t="s">
        <v>94</v>
      </c>
      <c r="C418" s="15" t="s">
        <v>26</v>
      </c>
      <c r="D418" s="15" t="s">
        <v>123</v>
      </c>
      <c r="E418" s="15" t="s">
        <v>957</v>
      </c>
      <c r="F418" s="15" t="s">
        <v>37</v>
      </c>
      <c r="G418" s="70">
        <f>G419</f>
        <v>100000</v>
      </c>
      <c r="H418" s="70">
        <f t="shared" si="108"/>
        <v>0</v>
      </c>
      <c r="I418" s="70">
        <f t="shared" si="108"/>
        <v>0</v>
      </c>
      <c r="J418" s="177"/>
      <c r="K418" s="186"/>
      <c r="L418" s="186"/>
      <c r="M418" s="186"/>
      <c r="N418" s="186"/>
      <c r="O418" s="186"/>
      <c r="P418" s="186"/>
      <c r="Q418" s="186"/>
      <c r="R418" s="186"/>
      <c r="S418" s="1"/>
      <c r="T418" s="1"/>
    </row>
    <row r="419" spans="1:20" ht="19.5" customHeight="1">
      <c r="A419" s="16" t="s">
        <v>38</v>
      </c>
      <c r="B419" s="15" t="s">
        <v>94</v>
      </c>
      <c r="C419" s="15" t="s">
        <v>26</v>
      </c>
      <c r="D419" s="15" t="s">
        <v>123</v>
      </c>
      <c r="E419" s="15" t="s">
        <v>957</v>
      </c>
      <c r="F419" s="15" t="s">
        <v>39</v>
      </c>
      <c r="G419" s="87">
        <v>100000</v>
      </c>
      <c r="H419" s="70">
        <v>0</v>
      </c>
      <c r="I419" s="70">
        <v>0</v>
      </c>
      <c r="J419" s="177"/>
      <c r="K419" s="186"/>
      <c r="L419" s="186"/>
      <c r="M419" s="186"/>
      <c r="N419" s="186"/>
      <c r="O419" s="186"/>
      <c r="P419" s="186"/>
      <c r="Q419" s="186"/>
      <c r="R419" s="186"/>
      <c r="S419" s="1"/>
      <c r="T419" s="1"/>
    </row>
    <row r="420" spans="1:20" s="18" customFormat="1" ht="57.75" customHeight="1">
      <c r="A420" s="181" t="s">
        <v>1047</v>
      </c>
      <c r="B420" s="15" t="s">
        <v>94</v>
      </c>
      <c r="C420" s="15" t="s">
        <v>26</v>
      </c>
      <c r="D420" s="15" t="s">
        <v>123</v>
      </c>
      <c r="E420" s="15" t="s">
        <v>1046</v>
      </c>
      <c r="F420" s="15"/>
      <c r="G420" s="70">
        <f t="shared" ref="G420:I421" si="109">G421</f>
        <v>4524.1400000000003</v>
      </c>
      <c r="H420" s="70">
        <f t="shared" si="109"/>
        <v>0</v>
      </c>
      <c r="I420" s="70">
        <f t="shared" si="109"/>
        <v>0</v>
      </c>
      <c r="J420" s="177"/>
      <c r="K420" s="200"/>
      <c r="L420" s="200"/>
      <c r="M420" s="200"/>
      <c r="N420" s="200"/>
      <c r="O420" s="200"/>
      <c r="P420" s="200"/>
      <c r="Q420" s="200"/>
      <c r="R420" s="200"/>
    </row>
    <row r="421" spans="1:20" s="18" customFormat="1">
      <c r="A421" s="16" t="s">
        <v>148</v>
      </c>
      <c r="B421" s="15" t="s">
        <v>94</v>
      </c>
      <c r="C421" s="15" t="s">
        <v>26</v>
      </c>
      <c r="D421" s="15" t="s">
        <v>123</v>
      </c>
      <c r="E421" s="15" t="s">
        <v>1046</v>
      </c>
      <c r="F421" s="15" t="s">
        <v>149</v>
      </c>
      <c r="G421" s="70">
        <f t="shared" si="109"/>
        <v>4524.1400000000003</v>
      </c>
      <c r="H421" s="70">
        <f t="shared" si="109"/>
        <v>0</v>
      </c>
      <c r="I421" s="70">
        <f t="shared" si="109"/>
        <v>0</v>
      </c>
      <c r="J421" s="177"/>
      <c r="K421" s="200"/>
      <c r="L421" s="200"/>
      <c r="M421" s="200"/>
      <c r="N421" s="200"/>
      <c r="O421" s="200"/>
      <c r="P421" s="200"/>
      <c r="Q421" s="200"/>
      <c r="R421" s="200"/>
    </row>
    <row r="422" spans="1:20" s="18" customFormat="1">
      <c r="A422" s="16" t="s">
        <v>922</v>
      </c>
      <c r="B422" s="15" t="s">
        <v>94</v>
      </c>
      <c r="C422" s="15" t="s">
        <v>26</v>
      </c>
      <c r="D422" s="15" t="s">
        <v>123</v>
      </c>
      <c r="E422" s="15" t="s">
        <v>1046</v>
      </c>
      <c r="F422" s="15" t="s">
        <v>919</v>
      </c>
      <c r="G422" s="70">
        <f>'прил 5,'!G971</f>
        <v>4524.1400000000003</v>
      </c>
      <c r="H422" s="70"/>
      <c r="I422" s="70"/>
      <c r="J422" s="177"/>
      <c r="K422" s="200"/>
      <c r="L422" s="200"/>
      <c r="M422" s="200"/>
      <c r="N422" s="200"/>
      <c r="O422" s="200"/>
      <c r="P422" s="200"/>
      <c r="Q422" s="200"/>
      <c r="R422" s="200"/>
    </row>
    <row r="423" spans="1:20" s="18" customFormat="1" ht="38.25">
      <c r="A423" s="181" t="s">
        <v>882</v>
      </c>
      <c r="B423" s="15" t="s">
        <v>94</v>
      </c>
      <c r="C423" s="15" t="s">
        <v>26</v>
      </c>
      <c r="D423" s="15" t="s">
        <v>123</v>
      </c>
      <c r="E423" s="15" t="s">
        <v>881</v>
      </c>
      <c r="F423" s="15"/>
      <c r="G423" s="70">
        <f t="shared" ref="G423:I424" si="110">G424</f>
        <v>160919.54</v>
      </c>
      <c r="H423" s="70">
        <f t="shared" si="110"/>
        <v>106202</v>
      </c>
      <c r="I423" s="70">
        <f t="shared" si="110"/>
        <v>106202</v>
      </c>
      <c r="J423" s="177"/>
      <c r="K423" s="200"/>
      <c r="L423" s="200"/>
      <c r="M423" s="200"/>
      <c r="N423" s="200"/>
      <c r="O423" s="200"/>
      <c r="P423" s="200"/>
      <c r="Q423" s="200"/>
      <c r="R423" s="200"/>
    </row>
    <row r="424" spans="1:20" s="18" customFormat="1">
      <c r="A424" s="16" t="s">
        <v>148</v>
      </c>
      <c r="B424" s="15" t="s">
        <v>94</v>
      </c>
      <c r="C424" s="15" t="s">
        <v>26</v>
      </c>
      <c r="D424" s="15" t="s">
        <v>123</v>
      </c>
      <c r="E424" s="15" t="s">
        <v>881</v>
      </c>
      <c r="F424" s="15" t="s">
        <v>149</v>
      </c>
      <c r="G424" s="70">
        <f t="shared" si="110"/>
        <v>160919.54</v>
      </c>
      <c r="H424" s="70">
        <f t="shared" si="110"/>
        <v>106202</v>
      </c>
      <c r="I424" s="70">
        <f t="shared" si="110"/>
        <v>106202</v>
      </c>
      <c r="J424" s="177"/>
      <c r="K424" s="200"/>
      <c r="L424" s="200"/>
      <c r="M424" s="200"/>
      <c r="N424" s="200"/>
      <c r="O424" s="200"/>
      <c r="P424" s="200"/>
      <c r="Q424" s="200"/>
      <c r="R424" s="200"/>
    </row>
    <row r="425" spans="1:20" s="18" customFormat="1">
      <c r="A425" s="16" t="s">
        <v>922</v>
      </c>
      <c r="B425" s="15" t="s">
        <v>94</v>
      </c>
      <c r="C425" s="15" t="s">
        <v>26</v>
      </c>
      <c r="D425" s="15" t="s">
        <v>123</v>
      </c>
      <c r="E425" s="15" t="s">
        <v>881</v>
      </c>
      <c r="F425" s="15" t="s">
        <v>919</v>
      </c>
      <c r="G425" s="70">
        <f>'прил 5,'!G974</f>
        <v>160919.54</v>
      </c>
      <c r="H425" s="70">
        <f>52800+53402</f>
        <v>106202</v>
      </c>
      <c r="I425" s="70">
        <f>53402+52800</f>
        <v>106202</v>
      </c>
      <c r="J425" s="177"/>
      <c r="K425" s="200"/>
      <c r="L425" s="200"/>
      <c r="M425" s="200"/>
      <c r="N425" s="200"/>
      <c r="O425" s="200"/>
      <c r="P425" s="200"/>
      <c r="Q425" s="200"/>
      <c r="R425" s="200"/>
    </row>
    <row r="426" spans="1:20" s="18" customFormat="1" ht="31.5" customHeight="1">
      <c r="A426" s="42" t="s">
        <v>125</v>
      </c>
      <c r="B426" s="15" t="s">
        <v>94</v>
      </c>
      <c r="C426" s="15" t="s">
        <v>26</v>
      </c>
      <c r="D426" s="15" t="s">
        <v>123</v>
      </c>
      <c r="E426" s="15" t="s">
        <v>226</v>
      </c>
      <c r="F426" s="15"/>
      <c r="G426" s="70">
        <f t="shared" ref="G426:I427" si="111">G427</f>
        <v>888490</v>
      </c>
      <c r="H426" s="70">
        <f t="shared" si="111"/>
        <v>888490</v>
      </c>
      <c r="I426" s="70">
        <f t="shared" si="111"/>
        <v>888490</v>
      </c>
      <c r="J426" s="110">
        <v>40000</v>
      </c>
      <c r="P426" s="17"/>
      <c r="Q426" s="17"/>
      <c r="R426" s="17"/>
      <c r="S426" s="17"/>
      <c r="T426" s="17"/>
    </row>
    <row r="427" spans="1:20" s="18" customFormat="1" ht="25.5">
      <c r="A427" s="16" t="s">
        <v>30</v>
      </c>
      <c r="B427" s="15" t="s">
        <v>94</v>
      </c>
      <c r="C427" s="15" t="s">
        <v>26</v>
      </c>
      <c r="D427" s="15" t="s">
        <v>123</v>
      </c>
      <c r="E427" s="15" t="s">
        <v>226</v>
      </c>
      <c r="F427" s="15" t="s">
        <v>31</v>
      </c>
      <c r="G427" s="70">
        <f t="shared" si="111"/>
        <v>888490</v>
      </c>
      <c r="H427" s="70">
        <f t="shared" si="111"/>
        <v>888490</v>
      </c>
      <c r="I427" s="70">
        <f t="shared" si="111"/>
        <v>888490</v>
      </c>
      <c r="J427" s="110">
        <v>5480300</v>
      </c>
      <c r="P427" s="17"/>
      <c r="Q427" s="17"/>
      <c r="R427" s="17"/>
      <c r="S427" s="17"/>
      <c r="T427" s="17"/>
    </row>
    <row r="428" spans="1:20">
      <c r="A428" s="16" t="s">
        <v>32</v>
      </c>
      <c r="B428" s="15" t="s">
        <v>94</v>
      </c>
      <c r="C428" s="15" t="s">
        <v>26</v>
      </c>
      <c r="D428" s="15" t="s">
        <v>123</v>
      </c>
      <c r="E428" s="15" t="s">
        <v>226</v>
      </c>
      <c r="F428" s="15" t="s">
        <v>33</v>
      </c>
      <c r="G428" s="70">
        <f>'прил 5,'!G491</f>
        <v>888490</v>
      </c>
      <c r="H428" s="70">
        <f>'прил 5,'!H491</f>
        <v>888490</v>
      </c>
      <c r="I428" s="70">
        <f>'прил 5,'!I491</f>
        <v>888490</v>
      </c>
      <c r="J428" s="110">
        <v>500000</v>
      </c>
    </row>
    <row r="429" spans="1:20" s="3" customFormat="1" hidden="1">
      <c r="A429" s="16"/>
      <c r="B429" s="14">
        <v>774</v>
      </c>
      <c r="C429" s="15" t="s">
        <v>26</v>
      </c>
      <c r="D429" s="15" t="s">
        <v>28</v>
      </c>
      <c r="E429" s="84"/>
      <c r="F429" s="15"/>
      <c r="G429" s="70">
        <f t="shared" ref="G429:I430" si="112">G430</f>
        <v>0</v>
      </c>
      <c r="H429" s="70">
        <f t="shared" si="112"/>
        <v>0</v>
      </c>
      <c r="I429" s="70">
        <f t="shared" si="112"/>
        <v>0</v>
      </c>
      <c r="J429" s="111"/>
      <c r="P429" s="111"/>
      <c r="Q429" s="111"/>
      <c r="R429" s="111"/>
      <c r="S429" s="111"/>
      <c r="T429" s="111"/>
    </row>
    <row r="430" spans="1:20" s="3" customFormat="1" ht="25.5" hidden="1">
      <c r="A430" s="16" t="s">
        <v>30</v>
      </c>
      <c r="B430" s="14">
        <v>774</v>
      </c>
      <c r="C430" s="15" t="s">
        <v>26</v>
      </c>
      <c r="D430" s="15" t="s">
        <v>28</v>
      </c>
      <c r="E430" s="15" t="s">
        <v>551</v>
      </c>
      <c r="F430" s="15" t="s">
        <v>31</v>
      </c>
      <c r="G430" s="70">
        <f t="shared" si="112"/>
        <v>0</v>
      </c>
      <c r="H430" s="87">
        <f t="shared" si="112"/>
        <v>0</v>
      </c>
      <c r="I430" s="87">
        <f t="shared" si="112"/>
        <v>0</v>
      </c>
      <c r="J430" s="111"/>
      <c r="P430" s="111"/>
      <c r="Q430" s="111"/>
      <c r="R430" s="111"/>
      <c r="S430" s="111"/>
      <c r="T430" s="111"/>
    </row>
    <row r="431" spans="1:20" s="3" customFormat="1" hidden="1">
      <c r="A431" s="16" t="s">
        <v>32</v>
      </c>
      <c r="B431" s="14">
        <v>774</v>
      </c>
      <c r="C431" s="15" t="s">
        <v>26</v>
      </c>
      <c r="D431" s="15" t="s">
        <v>28</v>
      </c>
      <c r="E431" s="15" t="s">
        <v>551</v>
      </c>
      <c r="F431" s="15" t="s">
        <v>33</v>
      </c>
      <c r="G431" s="70">
        <f>'прил 5,'!G612</f>
        <v>0</v>
      </c>
      <c r="H431" s="70">
        <f>'прил 5,'!H612</f>
        <v>0</v>
      </c>
      <c r="I431" s="70">
        <f>'прил 5,'!I612</f>
        <v>0</v>
      </c>
      <c r="J431" s="111"/>
      <c r="P431" s="111"/>
      <c r="Q431" s="111"/>
      <c r="R431" s="111"/>
      <c r="S431" s="111"/>
      <c r="T431" s="111"/>
    </row>
    <row r="432" spans="1:20" s="18" customFormat="1" ht="63.75" hidden="1">
      <c r="A432" s="16" t="s">
        <v>121</v>
      </c>
      <c r="B432" s="15" t="s">
        <v>94</v>
      </c>
      <c r="C432" s="15" t="s">
        <v>26</v>
      </c>
      <c r="D432" s="15" t="s">
        <v>28</v>
      </c>
      <c r="E432" s="15" t="s">
        <v>388</v>
      </c>
      <c r="F432" s="15"/>
      <c r="G432" s="70">
        <f t="shared" ref="G432:I433" si="113">G433</f>
        <v>0</v>
      </c>
      <c r="H432" s="87">
        <f t="shared" si="113"/>
        <v>0</v>
      </c>
      <c r="I432" s="87">
        <f t="shared" si="113"/>
        <v>0</v>
      </c>
      <c r="J432" s="17">
        <v>12965665</v>
      </c>
      <c r="P432" s="17"/>
      <c r="Q432" s="17"/>
      <c r="R432" s="17"/>
      <c r="S432" s="17"/>
      <c r="T432" s="17"/>
    </row>
    <row r="433" spans="1:20" s="18" customFormat="1" ht="25.5" hidden="1">
      <c r="A433" s="16" t="s">
        <v>30</v>
      </c>
      <c r="B433" s="15" t="s">
        <v>94</v>
      </c>
      <c r="C433" s="15" t="s">
        <v>26</v>
      </c>
      <c r="D433" s="15" t="s">
        <v>28</v>
      </c>
      <c r="E433" s="15" t="s">
        <v>388</v>
      </c>
      <c r="F433" s="15" t="s">
        <v>31</v>
      </c>
      <c r="G433" s="70">
        <f t="shared" si="113"/>
        <v>0</v>
      </c>
      <c r="H433" s="87">
        <f t="shared" si="113"/>
        <v>0</v>
      </c>
      <c r="I433" s="87">
        <f t="shared" si="113"/>
        <v>0</v>
      </c>
      <c r="J433" s="17">
        <v>685206</v>
      </c>
      <c r="P433" s="17"/>
      <c r="Q433" s="17"/>
      <c r="R433" s="17"/>
      <c r="S433" s="17"/>
      <c r="T433" s="17"/>
    </row>
    <row r="434" spans="1:20" s="18" customFormat="1" hidden="1">
      <c r="A434" s="16" t="s">
        <v>32</v>
      </c>
      <c r="B434" s="15" t="s">
        <v>94</v>
      </c>
      <c r="C434" s="15" t="s">
        <v>26</v>
      </c>
      <c r="D434" s="15" t="s">
        <v>28</v>
      </c>
      <c r="E434" s="15" t="s">
        <v>388</v>
      </c>
      <c r="F434" s="15" t="s">
        <v>33</v>
      </c>
      <c r="G434" s="70"/>
      <c r="H434" s="87"/>
      <c r="I434" s="87"/>
      <c r="J434" s="17">
        <v>649200</v>
      </c>
      <c r="P434" s="17"/>
      <c r="Q434" s="17"/>
      <c r="R434" s="17"/>
      <c r="S434" s="17"/>
      <c r="T434" s="17"/>
    </row>
    <row r="435" spans="1:20" s="3" customFormat="1" hidden="1">
      <c r="A435" s="16" t="s">
        <v>430</v>
      </c>
      <c r="B435" s="14">
        <v>774</v>
      </c>
      <c r="C435" s="15" t="s">
        <v>26</v>
      </c>
      <c r="D435" s="15" t="s">
        <v>28</v>
      </c>
      <c r="E435" s="15" t="s">
        <v>550</v>
      </c>
      <c r="F435" s="15"/>
      <c r="G435" s="70">
        <f>G436</f>
        <v>1803468</v>
      </c>
      <c r="H435" s="70">
        <f>H436</f>
        <v>0</v>
      </c>
      <c r="I435" s="70">
        <f>I436</f>
        <v>0</v>
      </c>
      <c r="P435" s="111"/>
      <c r="Q435" s="111"/>
      <c r="R435" s="111"/>
      <c r="S435" s="111"/>
      <c r="T435" s="111"/>
    </row>
    <row r="436" spans="1:20" s="3" customFormat="1" hidden="1">
      <c r="A436" s="16" t="s">
        <v>32</v>
      </c>
      <c r="B436" s="14">
        <v>774</v>
      </c>
      <c r="C436" s="15" t="s">
        <v>26</v>
      </c>
      <c r="D436" s="15" t="s">
        <v>28</v>
      </c>
      <c r="E436" s="15" t="s">
        <v>550</v>
      </c>
      <c r="F436" s="15" t="s">
        <v>33</v>
      </c>
      <c r="G436" s="70">
        <f>'прил 5,'!G594</f>
        <v>1803468</v>
      </c>
      <c r="H436" s="70"/>
      <c r="I436" s="70"/>
      <c r="P436" s="111"/>
      <c r="Q436" s="111"/>
      <c r="R436" s="111"/>
      <c r="S436" s="111"/>
      <c r="T436" s="111"/>
    </row>
    <row r="437" spans="1:20" ht="54.75" customHeight="1">
      <c r="A437" s="16" t="s">
        <v>693</v>
      </c>
      <c r="B437" s="15" t="s">
        <v>94</v>
      </c>
      <c r="C437" s="15" t="s">
        <v>26</v>
      </c>
      <c r="D437" s="15" t="s">
        <v>28</v>
      </c>
      <c r="E437" s="15" t="s">
        <v>648</v>
      </c>
      <c r="F437" s="15"/>
      <c r="G437" s="70">
        <f t="shared" ref="G437:I438" si="114">G438</f>
        <v>30279350</v>
      </c>
      <c r="H437" s="70">
        <f t="shared" si="114"/>
        <v>30279350</v>
      </c>
      <c r="I437" s="70">
        <f t="shared" si="114"/>
        <v>31162470</v>
      </c>
      <c r="J437" s="1"/>
    </row>
    <row r="438" spans="1:20" ht="25.5">
      <c r="A438" s="16" t="s">
        <v>30</v>
      </c>
      <c r="B438" s="15" t="s">
        <v>94</v>
      </c>
      <c r="C438" s="15" t="s">
        <v>26</v>
      </c>
      <c r="D438" s="15" t="s">
        <v>28</v>
      </c>
      <c r="E438" s="15" t="s">
        <v>648</v>
      </c>
      <c r="F438" s="15" t="s">
        <v>31</v>
      </c>
      <c r="G438" s="70">
        <f>G439</f>
        <v>30279350</v>
      </c>
      <c r="H438" s="70">
        <f t="shared" si="114"/>
        <v>30279350</v>
      </c>
      <c r="I438" s="70">
        <f t="shared" si="114"/>
        <v>31162470</v>
      </c>
      <c r="J438" s="1"/>
    </row>
    <row r="439" spans="1:20">
      <c r="A439" s="16" t="s">
        <v>32</v>
      </c>
      <c r="B439" s="15" t="s">
        <v>94</v>
      </c>
      <c r="C439" s="15" t="s">
        <v>26</v>
      </c>
      <c r="D439" s="15" t="s">
        <v>28</v>
      </c>
      <c r="E439" s="15" t="s">
        <v>648</v>
      </c>
      <c r="F439" s="15" t="s">
        <v>33</v>
      </c>
      <c r="G439" s="70">
        <f>'прил 5,'!G624</f>
        <v>30279350</v>
      </c>
      <c r="H439" s="70">
        <f>'прил 5,'!H624</f>
        <v>30279350</v>
      </c>
      <c r="I439" s="70">
        <f>'прил 5,'!I624</f>
        <v>31162470</v>
      </c>
      <c r="J439" s="1"/>
    </row>
    <row r="440" spans="1:20" ht="63" hidden="1" customHeight="1">
      <c r="A440" s="16" t="s">
        <v>415</v>
      </c>
      <c r="B440" s="15" t="s">
        <v>94</v>
      </c>
      <c r="C440" s="15" t="s">
        <v>26</v>
      </c>
      <c r="D440" s="15" t="s">
        <v>28</v>
      </c>
      <c r="E440" s="15" t="s">
        <v>778</v>
      </c>
      <c r="F440" s="15"/>
      <c r="G440" s="70">
        <f t="shared" ref="G440:I440" si="115">G441</f>
        <v>0</v>
      </c>
      <c r="H440" s="70">
        <f t="shared" si="115"/>
        <v>0</v>
      </c>
      <c r="I440" s="70">
        <f t="shared" si="115"/>
        <v>0</v>
      </c>
      <c r="J440" s="1"/>
    </row>
    <row r="441" spans="1:20" ht="25.5" hidden="1">
      <c r="A441" s="16" t="s">
        <v>30</v>
      </c>
      <c r="B441" s="15" t="s">
        <v>94</v>
      </c>
      <c r="C441" s="15" t="s">
        <v>26</v>
      </c>
      <c r="D441" s="15" t="s">
        <v>28</v>
      </c>
      <c r="E441" s="15" t="s">
        <v>778</v>
      </c>
      <c r="F441" s="15" t="s">
        <v>31</v>
      </c>
      <c r="G441" s="70">
        <f>G442</f>
        <v>0</v>
      </c>
      <c r="H441" s="70">
        <f>H442</f>
        <v>0</v>
      </c>
      <c r="I441" s="70">
        <f>I442</f>
        <v>0</v>
      </c>
      <c r="J441" s="1"/>
    </row>
    <row r="442" spans="1:20" hidden="1">
      <c r="A442" s="16" t="s">
        <v>32</v>
      </c>
      <c r="B442" s="15" t="s">
        <v>94</v>
      </c>
      <c r="C442" s="15" t="s">
        <v>26</v>
      </c>
      <c r="D442" s="15" t="s">
        <v>28</v>
      </c>
      <c r="E442" s="15" t="s">
        <v>778</v>
      </c>
      <c r="F442" s="15" t="s">
        <v>33</v>
      </c>
      <c r="G442" s="70"/>
      <c r="H442" s="70"/>
      <c r="I442" s="70"/>
      <c r="J442" s="1"/>
    </row>
    <row r="443" spans="1:20" s="28" customFormat="1" ht="54.75" customHeight="1">
      <c r="A443" s="13" t="s">
        <v>154</v>
      </c>
      <c r="B443" s="15" t="s">
        <v>94</v>
      </c>
      <c r="C443" s="15" t="s">
        <v>69</v>
      </c>
      <c r="D443" s="15" t="s">
        <v>54</v>
      </c>
      <c r="E443" s="15" t="s">
        <v>438</v>
      </c>
      <c r="F443" s="39"/>
      <c r="G443" s="70">
        <f t="shared" ref="G443:I444" si="116">G444</f>
        <v>8926409.3800000008</v>
      </c>
      <c r="H443" s="70">
        <f t="shared" si="116"/>
        <v>8040737.3899999997</v>
      </c>
      <c r="I443" s="70">
        <f t="shared" si="116"/>
        <v>8417019.6300000008</v>
      </c>
      <c r="J443" s="109">
        <v>9188400</v>
      </c>
      <c r="P443" s="109"/>
      <c r="Q443" s="109"/>
      <c r="R443" s="109"/>
      <c r="S443" s="109"/>
      <c r="T443" s="109"/>
    </row>
    <row r="444" spans="1:20" s="28" customFormat="1" ht="25.5">
      <c r="A444" s="16" t="s">
        <v>30</v>
      </c>
      <c r="B444" s="15" t="s">
        <v>94</v>
      </c>
      <c r="C444" s="15" t="s">
        <v>69</v>
      </c>
      <c r="D444" s="15" t="s">
        <v>54</v>
      </c>
      <c r="E444" s="15" t="s">
        <v>438</v>
      </c>
      <c r="F444" s="15" t="s">
        <v>31</v>
      </c>
      <c r="G444" s="70">
        <f t="shared" si="116"/>
        <v>8926409.3800000008</v>
      </c>
      <c r="H444" s="70">
        <f t="shared" si="116"/>
        <v>8040737.3899999997</v>
      </c>
      <c r="I444" s="70">
        <f t="shared" si="116"/>
        <v>8417019.6300000008</v>
      </c>
      <c r="J444" s="109">
        <f>SUM(J343:J443)</f>
        <v>951066568</v>
      </c>
      <c r="P444" s="109"/>
      <c r="Q444" s="109"/>
      <c r="R444" s="109"/>
      <c r="S444" s="109"/>
      <c r="T444" s="109"/>
    </row>
    <row r="445" spans="1:20">
      <c r="A445" s="16" t="s">
        <v>32</v>
      </c>
      <c r="B445" s="15" t="s">
        <v>94</v>
      </c>
      <c r="C445" s="15" t="s">
        <v>69</v>
      </c>
      <c r="D445" s="15" t="s">
        <v>54</v>
      </c>
      <c r="E445" s="15" t="s">
        <v>438</v>
      </c>
      <c r="F445" s="15" t="s">
        <v>33</v>
      </c>
      <c r="G445" s="70">
        <f>'прил 5,'!G1011</f>
        <v>8926409.3800000008</v>
      </c>
      <c r="H445" s="70">
        <f>'прил 5,'!H1011</f>
        <v>8040737.3899999997</v>
      </c>
      <c r="I445" s="70">
        <f>'прил 5,'!I1011</f>
        <v>8417019.6300000008</v>
      </c>
    </row>
    <row r="446" spans="1:20" s="28" customFormat="1" ht="54.75" hidden="1" customHeight="1">
      <c r="A446" s="13" t="s">
        <v>590</v>
      </c>
      <c r="B446" s="15" t="s">
        <v>94</v>
      </c>
      <c r="C446" s="15" t="s">
        <v>69</v>
      </c>
      <c r="D446" s="15" t="s">
        <v>54</v>
      </c>
      <c r="E446" s="15" t="s">
        <v>589</v>
      </c>
      <c r="F446" s="39"/>
      <c r="G446" s="70">
        <f t="shared" ref="G446:I447" si="117">G447</f>
        <v>0</v>
      </c>
      <c r="H446" s="70">
        <f t="shared" si="117"/>
        <v>0</v>
      </c>
      <c r="I446" s="70">
        <f t="shared" si="117"/>
        <v>0</v>
      </c>
      <c r="P446" s="109"/>
      <c r="Q446" s="109"/>
      <c r="R446" s="109"/>
      <c r="S446" s="109"/>
      <c r="T446" s="109"/>
    </row>
    <row r="447" spans="1:20" s="28" customFormat="1" ht="33" hidden="1" customHeight="1">
      <c r="A447" s="16" t="s">
        <v>30</v>
      </c>
      <c r="B447" s="15" t="s">
        <v>94</v>
      </c>
      <c r="C447" s="15" t="s">
        <v>69</v>
      </c>
      <c r="D447" s="15" t="s">
        <v>54</v>
      </c>
      <c r="E447" s="15" t="s">
        <v>589</v>
      </c>
      <c r="F447" s="15" t="s">
        <v>31</v>
      </c>
      <c r="G447" s="70">
        <f t="shared" si="117"/>
        <v>0</v>
      </c>
      <c r="H447" s="70">
        <f t="shared" si="117"/>
        <v>0</v>
      </c>
      <c r="I447" s="70">
        <f t="shared" si="117"/>
        <v>0</v>
      </c>
      <c r="P447" s="109"/>
      <c r="Q447" s="109"/>
      <c r="R447" s="109"/>
      <c r="S447" s="109"/>
      <c r="T447" s="109"/>
    </row>
    <row r="448" spans="1:20" hidden="1">
      <c r="A448" s="16" t="s">
        <v>32</v>
      </c>
      <c r="B448" s="15" t="s">
        <v>94</v>
      </c>
      <c r="C448" s="15" t="s">
        <v>69</v>
      </c>
      <c r="D448" s="15" t="s">
        <v>54</v>
      </c>
      <c r="E448" s="15" t="s">
        <v>589</v>
      </c>
      <c r="F448" s="15" t="s">
        <v>33</v>
      </c>
      <c r="G448" s="70"/>
      <c r="H448" s="70">
        <v>0</v>
      </c>
      <c r="I448" s="70">
        <v>0</v>
      </c>
      <c r="J448" s="1"/>
    </row>
    <row r="449" spans="1:20" s="3" customFormat="1" ht="45" hidden="1" customHeight="1">
      <c r="A449" s="16" t="s">
        <v>743</v>
      </c>
      <c r="B449" s="14">
        <v>774</v>
      </c>
      <c r="C449" s="15" t="s">
        <v>26</v>
      </c>
      <c r="D449" s="15" t="s">
        <v>19</v>
      </c>
      <c r="E449" s="15" t="s">
        <v>729</v>
      </c>
      <c r="F449" s="15"/>
      <c r="G449" s="70">
        <f>G450</f>
        <v>0</v>
      </c>
      <c r="H449" s="70">
        <f>H450</f>
        <v>0</v>
      </c>
      <c r="I449" s="70">
        <f>I450</f>
        <v>0</v>
      </c>
      <c r="P449" s="111"/>
      <c r="Q449" s="111"/>
      <c r="R449" s="111"/>
      <c r="S449" s="111"/>
      <c r="T449" s="111"/>
    </row>
    <row r="450" spans="1:20" s="3" customFormat="1" hidden="1">
      <c r="A450" s="16" t="s">
        <v>32</v>
      </c>
      <c r="B450" s="14">
        <v>774</v>
      </c>
      <c r="C450" s="15" t="s">
        <v>26</v>
      </c>
      <c r="D450" s="15" t="s">
        <v>19</v>
      </c>
      <c r="E450" s="15" t="s">
        <v>729</v>
      </c>
      <c r="F450" s="15" t="s">
        <v>33</v>
      </c>
      <c r="G450" s="70">
        <f>'прил 5,'!G496</f>
        <v>0</v>
      </c>
      <c r="H450" s="70">
        <f>'прил 5,'!H496</f>
        <v>0</v>
      </c>
      <c r="I450" s="70">
        <f>'прил 5,'!I496</f>
        <v>0</v>
      </c>
      <c r="P450" s="111"/>
      <c r="Q450" s="111"/>
      <c r="R450" s="111"/>
      <c r="S450" s="111"/>
      <c r="T450" s="111"/>
    </row>
    <row r="451" spans="1:20" s="18" customFormat="1" ht="45.75" hidden="1" customHeight="1">
      <c r="A451" s="42"/>
      <c r="B451" s="15"/>
      <c r="C451" s="15"/>
      <c r="D451" s="15"/>
      <c r="E451" s="15"/>
      <c r="F451" s="15"/>
      <c r="G451" s="70"/>
      <c r="H451" s="70"/>
      <c r="I451" s="70"/>
      <c r="P451" s="17"/>
      <c r="Q451" s="17"/>
      <c r="R451" s="17"/>
      <c r="S451" s="17"/>
      <c r="T451" s="17"/>
    </row>
    <row r="452" spans="1:20" s="18" customFormat="1" hidden="1">
      <c r="A452" s="16"/>
      <c r="B452" s="15"/>
      <c r="C452" s="15"/>
      <c r="D452" s="15"/>
      <c r="E452" s="15"/>
      <c r="F452" s="15"/>
      <c r="G452" s="70"/>
      <c r="H452" s="70"/>
      <c r="I452" s="70"/>
      <c r="P452" s="17"/>
      <c r="Q452" s="17"/>
      <c r="R452" s="17"/>
      <c r="S452" s="17"/>
      <c r="T452" s="17"/>
    </row>
    <row r="453" spans="1:20" hidden="1">
      <c r="A453" s="16"/>
      <c r="B453" s="15"/>
      <c r="C453" s="15"/>
      <c r="D453" s="15"/>
      <c r="E453" s="15"/>
      <c r="F453" s="15"/>
      <c r="G453" s="70"/>
      <c r="H453" s="70"/>
      <c r="I453" s="70"/>
      <c r="J453" s="1"/>
    </row>
    <row r="454" spans="1:20" s="18" customFormat="1" ht="42.75" hidden="1" customHeight="1">
      <c r="A454" s="42"/>
      <c r="B454" s="15"/>
      <c r="C454" s="15"/>
      <c r="D454" s="15"/>
      <c r="E454" s="15"/>
      <c r="F454" s="15"/>
      <c r="G454" s="70"/>
      <c r="H454" s="70"/>
      <c r="I454" s="70"/>
      <c r="P454" s="17"/>
      <c r="Q454" s="17"/>
      <c r="R454" s="17"/>
      <c r="S454" s="17"/>
      <c r="T454" s="17"/>
    </row>
    <row r="455" spans="1:20" s="18" customFormat="1" hidden="1">
      <c r="A455" s="16"/>
      <c r="B455" s="15"/>
      <c r="C455" s="15"/>
      <c r="D455" s="15"/>
      <c r="E455" s="15"/>
      <c r="F455" s="15"/>
      <c r="G455" s="70"/>
      <c r="H455" s="70"/>
      <c r="I455" s="70"/>
      <c r="P455" s="17"/>
      <c r="Q455" s="17"/>
      <c r="R455" s="17"/>
      <c r="S455" s="17"/>
      <c r="T455" s="17"/>
    </row>
    <row r="456" spans="1:20" hidden="1">
      <c r="A456" s="16"/>
      <c r="B456" s="15"/>
      <c r="C456" s="15"/>
      <c r="D456" s="15"/>
      <c r="E456" s="15"/>
      <c r="F456" s="15"/>
      <c r="G456" s="70"/>
      <c r="H456" s="70"/>
      <c r="I456" s="70"/>
      <c r="J456" s="1"/>
    </row>
    <row r="457" spans="1:20" s="3" customFormat="1" ht="42.75" customHeight="1">
      <c r="A457" s="16" t="s">
        <v>742</v>
      </c>
      <c r="B457" s="14">
        <v>774</v>
      </c>
      <c r="C457" s="15" t="s">
        <v>26</v>
      </c>
      <c r="D457" s="15" t="s">
        <v>19</v>
      </c>
      <c r="E457" s="15" t="s">
        <v>729</v>
      </c>
      <c r="F457" s="15"/>
      <c r="G457" s="70">
        <f>G458</f>
        <v>101833</v>
      </c>
      <c r="H457" s="70">
        <f t="shared" ref="H457:I457" si="118">H458</f>
        <v>0</v>
      </c>
      <c r="I457" s="70">
        <f t="shared" si="118"/>
        <v>0</v>
      </c>
      <c r="P457" s="111"/>
      <c r="Q457" s="111"/>
      <c r="R457" s="111"/>
      <c r="S457" s="111"/>
      <c r="T457" s="111"/>
    </row>
    <row r="458" spans="1:20" s="18" customFormat="1" ht="89.25">
      <c r="A458" s="80" t="s">
        <v>373</v>
      </c>
      <c r="B458" s="15" t="s">
        <v>94</v>
      </c>
      <c r="C458" s="15" t="s">
        <v>26</v>
      </c>
      <c r="D458" s="15" t="s">
        <v>28</v>
      </c>
      <c r="E458" s="15" t="s">
        <v>667</v>
      </c>
      <c r="F458" s="15"/>
      <c r="G458" s="70">
        <f t="shared" ref="G458:I459" si="119">G459</f>
        <v>101833</v>
      </c>
      <c r="H458" s="70">
        <f t="shared" si="119"/>
        <v>0</v>
      </c>
      <c r="I458" s="70">
        <f t="shared" si="119"/>
        <v>0</v>
      </c>
      <c r="P458" s="17"/>
      <c r="Q458" s="17"/>
      <c r="R458" s="17"/>
      <c r="S458" s="17"/>
      <c r="T458" s="17"/>
    </row>
    <row r="459" spans="1:20" s="18" customFormat="1" ht="25.5">
      <c r="A459" s="16" t="s">
        <v>30</v>
      </c>
      <c r="B459" s="15" t="s">
        <v>94</v>
      </c>
      <c r="C459" s="15" t="s">
        <v>26</v>
      </c>
      <c r="D459" s="15" t="s">
        <v>28</v>
      </c>
      <c r="E459" s="15" t="s">
        <v>667</v>
      </c>
      <c r="F459" s="15" t="s">
        <v>31</v>
      </c>
      <c r="G459" s="70">
        <f t="shared" si="119"/>
        <v>101833</v>
      </c>
      <c r="H459" s="70">
        <f t="shared" si="119"/>
        <v>0</v>
      </c>
      <c r="I459" s="70">
        <f t="shared" si="119"/>
        <v>0</v>
      </c>
      <c r="P459" s="17"/>
      <c r="Q459" s="17"/>
      <c r="R459" s="17"/>
      <c r="S459" s="17"/>
      <c r="T459" s="17"/>
    </row>
    <row r="460" spans="1:20" s="18" customFormat="1">
      <c r="A460" s="16" t="s">
        <v>32</v>
      </c>
      <c r="B460" s="15" t="s">
        <v>94</v>
      </c>
      <c r="C460" s="15" t="s">
        <v>26</v>
      </c>
      <c r="D460" s="15" t="s">
        <v>28</v>
      </c>
      <c r="E460" s="15" t="s">
        <v>667</v>
      </c>
      <c r="F460" s="15" t="s">
        <v>33</v>
      </c>
      <c r="G460" s="70">
        <f>'прил 5,'!G609</f>
        <v>101833</v>
      </c>
      <c r="H460" s="70">
        <f>'прил 5,'!H609</f>
        <v>0</v>
      </c>
      <c r="I460" s="70">
        <f>'прил 5,'!I609</f>
        <v>0</v>
      </c>
      <c r="P460" s="17"/>
      <c r="Q460" s="17"/>
      <c r="R460" s="17"/>
      <c r="S460" s="17"/>
      <c r="T460" s="17"/>
    </row>
    <row r="461" spans="1:20" s="3" customFormat="1" ht="63.75" hidden="1">
      <c r="A461" s="16" t="s">
        <v>893</v>
      </c>
      <c r="B461" s="14">
        <v>774</v>
      </c>
      <c r="C461" s="15" t="s">
        <v>26</v>
      </c>
      <c r="D461" s="15" t="s">
        <v>28</v>
      </c>
      <c r="E461" s="15" t="s">
        <v>779</v>
      </c>
      <c r="F461" s="15"/>
      <c r="G461" s="70">
        <f>G463</f>
        <v>0</v>
      </c>
      <c r="H461" s="70">
        <f t="shared" ref="H461:I461" si="120">H463</f>
        <v>0</v>
      </c>
      <c r="I461" s="70">
        <f t="shared" si="120"/>
        <v>0</v>
      </c>
      <c r="P461" s="111"/>
      <c r="Q461" s="111"/>
      <c r="R461" s="111"/>
      <c r="S461" s="111"/>
      <c r="T461" s="111"/>
    </row>
    <row r="462" spans="1:20" ht="25.5" hidden="1">
      <c r="A462" s="16" t="s">
        <v>30</v>
      </c>
      <c r="B462" s="15" t="s">
        <v>94</v>
      </c>
      <c r="C462" s="15" t="s">
        <v>26</v>
      </c>
      <c r="D462" s="15" t="s">
        <v>28</v>
      </c>
      <c r="E462" s="15" t="s">
        <v>779</v>
      </c>
      <c r="F462" s="15" t="s">
        <v>31</v>
      </c>
      <c r="G462" s="70">
        <f>G463</f>
        <v>0</v>
      </c>
      <c r="H462" s="70">
        <f t="shared" ref="H462:I462" si="121">H463</f>
        <v>0</v>
      </c>
      <c r="I462" s="70">
        <f t="shared" si="121"/>
        <v>0</v>
      </c>
      <c r="J462" s="1"/>
    </row>
    <row r="463" spans="1:20" s="3" customFormat="1" hidden="1">
      <c r="A463" s="16" t="s">
        <v>32</v>
      </c>
      <c r="B463" s="14">
        <v>774</v>
      </c>
      <c r="C463" s="15" t="s">
        <v>26</v>
      </c>
      <c r="D463" s="15" t="s">
        <v>28</v>
      </c>
      <c r="E463" s="15" t="s">
        <v>779</v>
      </c>
      <c r="F463" s="15" t="s">
        <v>33</v>
      </c>
      <c r="G463" s="164"/>
      <c r="H463" s="70"/>
      <c r="I463" s="70"/>
      <c r="P463" s="111"/>
      <c r="Q463" s="111"/>
      <c r="R463" s="111"/>
      <c r="S463" s="111"/>
      <c r="T463" s="111"/>
    </row>
    <row r="464" spans="1:20" s="3" customFormat="1" ht="25.5" hidden="1">
      <c r="A464" s="16" t="s">
        <v>676</v>
      </c>
      <c r="B464" s="14">
        <v>774</v>
      </c>
      <c r="C464" s="15" t="s">
        <v>26</v>
      </c>
      <c r="D464" s="15" t="s">
        <v>70</v>
      </c>
      <c r="E464" s="84" t="s">
        <v>721</v>
      </c>
      <c r="F464" s="15"/>
      <c r="G464" s="70">
        <f t="shared" ref="G464:I465" si="122">G465</f>
        <v>0</v>
      </c>
      <c r="H464" s="70">
        <f t="shared" si="122"/>
        <v>0</v>
      </c>
      <c r="I464" s="70">
        <f t="shared" si="122"/>
        <v>0</v>
      </c>
      <c r="P464" s="111"/>
      <c r="Q464" s="111"/>
      <c r="R464" s="111"/>
      <c r="S464" s="111"/>
      <c r="T464" s="111"/>
    </row>
    <row r="465" spans="1:20" s="3" customFormat="1" ht="25.5" hidden="1">
      <c r="A465" s="16" t="s">
        <v>30</v>
      </c>
      <c r="B465" s="14">
        <v>774</v>
      </c>
      <c r="C465" s="15" t="s">
        <v>26</v>
      </c>
      <c r="D465" s="15" t="s">
        <v>70</v>
      </c>
      <c r="E465" s="84" t="s">
        <v>721</v>
      </c>
      <c r="F465" s="15" t="s">
        <v>31</v>
      </c>
      <c r="G465" s="70">
        <f t="shared" si="122"/>
        <v>0</v>
      </c>
      <c r="H465" s="70">
        <f t="shared" si="122"/>
        <v>0</v>
      </c>
      <c r="I465" s="70">
        <f t="shared" si="122"/>
        <v>0</v>
      </c>
      <c r="P465" s="111"/>
      <c r="Q465" s="111"/>
      <c r="R465" s="111"/>
      <c r="S465" s="111"/>
      <c r="T465" s="111"/>
    </row>
    <row r="466" spans="1:20" s="3" customFormat="1" hidden="1">
      <c r="A466" s="16" t="s">
        <v>32</v>
      </c>
      <c r="B466" s="14">
        <v>774</v>
      </c>
      <c r="C466" s="15" t="s">
        <v>26</v>
      </c>
      <c r="D466" s="15" t="s">
        <v>70</v>
      </c>
      <c r="E466" s="84" t="s">
        <v>721</v>
      </c>
      <c r="F466" s="15" t="s">
        <v>33</v>
      </c>
      <c r="G466" s="70">
        <f>'прил 5,'!G807</f>
        <v>0</v>
      </c>
      <c r="H466" s="70">
        <v>0</v>
      </c>
      <c r="I466" s="70">
        <v>0</v>
      </c>
      <c r="P466" s="111"/>
      <c r="Q466" s="111"/>
      <c r="R466" s="111"/>
      <c r="S466" s="111"/>
      <c r="T466" s="111"/>
    </row>
    <row r="467" spans="1:20" ht="39.75" customHeight="1">
      <c r="A467" s="16" t="s">
        <v>636</v>
      </c>
      <c r="B467" s="14">
        <v>774</v>
      </c>
      <c r="C467" s="15" t="s">
        <v>26</v>
      </c>
      <c r="D467" s="15" t="s">
        <v>70</v>
      </c>
      <c r="E467" s="15" t="s">
        <v>650</v>
      </c>
      <c r="F467" s="15"/>
      <c r="G467" s="70">
        <f>G468+G472</f>
        <v>3245713.93</v>
      </c>
      <c r="H467" s="70">
        <f t="shared" ref="H467:O467" si="123">H468+H472</f>
        <v>3265100.28</v>
      </c>
      <c r="I467" s="70">
        <f t="shared" si="123"/>
        <v>3321435.53</v>
      </c>
      <c r="J467" s="70">
        <f t="shared" si="123"/>
        <v>0</v>
      </c>
      <c r="K467" s="70">
        <f t="shared" si="123"/>
        <v>0</v>
      </c>
      <c r="L467" s="70">
        <f t="shared" si="123"/>
        <v>0</v>
      </c>
      <c r="M467" s="70">
        <f t="shared" si="123"/>
        <v>0</v>
      </c>
      <c r="N467" s="70">
        <f t="shared" si="123"/>
        <v>0</v>
      </c>
      <c r="O467" s="70">
        <f t="shared" si="123"/>
        <v>0</v>
      </c>
    </row>
    <row r="468" spans="1:20" ht="34.5" customHeight="1">
      <c r="A468" s="16" t="s">
        <v>30</v>
      </c>
      <c r="B468" s="14">
        <v>774</v>
      </c>
      <c r="C468" s="15" t="s">
        <v>26</v>
      </c>
      <c r="D468" s="15" t="s">
        <v>70</v>
      </c>
      <c r="E468" s="15" t="s">
        <v>650</v>
      </c>
      <c r="F468" s="15" t="s">
        <v>31</v>
      </c>
      <c r="G468" s="70">
        <f>G469+G470+G471</f>
        <v>3171860.29</v>
      </c>
      <c r="H468" s="70">
        <f t="shared" ref="H468:I468" si="124">H469+H470+H471</f>
        <v>3190448.78</v>
      </c>
      <c r="I468" s="70">
        <f t="shared" si="124"/>
        <v>3245644.28</v>
      </c>
      <c r="J468" s="1"/>
    </row>
    <row r="469" spans="1:20" ht="15" customHeight="1">
      <c r="A469" s="16" t="s">
        <v>32</v>
      </c>
      <c r="B469" s="14">
        <v>774</v>
      </c>
      <c r="C469" s="15" t="s">
        <v>26</v>
      </c>
      <c r="D469" s="15" t="s">
        <v>70</v>
      </c>
      <c r="E469" s="15" t="s">
        <v>650</v>
      </c>
      <c r="F469" s="15" t="s">
        <v>33</v>
      </c>
      <c r="G469" s="70">
        <f>'прил 5,'!G819</f>
        <v>3024153.01</v>
      </c>
      <c r="H469" s="70">
        <f>'прил 5,'!H819</f>
        <v>3041145.78</v>
      </c>
      <c r="I469" s="70">
        <f>'прил 5,'!I819</f>
        <v>3094061.78</v>
      </c>
      <c r="J469" s="1"/>
    </row>
    <row r="470" spans="1:20" ht="15" customHeight="1">
      <c r="A470" s="16" t="s">
        <v>635</v>
      </c>
      <c r="B470" s="14">
        <v>774</v>
      </c>
      <c r="C470" s="15" t="s">
        <v>26</v>
      </c>
      <c r="D470" s="15" t="s">
        <v>70</v>
      </c>
      <c r="E470" s="15" t="s">
        <v>650</v>
      </c>
      <c r="F470" s="15" t="s">
        <v>634</v>
      </c>
      <c r="G470" s="70">
        <f>'прил 5,'!G820</f>
        <v>73853.64</v>
      </c>
      <c r="H470" s="70">
        <f>'прил 5,'!H820</f>
        <v>74651.5</v>
      </c>
      <c r="I470" s="70">
        <f>'прил 5,'!I820</f>
        <v>75791.25</v>
      </c>
      <c r="J470" s="1"/>
    </row>
    <row r="471" spans="1:20" ht="36" customHeight="1">
      <c r="A471" s="16" t="s">
        <v>9</v>
      </c>
      <c r="B471" s="14">
        <v>774</v>
      </c>
      <c r="C471" s="15" t="s">
        <v>26</v>
      </c>
      <c r="D471" s="15" t="s">
        <v>70</v>
      </c>
      <c r="E471" s="15" t="s">
        <v>650</v>
      </c>
      <c r="F471" s="15" t="s">
        <v>8</v>
      </c>
      <c r="G471" s="70">
        <f>'прил 5,'!G821</f>
        <v>73853.64</v>
      </c>
      <c r="H471" s="70">
        <f>'прил 5,'!H821</f>
        <v>74651.5</v>
      </c>
      <c r="I471" s="70">
        <f>'прил 5,'!I821</f>
        <v>75791.25</v>
      </c>
      <c r="J471" s="1"/>
    </row>
    <row r="472" spans="1:20" ht="15" customHeight="1">
      <c r="A472" s="16" t="s">
        <v>63</v>
      </c>
      <c r="B472" s="14">
        <v>774</v>
      </c>
      <c r="C472" s="15" t="s">
        <v>26</v>
      </c>
      <c r="D472" s="15" t="s">
        <v>70</v>
      </c>
      <c r="E472" s="15" t="s">
        <v>650</v>
      </c>
      <c r="F472" s="15" t="s">
        <v>64</v>
      </c>
      <c r="G472" s="70">
        <f>G473</f>
        <v>73853.64</v>
      </c>
      <c r="H472" s="70">
        <f t="shared" ref="H472:I472" si="125">H473</f>
        <v>74651.5</v>
      </c>
      <c r="I472" s="70">
        <f t="shared" si="125"/>
        <v>75791.25</v>
      </c>
      <c r="J472" s="1"/>
    </row>
    <row r="473" spans="1:20" ht="51.75" customHeight="1">
      <c r="A473" s="16" t="s">
        <v>433</v>
      </c>
      <c r="B473" s="14">
        <v>774</v>
      </c>
      <c r="C473" s="15" t="s">
        <v>26</v>
      </c>
      <c r="D473" s="15" t="s">
        <v>70</v>
      </c>
      <c r="E473" s="15" t="s">
        <v>650</v>
      </c>
      <c r="F473" s="15" t="s">
        <v>342</v>
      </c>
      <c r="G473" s="70">
        <f>'прил 5,'!G823</f>
        <v>73853.64</v>
      </c>
      <c r="H473" s="70">
        <f>'прил 5,'!H823</f>
        <v>74651.5</v>
      </c>
      <c r="I473" s="70">
        <f>'прил 5,'!I823</f>
        <v>75791.25</v>
      </c>
      <c r="J473" s="1"/>
    </row>
    <row r="474" spans="1:20" s="3" customFormat="1" ht="78.75" hidden="1" customHeight="1">
      <c r="A474" s="16" t="s">
        <v>740</v>
      </c>
      <c r="B474" s="14">
        <v>774</v>
      </c>
      <c r="C474" s="15" t="s">
        <v>26</v>
      </c>
      <c r="D474" s="15" t="s">
        <v>28</v>
      </c>
      <c r="E474" s="15" t="s">
        <v>710</v>
      </c>
      <c r="F474" s="15"/>
      <c r="G474" s="70">
        <f>G476</f>
        <v>0</v>
      </c>
      <c r="H474" s="70">
        <f>H476</f>
        <v>0</v>
      </c>
      <c r="I474" s="70">
        <f>I476</f>
        <v>0</v>
      </c>
      <c r="P474" s="111"/>
      <c r="Q474" s="111"/>
      <c r="R474" s="111"/>
      <c r="S474" s="111"/>
      <c r="T474" s="111"/>
    </row>
    <row r="475" spans="1:20" ht="25.5" hidden="1">
      <c r="A475" s="16" t="s">
        <v>96</v>
      </c>
      <c r="B475" s="15" t="s">
        <v>94</v>
      </c>
      <c r="C475" s="15" t="s">
        <v>26</v>
      </c>
      <c r="D475" s="15" t="s">
        <v>28</v>
      </c>
      <c r="E475" s="15" t="s">
        <v>710</v>
      </c>
      <c r="F475" s="15" t="s">
        <v>349</v>
      </c>
      <c r="G475" s="70">
        <f>G476</f>
        <v>0</v>
      </c>
      <c r="H475" s="70">
        <f>H476</f>
        <v>0</v>
      </c>
      <c r="I475" s="70">
        <f>I476</f>
        <v>0</v>
      </c>
      <c r="J475" s="1"/>
    </row>
    <row r="476" spans="1:20" s="3" customFormat="1" ht="89.25" hidden="1">
      <c r="A476" s="16" t="s">
        <v>421</v>
      </c>
      <c r="B476" s="14">
        <v>774</v>
      </c>
      <c r="C476" s="15" t="s">
        <v>26</v>
      </c>
      <c r="D476" s="15" t="s">
        <v>28</v>
      </c>
      <c r="E476" s="15" t="s">
        <v>710</v>
      </c>
      <c r="F476" s="15" t="s">
        <v>420</v>
      </c>
      <c r="G476" s="70"/>
      <c r="H476" s="70"/>
      <c r="I476" s="70"/>
      <c r="P476" s="111"/>
      <c r="Q476" s="111"/>
      <c r="R476" s="111"/>
      <c r="S476" s="111"/>
      <c r="T476" s="111"/>
    </row>
    <row r="477" spans="1:20" s="3" customFormat="1" ht="25.5" hidden="1">
      <c r="A477" s="16" t="s">
        <v>712</v>
      </c>
      <c r="B477" s="14">
        <v>774</v>
      </c>
      <c r="C477" s="15" t="s">
        <v>26</v>
      </c>
      <c r="D477" s="15" t="s">
        <v>28</v>
      </c>
      <c r="E477" s="15" t="s">
        <v>711</v>
      </c>
      <c r="F477" s="15"/>
      <c r="G477" s="70">
        <f>G479</f>
        <v>0</v>
      </c>
      <c r="H477" s="70">
        <f>H479</f>
        <v>0</v>
      </c>
      <c r="I477" s="70">
        <f>I479</f>
        <v>0</v>
      </c>
      <c r="P477" s="111"/>
      <c r="Q477" s="111"/>
      <c r="R477" s="111"/>
      <c r="S477" s="111"/>
      <c r="T477" s="111"/>
    </row>
    <row r="478" spans="1:20" ht="25.5" hidden="1">
      <c r="A478" s="16" t="s">
        <v>96</v>
      </c>
      <c r="B478" s="15" t="s">
        <v>94</v>
      </c>
      <c r="C478" s="15" t="s">
        <v>26</v>
      </c>
      <c r="D478" s="15" t="s">
        <v>28</v>
      </c>
      <c r="E478" s="15" t="s">
        <v>711</v>
      </c>
      <c r="F478" s="15" t="s">
        <v>349</v>
      </c>
      <c r="G478" s="70">
        <f>G479</f>
        <v>0</v>
      </c>
      <c r="H478" s="70">
        <f>H479</f>
        <v>0</v>
      </c>
      <c r="I478" s="70">
        <f>I479</f>
        <v>0</v>
      </c>
      <c r="J478" s="1"/>
    </row>
    <row r="479" spans="1:20" s="3" customFormat="1" ht="89.25" hidden="1">
      <c r="A479" s="16" t="s">
        <v>421</v>
      </c>
      <c r="B479" s="14">
        <v>774</v>
      </c>
      <c r="C479" s="15" t="s">
        <v>26</v>
      </c>
      <c r="D479" s="15" t="s">
        <v>28</v>
      </c>
      <c r="E479" s="15" t="s">
        <v>711</v>
      </c>
      <c r="F479" s="15" t="s">
        <v>420</v>
      </c>
      <c r="G479" s="70"/>
      <c r="H479" s="70"/>
      <c r="I479" s="70"/>
      <c r="P479" s="111"/>
      <c r="Q479" s="111"/>
      <c r="R479" s="111"/>
      <c r="S479" s="111"/>
      <c r="T479" s="111"/>
    </row>
    <row r="480" spans="1:20" s="18" customFormat="1" ht="53.25" hidden="1" customHeight="1">
      <c r="A480" s="16" t="s">
        <v>652</v>
      </c>
      <c r="B480" s="15" t="s">
        <v>94</v>
      </c>
      <c r="C480" s="15" t="s">
        <v>26</v>
      </c>
      <c r="D480" s="15" t="s">
        <v>70</v>
      </c>
      <c r="E480" s="15" t="s">
        <v>651</v>
      </c>
      <c r="F480" s="15"/>
      <c r="G480" s="70">
        <f t="shared" ref="G480:I481" si="126">G481</f>
        <v>0</v>
      </c>
      <c r="H480" s="70">
        <f t="shared" si="126"/>
        <v>0</v>
      </c>
      <c r="I480" s="70">
        <f t="shared" si="126"/>
        <v>0</v>
      </c>
      <c r="P480" s="17"/>
      <c r="Q480" s="17"/>
      <c r="R480" s="17"/>
      <c r="S480" s="17"/>
      <c r="T480" s="17"/>
    </row>
    <row r="481" spans="1:20" s="18" customFormat="1" ht="25.5" hidden="1">
      <c r="A481" s="16" t="s">
        <v>30</v>
      </c>
      <c r="B481" s="15" t="s">
        <v>94</v>
      </c>
      <c r="C481" s="15" t="s">
        <v>26</v>
      </c>
      <c r="D481" s="15" t="s">
        <v>70</v>
      </c>
      <c r="E481" s="15" t="s">
        <v>651</v>
      </c>
      <c r="F481" s="15" t="s">
        <v>31</v>
      </c>
      <c r="G481" s="70">
        <f t="shared" si="126"/>
        <v>0</v>
      </c>
      <c r="H481" s="70">
        <f t="shared" si="126"/>
        <v>0</v>
      </c>
      <c r="I481" s="70">
        <f t="shared" si="126"/>
        <v>0</v>
      </c>
      <c r="P481" s="17"/>
      <c r="Q481" s="17"/>
      <c r="R481" s="17"/>
      <c r="S481" s="17"/>
      <c r="T481" s="17"/>
    </row>
    <row r="482" spans="1:20" s="18" customFormat="1" hidden="1">
      <c r="A482" s="16" t="s">
        <v>32</v>
      </c>
      <c r="B482" s="15" t="s">
        <v>94</v>
      </c>
      <c r="C482" s="15" t="s">
        <v>26</v>
      </c>
      <c r="D482" s="15" t="s">
        <v>70</v>
      </c>
      <c r="E482" s="15" t="s">
        <v>651</v>
      </c>
      <c r="F482" s="15" t="s">
        <v>33</v>
      </c>
      <c r="G482" s="70">
        <f>'прил 5,'!G816</f>
        <v>0</v>
      </c>
      <c r="H482" s="70"/>
      <c r="I482" s="70"/>
      <c r="P482" s="17"/>
      <c r="Q482" s="17"/>
      <c r="R482" s="17"/>
      <c r="S482" s="17"/>
      <c r="T482" s="17"/>
    </row>
    <row r="483" spans="1:20" s="3" customFormat="1" ht="52.5" hidden="1" customHeight="1">
      <c r="A483" s="16" t="s">
        <v>415</v>
      </c>
      <c r="B483" s="14">
        <v>774</v>
      </c>
      <c r="C483" s="15" t="s">
        <v>26</v>
      </c>
      <c r="D483" s="15" t="s">
        <v>28</v>
      </c>
      <c r="E483" s="15" t="s">
        <v>614</v>
      </c>
      <c r="F483" s="15"/>
      <c r="G483" s="70">
        <f t="shared" ref="G483:I484" si="127">G484</f>
        <v>0</v>
      </c>
      <c r="H483" s="70">
        <f t="shared" si="127"/>
        <v>0</v>
      </c>
      <c r="I483" s="70">
        <f t="shared" si="127"/>
        <v>0</v>
      </c>
      <c r="P483" s="111"/>
      <c r="Q483" s="111"/>
      <c r="R483" s="111"/>
      <c r="S483" s="111"/>
      <c r="T483" s="111"/>
    </row>
    <row r="484" spans="1:20" s="3" customFormat="1" ht="25.5" hidden="1">
      <c r="A484" s="16" t="s">
        <v>30</v>
      </c>
      <c r="B484" s="14">
        <v>774</v>
      </c>
      <c r="C484" s="15" t="s">
        <v>26</v>
      </c>
      <c r="D484" s="15" t="s">
        <v>28</v>
      </c>
      <c r="E484" s="15" t="s">
        <v>614</v>
      </c>
      <c r="F484" s="15" t="s">
        <v>31</v>
      </c>
      <c r="G484" s="70">
        <f t="shared" si="127"/>
        <v>0</v>
      </c>
      <c r="H484" s="70">
        <f t="shared" si="127"/>
        <v>0</v>
      </c>
      <c r="I484" s="70">
        <f t="shared" si="127"/>
        <v>0</v>
      </c>
      <c r="P484" s="111"/>
      <c r="Q484" s="111"/>
      <c r="R484" s="111"/>
      <c r="S484" s="111"/>
      <c r="T484" s="111"/>
    </row>
    <row r="485" spans="1:20" s="3" customFormat="1" hidden="1">
      <c r="A485" s="16" t="s">
        <v>32</v>
      </c>
      <c r="B485" s="14">
        <v>774</v>
      </c>
      <c r="C485" s="15" t="s">
        <v>26</v>
      </c>
      <c r="D485" s="15" t="s">
        <v>28</v>
      </c>
      <c r="E485" s="15" t="s">
        <v>614</v>
      </c>
      <c r="F485" s="15" t="s">
        <v>33</v>
      </c>
      <c r="G485" s="70">
        <f>'прил 5,'!G615</f>
        <v>0</v>
      </c>
      <c r="H485" s="70">
        <v>0</v>
      </c>
      <c r="I485" s="70">
        <v>0</v>
      </c>
      <c r="P485" s="111"/>
      <c r="Q485" s="111"/>
      <c r="R485" s="111"/>
      <c r="S485" s="111"/>
      <c r="T485" s="111"/>
    </row>
    <row r="486" spans="1:20" s="28" customFormat="1" ht="61.5" hidden="1" customHeight="1">
      <c r="A486" s="13" t="s">
        <v>656</v>
      </c>
      <c r="B486" s="15" t="s">
        <v>94</v>
      </c>
      <c r="C486" s="15" t="s">
        <v>69</v>
      </c>
      <c r="D486" s="15" t="s">
        <v>54</v>
      </c>
      <c r="E486" s="15" t="s">
        <v>655</v>
      </c>
      <c r="F486" s="39"/>
      <c r="G486" s="70">
        <f t="shared" ref="G486:I487" si="128">G487</f>
        <v>0</v>
      </c>
      <c r="H486" s="70">
        <f t="shared" si="128"/>
        <v>0</v>
      </c>
      <c r="I486" s="70">
        <f t="shared" si="128"/>
        <v>0</v>
      </c>
      <c r="P486" s="109"/>
      <c r="Q486" s="109"/>
      <c r="R486" s="109"/>
      <c r="S486" s="109"/>
      <c r="T486" s="109"/>
    </row>
    <row r="487" spans="1:20" s="28" customFormat="1" ht="25.5" hidden="1">
      <c r="A487" s="16" t="s">
        <v>30</v>
      </c>
      <c r="B487" s="15" t="s">
        <v>94</v>
      </c>
      <c r="C487" s="15" t="s">
        <v>69</v>
      </c>
      <c r="D487" s="15" t="s">
        <v>54</v>
      </c>
      <c r="E487" s="15" t="s">
        <v>655</v>
      </c>
      <c r="F487" s="15" t="s">
        <v>31</v>
      </c>
      <c r="G487" s="70">
        <f t="shared" si="128"/>
        <v>0</v>
      </c>
      <c r="H487" s="70">
        <f t="shared" si="128"/>
        <v>0</v>
      </c>
      <c r="I487" s="70">
        <f t="shared" si="128"/>
        <v>0</v>
      </c>
      <c r="P487" s="109"/>
      <c r="Q487" s="109"/>
      <c r="R487" s="109"/>
      <c r="S487" s="109"/>
      <c r="T487" s="109"/>
    </row>
    <row r="488" spans="1:20" hidden="1">
      <c r="A488" s="16" t="s">
        <v>32</v>
      </c>
      <c r="B488" s="15" t="s">
        <v>94</v>
      </c>
      <c r="C488" s="15" t="s">
        <v>69</v>
      </c>
      <c r="D488" s="15" t="s">
        <v>54</v>
      </c>
      <c r="E488" s="15" t="s">
        <v>655</v>
      </c>
      <c r="F488" s="15" t="s">
        <v>33</v>
      </c>
      <c r="G488" s="70">
        <f>'прил 5,'!G1015</f>
        <v>0</v>
      </c>
      <c r="H488" s="70">
        <f>'прил 5,'!H1015</f>
        <v>0</v>
      </c>
      <c r="I488" s="70">
        <f>'прил 5,'!I1015</f>
        <v>0</v>
      </c>
      <c r="J488" s="1"/>
    </row>
    <row r="489" spans="1:20" s="28" customFormat="1" ht="61.5" customHeight="1">
      <c r="A489" s="13" t="s">
        <v>697</v>
      </c>
      <c r="B489" s="15" t="s">
        <v>94</v>
      </c>
      <c r="C489" s="15" t="s">
        <v>69</v>
      </c>
      <c r="D489" s="15" t="s">
        <v>54</v>
      </c>
      <c r="E489" s="15" t="s">
        <v>696</v>
      </c>
      <c r="F489" s="39"/>
      <c r="G489" s="70">
        <f t="shared" ref="G489:I490" si="129">G490</f>
        <v>18082205.800000001</v>
      </c>
      <c r="H489" s="70">
        <f t="shared" si="129"/>
        <v>17537287.399999999</v>
      </c>
      <c r="I489" s="70">
        <f t="shared" si="129"/>
        <v>17900152.309999999</v>
      </c>
      <c r="P489" s="109"/>
      <c r="Q489" s="109"/>
      <c r="R489" s="109"/>
      <c r="S489" s="109"/>
      <c r="T489" s="109"/>
    </row>
    <row r="490" spans="1:20" s="28" customFormat="1" ht="25.5">
      <c r="A490" s="16" t="s">
        <v>30</v>
      </c>
      <c r="B490" s="15" t="s">
        <v>94</v>
      </c>
      <c r="C490" s="15" t="s">
        <v>69</v>
      </c>
      <c r="D490" s="15" t="s">
        <v>54</v>
      </c>
      <c r="E490" s="15" t="s">
        <v>696</v>
      </c>
      <c r="F490" s="15" t="s">
        <v>31</v>
      </c>
      <c r="G490" s="70">
        <f t="shared" si="129"/>
        <v>18082205.800000001</v>
      </c>
      <c r="H490" s="70">
        <f t="shared" si="129"/>
        <v>17537287.399999999</v>
      </c>
      <c r="I490" s="70">
        <f t="shared" si="129"/>
        <v>17900152.309999999</v>
      </c>
      <c r="P490" s="109"/>
      <c r="Q490" s="109"/>
      <c r="R490" s="109"/>
      <c r="S490" s="109"/>
      <c r="T490" s="109"/>
    </row>
    <row r="491" spans="1:20">
      <c r="A491" s="16" t="s">
        <v>32</v>
      </c>
      <c r="B491" s="15" t="s">
        <v>94</v>
      </c>
      <c r="C491" s="15" t="s">
        <v>69</v>
      </c>
      <c r="D491" s="15" t="s">
        <v>54</v>
      </c>
      <c r="E491" s="15" t="s">
        <v>696</v>
      </c>
      <c r="F491" s="15" t="s">
        <v>33</v>
      </c>
      <c r="G491" s="70">
        <f>'прил 5,'!G1018</f>
        <v>18082205.800000001</v>
      </c>
      <c r="H491" s="70">
        <f>'прил 5,'!H1018</f>
        <v>17537287.399999999</v>
      </c>
      <c r="I491" s="70">
        <f>'прил 5,'!I1018</f>
        <v>17900152.309999999</v>
      </c>
      <c r="J491" s="1"/>
    </row>
    <row r="492" spans="1:20" s="3" customFormat="1">
      <c r="A492" s="16" t="s">
        <v>889</v>
      </c>
      <c r="B492" s="14">
        <v>774</v>
      </c>
      <c r="C492" s="15" t="s">
        <v>26</v>
      </c>
      <c r="D492" s="15" t="s">
        <v>28</v>
      </c>
      <c r="E492" s="84" t="s">
        <v>941</v>
      </c>
      <c r="F492" s="15"/>
      <c r="G492" s="70">
        <f t="shared" ref="G492:I493" si="130">G493</f>
        <v>0</v>
      </c>
      <c r="H492" s="70">
        <f t="shared" si="130"/>
        <v>556711</v>
      </c>
      <c r="I492" s="70">
        <f t="shared" si="130"/>
        <v>556711</v>
      </c>
      <c r="P492" s="111"/>
      <c r="Q492" s="111"/>
      <c r="R492" s="111"/>
      <c r="S492" s="111"/>
      <c r="T492" s="111"/>
    </row>
    <row r="493" spans="1:20" s="3" customFormat="1" ht="25.5">
      <c r="A493" s="16" t="s">
        <v>30</v>
      </c>
      <c r="B493" s="14">
        <v>774</v>
      </c>
      <c r="C493" s="15" t="s">
        <v>26</v>
      </c>
      <c r="D493" s="15" t="s">
        <v>28</v>
      </c>
      <c r="E493" s="84" t="s">
        <v>941</v>
      </c>
      <c r="F493" s="15" t="s">
        <v>31</v>
      </c>
      <c r="G493" s="70">
        <f t="shared" si="130"/>
        <v>0</v>
      </c>
      <c r="H493" s="70">
        <f t="shared" si="130"/>
        <v>556711</v>
      </c>
      <c r="I493" s="70">
        <f t="shared" si="130"/>
        <v>556711</v>
      </c>
      <c r="P493" s="111"/>
      <c r="Q493" s="111"/>
      <c r="R493" s="111"/>
      <c r="S493" s="111"/>
      <c r="T493" s="111"/>
    </row>
    <row r="494" spans="1:20" s="3" customFormat="1">
      <c r="A494" s="82" t="s">
        <v>32</v>
      </c>
      <c r="B494" s="14">
        <v>774</v>
      </c>
      <c r="C494" s="15" t="s">
        <v>26</v>
      </c>
      <c r="D494" s="15" t="s">
        <v>28</v>
      </c>
      <c r="E494" s="84" t="s">
        <v>941</v>
      </c>
      <c r="F494" s="15" t="s">
        <v>33</v>
      </c>
      <c r="G494" s="70">
        <f>'прил 5,'!G627</f>
        <v>0</v>
      </c>
      <c r="H494" s="70">
        <f>'прил 5,'!H627</f>
        <v>556711</v>
      </c>
      <c r="I494" s="70">
        <f>'прил 5,'!I627</f>
        <v>556711</v>
      </c>
      <c r="P494" s="111"/>
      <c r="Q494" s="111"/>
      <c r="R494" s="111"/>
      <c r="S494" s="111"/>
      <c r="T494" s="111"/>
    </row>
    <row r="495" spans="1:20" ht="46.5" hidden="1" customHeight="1">
      <c r="A495" s="16" t="s">
        <v>720</v>
      </c>
      <c r="B495" s="15" t="s">
        <v>94</v>
      </c>
      <c r="C495" s="15" t="s">
        <v>26</v>
      </c>
      <c r="D495" s="15" t="s">
        <v>28</v>
      </c>
      <c r="E495" s="15" t="s">
        <v>719</v>
      </c>
      <c r="F495" s="15"/>
      <c r="G495" s="70">
        <f t="shared" ref="G495:I495" si="131">G496</f>
        <v>0</v>
      </c>
      <c r="H495" s="70">
        <f t="shared" si="131"/>
        <v>0</v>
      </c>
      <c r="I495" s="70">
        <f t="shared" si="131"/>
        <v>0</v>
      </c>
      <c r="J495" s="1"/>
    </row>
    <row r="496" spans="1:20" ht="39.75" hidden="1" customHeight="1">
      <c r="A496" s="16" t="s">
        <v>96</v>
      </c>
      <c r="B496" s="15" t="s">
        <v>94</v>
      </c>
      <c r="C496" s="15" t="s">
        <v>26</v>
      </c>
      <c r="D496" s="15" t="s">
        <v>28</v>
      </c>
      <c r="E496" s="15" t="s">
        <v>719</v>
      </c>
      <c r="F496" s="15" t="s">
        <v>31</v>
      </c>
      <c r="G496" s="70">
        <f>G497</f>
        <v>0</v>
      </c>
      <c r="H496" s="70">
        <f>H497</f>
        <v>0</v>
      </c>
      <c r="I496" s="70">
        <f>I497</f>
        <v>0</v>
      </c>
      <c r="J496" s="1"/>
    </row>
    <row r="497" spans="1:20" ht="46.5" hidden="1" customHeight="1">
      <c r="A497" s="16" t="s">
        <v>421</v>
      </c>
      <c r="B497" s="15" t="s">
        <v>94</v>
      </c>
      <c r="C497" s="15" t="s">
        <v>26</v>
      </c>
      <c r="D497" s="15" t="s">
        <v>28</v>
      </c>
      <c r="E497" s="15" t="s">
        <v>719</v>
      </c>
      <c r="F497" s="15" t="s">
        <v>33</v>
      </c>
      <c r="G497" s="70">
        <f>'прил 5,'!G630</f>
        <v>0</v>
      </c>
      <c r="H497" s="70">
        <v>0</v>
      </c>
      <c r="I497" s="70">
        <v>0</v>
      </c>
      <c r="J497" s="1"/>
    </row>
    <row r="498" spans="1:20" ht="57" hidden="1" customHeight="1">
      <c r="A498" s="16" t="s">
        <v>695</v>
      </c>
      <c r="B498" s="15" t="s">
        <v>94</v>
      </c>
      <c r="C498" s="15" t="s">
        <v>26</v>
      </c>
      <c r="D498" s="15" t="s">
        <v>28</v>
      </c>
      <c r="E498" s="15" t="s">
        <v>694</v>
      </c>
      <c r="F498" s="15"/>
      <c r="G498" s="70">
        <f t="shared" ref="G498:I498" si="132">G499</f>
        <v>0</v>
      </c>
      <c r="H498" s="70">
        <f t="shared" si="132"/>
        <v>0</v>
      </c>
      <c r="I498" s="70">
        <f t="shared" si="132"/>
        <v>0</v>
      </c>
      <c r="J498" s="1"/>
    </row>
    <row r="499" spans="1:20" ht="25.5" hidden="1">
      <c r="A499" s="16" t="s">
        <v>96</v>
      </c>
      <c r="B499" s="15" t="s">
        <v>94</v>
      </c>
      <c r="C499" s="15" t="s">
        <v>26</v>
      </c>
      <c r="D499" s="15" t="s">
        <v>28</v>
      </c>
      <c r="E499" s="15" t="s">
        <v>694</v>
      </c>
      <c r="F499" s="15" t="s">
        <v>349</v>
      </c>
      <c r="G499" s="70">
        <f>G500</f>
        <v>0</v>
      </c>
      <c r="H499" s="70">
        <f>H500</f>
        <v>0</v>
      </c>
      <c r="I499" s="70">
        <f>I500</f>
        <v>0</v>
      </c>
      <c r="J499" s="1"/>
    </row>
    <row r="500" spans="1:20" ht="89.25" hidden="1">
      <c r="A500" s="16" t="s">
        <v>421</v>
      </c>
      <c r="B500" s="15" t="s">
        <v>94</v>
      </c>
      <c r="C500" s="15" t="s">
        <v>26</v>
      </c>
      <c r="D500" s="15" t="s">
        <v>28</v>
      </c>
      <c r="E500" s="15" t="s">
        <v>694</v>
      </c>
      <c r="F500" s="15" t="s">
        <v>420</v>
      </c>
      <c r="G500" s="70"/>
      <c r="H500" s="70"/>
      <c r="I500" s="70"/>
      <c r="J500" s="1"/>
    </row>
    <row r="501" spans="1:20" s="18" customFormat="1" ht="38.25" hidden="1">
      <c r="A501" s="80" t="s">
        <v>882</v>
      </c>
      <c r="B501" s="15" t="s">
        <v>94</v>
      </c>
      <c r="C501" s="15" t="s">
        <v>26</v>
      </c>
      <c r="D501" s="15" t="s">
        <v>28</v>
      </c>
      <c r="E501" s="15" t="s">
        <v>881</v>
      </c>
      <c r="F501" s="15"/>
      <c r="G501" s="70">
        <f t="shared" ref="G501:I502" si="133">G502</f>
        <v>0</v>
      </c>
      <c r="H501" s="70">
        <f t="shared" si="133"/>
        <v>0</v>
      </c>
      <c r="I501" s="70">
        <f t="shared" si="133"/>
        <v>0</v>
      </c>
      <c r="P501" s="17"/>
      <c r="Q501" s="17"/>
      <c r="R501" s="17"/>
      <c r="S501" s="17"/>
      <c r="T501" s="17"/>
    </row>
    <row r="502" spans="1:20" s="18" customFormat="1" ht="25.5" hidden="1">
      <c r="A502" s="16" t="s">
        <v>36</v>
      </c>
      <c r="B502" s="15" t="s">
        <v>94</v>
      </c>
      <c r="C502" s="15" t="s">
        <v>26</v>
      </c>
      <c r="D502" s="15" t="s">
        <v>28</v>
      </c>
      <c r="E502" s="15" t="s">
        <v>881</v>
      </c>
      <c r="F502" s="15" t="s">
        <v>37</v>
      </c>
      <c r="G502" s="70">
        <f t="shared" si="133"/>
        <v>0</v>
      </c>
      <c r="H502" s="70">
        <f t="shared" si="133"/>
        <v>0</v>
      </c>
      <c r="I502" s="70">
        <f t="shared" si="133"/>
        <v>0</v>
      </c>
      <c r="P502" s="17"/>
      <c r="Q502" s="17"/>
      <c r="R502" s="17"/>
      <c r="S502" s="17"/>
      <c r="T502" s="17"/>
    </row>
    <row r="503" spans="1:20" s="18" customFormat="1" ht="25.5" hidden="1">
      <c r="A503" s="16" t="s">
        <v>38</v>
      </c>
      <c r="B503" s="15" t="s">
        <v>94</v>
      </c>
      <c r="C503" s="15" t="s">
        <v>26</v>
      </c>
      <c r="D503" s="15" t="s">
        <v>28</v>
      </c>
      <c r="E503" s="15" t="s">
        <v>881</v>
      </c>
      <c r="F503" s="15" t="s">
        <v>39</v>
      </c>
      <c r="G503" s="70"/>
      <c r="H503" s="70">
        <f>'прил 5,'!H964</f>
        <v>0</v>
      </c>
      <c r="I503" s="70">
        <f>'прил 5,'!I964</f>
        <v>0</v>
      </c>
      <c r="P503" s="17"/>
      <c r="Q503" s="17"/>
      <c r="R503" s="17"/>
      <c r="S503" s="17"/>
      <c r="T503" s="17"/>
    </row>
    <row r="504" spans="1:20" ht="25.5">
      <c r="A504" s="16" t="s">
        <v>0</v>
      </c>
      <c r="B504" s="14">
        <v>774</v>
      </c>
      <c r="C504" s="15" t="s">
        <v>26</v>
      </c>
      <c r="D504" s="15" t="s">
        <v>28</v>
      </c>
      <c r="E504" s="15" t="s">
        <v>218</v>
      </c>
      <c r="F504" s="15"/>
      <c r="G504" s="8">
        <f>G515+G533+G543+G588+G599+G602+G544+G549+G552+G591+G505+G535+G522+G594+G525+G528+G553+G559+G516+G519+G538+G508+G556+G562+G565+G511+G568+G571+G574+G577+G580+G585</f>
        <v>173600750.56999999</v>
      </c>
      <c r="H504" s="8">
        <f>H515+H533+H543+H588+H599+H602+H544+H549+H552+H591+H505+H535+H522+H594+H525+H528+H553+H559+H516+H519+H538</f>
        <v>60354385.32</v>
      </c>
      <c r="I504" s="8">
        <f>I515+I533+I543+I588+I599+I602+I544+I549+I552+I591+I505+I535+I522+I594+I525+I528+I553+I559+I516+I519+I538</f>
        <v>12025946</v>
      </c>
      <c r="J504" s="1"/>
    </row>
    <row r="505" spans="1:20" ht="31.5" customHeight="1">
      <c r="A505" s="16" t="s">
        <v>955</v>
      </c>
      <c r="B505" s="15" t="s">
        <v>94</v>
      </c>
      <c r="C505" s="15" t="s">
        <v>26</v>
      </c>
      <c r="D505" s="15" t="s">
        <v>28</v>
      </c>
      <c r="E505" s="15" t="s">
        <v>954</v>
      </c>
      <c r="F505" s="15"/>
      <c r="G505" s="70">
        <f t="shared" ref="G505:I506" si="134">G506</f>
        <v>2884872.88</v>
      </c>
      <c r="H505" s="70">
        <f t="shared" si="134"/>
        <v>15540116.210000001</v>
      </c>
      <c r="I505" s="70">
        <f t="shared" si="134"/>
        <v>0</v>
      </c>
      <c r="J505" s="1"/>
    </row>
    <row r="506" spans="1:20" ht="25.5">
      <c r="A506" s="16" t="s">
        <v>30</v>
      </c>
      <c r="B506" s="15" t="s">
        <v>94</v>
      </c>
      <c r="C506" s="15" t="s">
        <v>26</v>
      </c>
      <c r="D506" s="15" t="s">
        <v>28</v>
      </c>
      <c r="E506" s="15" t="s">
        <v>954</v>
      </c>
      <c r="F506" s="15" t="s">
        <v>31</v>
      </c>
      <c r="G506" s="70">
        <f t="shared" si="134"/>
        <v>2884872.88</v>
      </c>
      <c r="H506" s="70">
        <f t="shared" si="134"/>
        <v>15540116.210000001</v>
      </c>
      <c r="I506" s="70">
        <f t="shared" si="134"/>
        <v>0</v>
      </c>
      <c r="J506" s="1"/>
    </row>
    <row r="507" spans="1:20">
      <c r="A507" s="16" t="s">
        <v>32</v>
      </c>
      <c r="B507" s="15" t="s">
        <v>94</v>
      </c>
      <c r="C507" s="15" t="s">
        <v>26</v>
      </c>
      <c r="D507" s="15" t="s">
        <v>28</v>
      </c>
      <c r="E507" s="15" t="s">
        <v>954</v>
      </c>
      <c r="F507" s="15" t="s">
        <v>33</v>
      </c>
      <c r="G507" s="70">
        <f>'прил 5,'!G637</f>
        <v>2884872.88</v>
      </c>
      <c r="H507" s="70">
        <f>'прил 5,'!H637</f>
        <v>15540116.210000001</v>
      </c>
      <c r="I507" s="70">
        <f>'прил 5,'!I637</f>
        <v>0</v>
      </c>
      <c r="J507" s="1"/>
    </row>
    <row r="508" spans="1:20" ht="59.25" customHeight="1">
      <c r="A508" s="16" t="s">
        <v>1061</v>
      </c>
      <c r="B508" s="15" t="s">
        <v>94</v>
      </c>
      <c r="C508" s="15" t="s">
        <v>26</v>
      </c>
      <c r="D508" s="15" t="s">
        <v>28</v>
      </c>
      <c r="E508" s="15" t="s">
        <v>1060</v>
      </c>
      <c r="F508" s="15"/>
      <c r="G508" s="70">
        <f t="shared" ref="G508:I509" si="135">G509</f>
        <v>250000</v>
      </c>
      <c r="H508" s="70">
        <f t="shared" si="135"/>
        <v>0</v>
      </c>
      <c r="I508" s="70">
        <f t="shared" si="135"/>
        <v>0</v>
      </c>
      <c r="J508" s="177"/>
      <c r="K508" s="186"/>
      <c r="L508" s="186"/>
      <c r="M508" s="186"/>
      <c r="N508" s="186"/>
      <c r="O508" s="186"/>
      <c r="P508" s="186"/>
      <c r="Q508" s="186"/>
      <c r="R508" s="186"/>
      <c r="S508" s="1"/>
      <c r="T508" s="1"/>
    </row>
    <row r="509" spans="1:20" ht="25.5">
      <c r="A509" s="16" t="s">
        <v>30</v>
      </c>
      <c r="B509" s="15" t="s">
        <v>94</v>
      </c>
      <c r="C509" s="15" t="s">
        <v>26</v>
      </c>
      <c r="D509" s="15" t="s">
        <v>28</v>
      </c>
      <c r="E509" s="15" t="s">
        <v>1060</v>
      </c>
      <c r="F509" s="15" t="s">
        <v>31</v>
      </c>
      <c r="G509" s="70">
        <f t="shared" si="135"/>
        <v>250000</v>
      </c>
      <c r="H509" s="70">
        <f t="shared" si="135"/>
        <v>0</v>
      </c>
      <c r="I509" s="70">
        <f t="shared" si="135"/>
        <v>0</v>
      </c>
      <c r="J509" s="177"/>
      <c r="K509" s="186"/>
      <c r="L509" s="186"/>
      <c r="M509" s="186"/>
      <c r="N509" s="186"/>
      <c r="O509" s="186"/>
      <c r="P509" s="186"/>
      <c r="Q509" s="186"/>
      <c r="R509" s="186"/>
      <c r="S509" s="1"/>
      <c r="T509" s="1"/>
    </row>
    <row r="510" spans="1:20">
      <c r="A510" s="16" t="s">
        <v>32</v>
      </c>
      <c r="B510" s="15" t="s">
        <v>94</v>
      </c>
      <c r="C510" s="15" t="s">
        <v>26</v>
      </c>
      <c r="D510" s="15" t="s">
        <v>28</v>
      </c>
      <c r="E510" s="15" t="s">
        <v>1060</v>
      </c>
      <c r="F510" s="15" t="s">
        <v>33</v>
      </c>
      <c r="G510" s="70">
        <v>250000</v>
      </c>
      <c r="H510" s="70">
        <v>0</v>
      </c>
      <c r="I510" s="70">
        <v>0</v>
      </c>
      <c r="J510" s="177"/>
      <c r="K510" s="186"/>
      <c r="L510" s="186"/>
      <c r="M510" s="186"/>
      <c r="N510" s="186"/>
      <c r="O510" s="186"/>
      <c r="P510" s="186"/>
      <c r="Q510" s="186"/>
      <c r="R510" s="186"/>
      <c r="S510" s="1"/>
      <c r="T510" s="1"/>
    </row>
    <row r="511" spans="1:20" ht="59.25" customHeight="1">
      <c r="A511" s="82" t="s">
        <v>1084</v>
      </c>
      <c r="B511" s="84" t="s">
        <v>94</v>
      </c>
      <c r="C511" s="84" t="s">
        <v>26</v>
      </c>
      <c r="D511" s="84" t="s">
        <v>28</v>
      </c>
      <c r="E511" s="84" t="s">
        <v>1083</v>
      </c>
      <c r="F511" s="84"/>
      <c r="G511" s="87">
        <f t="shared" ref="G511:I512" si="136">G512</f>
        <v>1737958.8</v>
      </c>
      <c r="H511" s="87">
        <f t="shared" si="136"/>
        <v>0</v>
      </c>
      <c r="I511" s="87">
        <f t="shared" si="136"/>
        <v>0</v>
      </c>
      <c r="J511" s="177"/>
      <c r="K511" s="186"/>
      <c r="L511" s="186"/>
      <c r="M511" s="186"/>
      <c r="N511" s="186"/>
      <c r="O511" s="186"/>
      <c r="P511" s="186"/>
      <c r="Q511" s="186"/>
      <c r="R511" s="186"/>
      <c r="S511" s="1"/>
      <c r="T511" s="1"/>
    </row>
    <row r="512" spans="1:20" ht="25.5">
      <c r="A512" s="82" t="s">
        <v>30</v>
      </c>
      <c r="B512" s="84" t="s">
        <v>94</v>
      </c>
      <c r="C512" s="84" t="s">
        <v>26</v>
      </c>
      <c r="D512" s="84" t="s">
        <v>28</v>
      </c>
      <c r="E512" s="84" t="s">
        <v>1083</v>
      </c>
      <c r="F512" s="84" t="s">
        <v>31</v>
      </c>
      <c r="G512" s="87">
        <f t="shared" si="136"/>
        <v>1737958.8</v>
      </c>
      <c r="H512" s="87">
        <f t="shared" si="136"/>
        <v>0</v>
      </c>
      <c r="I512" s="87">
        <f t="shared" si="136"/>
        <v>0</v>
      </c>
      <c r="J512" s="177"/>
      <c r="K512" s="186"/>
      <c r="L512" s="186"/>
      <c r="M512" s="186"/>
      <c r="N512" s="186"/>
      <c r="O512" s="186"/>
      <c r="P512" s="186"/>
      <c r="Q512" s="186"/>
      <c r="R512" s="186"/>
      <c r="S512" s="1"/>
      <c r="T512" s="1"/>
    </row>
    <row r="513" spans="1:20">
      <c r="A513" s="82" t="s">
        <v>32</v>
      </c>
      <c r="B513" s="84" t="s">
        <v>94</v>
      </c>
      <c r="C513" s="84" t="s">
        <v>26</v>
      </c>
      <c r="D513" s="84" t="s">
        <v>28</v>
      </c>
      <c r="E513" s="84" t="s">
        <v>1083</v>
      </c>
      <c r="F513" s="84" t="s">
        <v>33</v>
      </c>
      <c r="G513" s="87">
        <f>'прил 5,'!G643</f>
        <v>1737958.8</v>
      </c>
      <c r="H513" s="87">
        <v>0</v>
      </c>
      <c r="I513" s="87">
        <v>0</v>
      </c>
      <c r="J513" s="177"/>
      <c r="K513" s="186"/>
      <c r="L513" s="186"/>
      <c r="M513" s="186"/>
      <c r="N513" s="186"/>
      <c r="O513" s="186"/>
      <c r="P513" s="186"/>
      <c r="Q513" s="186"/>
      <c r="R513" s="186"/>
      <c r="S513" s="1"/>
      <c r="T513" s="1"/>
    </row>
    <row r="514" spans="1:20" s="3" customFormat="1" ht="44.25" customHeight="1">
      <c r="A514" s="16" t="s">
        <v>822</v>
      </c>
      <c r="B514" s="14">
        <v>774</v>
      </c>
      <c r="C514" s="15" t="s">
        <v>26</v>
      </c>
      <c r="D514" s="15" t="s">
        <v>19</v>
      </c>
      <c r="E514" s="15" t="s">
        <v>447</v>
      </c>
      <c r="F514" s="15"/>
      <c r="G514" s="70">
        <f>G515</f>
        <v>500000</v>
      </c>
      <c r="H514" s="70">
        <f t="shared" ref="H514:I514" si="137">H515</f>
        <v>1000000</v>
      </c>
      <c r="I514" s="70">
        <f t="shared" si="137"/>
        <v>1000000</v>
      </c>
      <c r="J514" s="111"/>
      <c r="P514" s="111"/>
      <c r="Q514" s="111"/>
      <c r="R514" s="111"/>
      <c r="S514" s="111"/>
      <c r="T514" s="111"/>
    </row>
    <row r="515" spans="1:20" s="3" customFormat="1">
      <c r="A515" s="16" t="s">
        <v>32</v>
      </c>
      <c r="B515" s="14">
        <v>774</v>
      </c>
      <c r="C515" s="15" t="s">
        <v>26</v>
      </c>
      <c r="D515" s="15" t="s">
        <v>19</v>
      </c>
      <c r="E515" s="15" t="s">
        <v>447</v>
      </c>
      <c r="F515" s="15" t="s">
        <v>33</v>
      </c>
      <c r="G515" s="70">
        <f>'прил 5,'!G535+'прил 5,'!G646</f>
        <v>500000</v>
      </c>
      <c r="H515" s="70">
        <f>'прил 5,'!H535+'прил 5,'!H646</f>
        <v>1000000</v>
      </c>
      <c r="I515" s="70">
        <f>'прил 5,'!I535+'прил 5,'!I646</f>
        <v>1000000</v>
      </c>
      <c r="J515" s="111"/>
      <c r="P515" s="111"/>
      <c r="Q515" s="111"/>
      <c r="R515" s="111"/>
      <c r="S515" s="111"/>
      <c r="T515" s="111"/>
    </row>
    <row r="516" spans="1:20" s="3" customFormat="1" ht="38.25">
      <c r="A516" s="16" t="s">
        <v>902</v>
      </c>
      <c r="B516" s="14">
        <v>774</v>
      </c>
      <c r="C516" s="15" t="s">
        <v>26</v>
      </c>
      <c r="D516" s="15" t="s">
        <v>19</v>
      </c>
      <c r="E516" s="15" t="s">
        <v>901</v>
      </c>
      <c r="F516" s="15"/>
      <c r="G516" s="70">
        <f>G517</f>
        <v>600000</v>
      </c>
      <c r="H516" s="70">
        <f t="shared" ref="H516:I517" si="138">H517</f>
        <v>0</v>
      </c>
      <c r="I516" s="70">
        <f t="shared" si="138"/>
        <v>0</v>
      </c>
      <c r="J516" s="176"/>
    </row>
    <row r="517" spans="1:20" s="3" customFormat="1" ht="33" customHeight="1">
      <c r="A517" s="16" t="s">
        <v>30</v>
      </c>
      <c r="B517" s="14">
        <v>774</v>
      </c>
      <c r="C517" s="15" t="s">
        <v>26</v>
      </c>
      <c r="D517" s="15" t="s">
        <v>19</v>
      </c>
      <c r="E517" s="15" t="s">
        <v>901</v>
      </c>
      <c r="F517" s="15" t="s">
        <v>31</v>
      </c>
      <c r="G517" s="70">
        <f>G518</f>
        <v>600000</v>
      </c>
      <c r="H517" s="70">
        <f t="shared" si="138"/>
        <v>0</v>
      </c>
      <c r="I517" s="70">
        <f t="shared" si="138"/>
        <v>0</v>
      </c>
      <c r="J517" s="176"/>
    </row>
    <row r="518" spans="1:20" s="3" customFormat="1">
      <c r="A518" s="16" t="s">
        <v>32</v>
      </c>
      <c r="B518" s="14">
        <v>774</v>
      </c>
      <c r="C518" s="15" t="s">
        <v>26</v>
      </c>
      <c r="D518" s="15" t="s">
        <v>19</v>
      </c>
      <c r="E518" s="15" t="s">
        <v>901</v>
      </c>
      <c r="F518" s="15" t="s">
        <v>33</v>
      </c>
      <c r="G518" s="70">
        <v>600000</v>
      </c>
      <c r="H518" s="70">
        <v>0</v>
      </c>
      <c r="I518" s="70">
        <v>0</v>
      </c>
      <c r="J518" s="176"/>
    </row>
    <row r="519" spans="1:20" s="3" customFormat="1" ht="38.25">
      <c r="A519" s="16" t="s">
        <v>904</v>
      </c>
      <c r="B519" s="14">
        <v>774</v>
      </c>
      <c r="C519" s="15" t="s">
        <v>26</v>
      </c>
      <c r="D519" s="15" t="s">
        <v>19</v>
      </c>
      <c r="E519" s="15" t="s">
        <v>903</v>
      </c>
      <c r="F519" s="15"/>
      <c r="G519" s="70">
        <f>G520</f>
        <v>0</v>
      </c>
      <c r="H519" s="70">
        <f t="shared" ref="H519:I520" si="139">H520</f>
        <v>700000</v>
      </c>
      <c r="I519" s="70">
        <f t="shared" si="139"/>
        <v>0</v>
      </c>
      <c r="J519" s="176"/>
    </row>
    <row r="520" spans="1:20" s="3" customFormat="1" ht="33" customHeight="1">
      <c r="A520" s="16" t="s">
        <v>30</v>
      </c>
      <c r="B520" s="14">
        <v>774</v>
      </c>
      <c r="C520" s="15" t="s">
        <v>26</v>
      </c>
      <c r="D520" s="15" t="s">
        <v>19</v>
      </c>
      <c r="E520" s="15" t="s">
        <v>903</v>
      </c>
      <c r="F520" s="15" t="s">
        <v>31</v>
      </c>
      <c r="G520" s="70">
        <f>G521</f>
        <v>0</v>
      </c>
      <c r="H520" s="70">
        <f t="shared" si="139"/>
        <v>700000</v>
      </c>
      <c r="I520" s="70">
        <f t="shared" si="139"/>
        <v>0</v>
      </c>
      <c r="J520" s="176"/>
    </row>
    <row r="521" spans="1:20" s="3" customFormat="1">
      <c r="A521" s="16" t="s">
        <v>32</v>
      </c>
      <c r="B521" s="14">
        <v>774</v>
      </c>
      <c r="C521" s="15" t="s">
        <v>26</v>
      </c>
      <c r="D521" s="15" t="s">
        <v>19</v>
      </c>
      <c r="E521" s="15" t="s">
        <v>903</v>
      </c>
      <c r="F521" s="15" t="s">
        <v>33</v>
      </c>
      <c r="G521" s="70">
        <v>0</v>
      </c>
      <c r="H521" s="70">
        <v>700000</v>
      </c>
      <c r="I521" s="70"/>
      <c r="J521" s="176"/>
    </row>
    <row r="522" spans="1:20" s="3" customFormat="1" ht="38.25" hidden="1">
      <c r="A522" s="16" t="s">
        <v>823</v>
      </c>
      <c r="B522" s="14">
        <v>774</v>
      </c>
      <c r="C522" s="15" t="s">
        <v>26</v>
      </c>
      <c r="D522" s="15" t="s">
        <v>28</v>
      </c>
      <c r="E522" s="84" t="s">
        <v>772</v>
      </c>
      <c r="F522" s="15"/>
      <c r="G522" s="70">
        <f t="shared" ref="G522:I523" si="140">G523</f>
        <v>0</v>
      </c>
      <c r="H522" s="70">
        <f t="shared" si="140"/>
        <v>0</v>
      </c>
      <c r="I522" s="70">
        <f t="shared" si="140"/>
        <v>0</v>
      </c>
      <c r="P522" s="111"/>
      <c r="Q522" s="111"/>
      <c r="R522" s="111"/>
      <c r="S522" s="111"/>
      <c r="T522" s="111"/>
    </row>
    <row r="523" spans="1:20" s="3" customFormat="1" ht="25.5" hidden="1">
      <c r="A523" s="16" t="s">
        <v>30</v>
      </c>
      <c r="B523" s="14">
        <v>774</v>
      </c>
      <c r="C523" s="15" t="s">
        <v>26</v>
      </c>
      <c r="D523" s="15" t="s">
        <v>28</v>
      </c>
      <c r="E523" s="84" t="s">
        <v>772</v>
      </c>
      <c r="F523" s="15" t="s">
        <v>31</v>
      </c>
      <c r="G523" s="70">
        <f t="shared" si="140"/>
        <v>0</v>
      </c>
      <c r="H523" s="70">
        <f t="shared" si="140"/>
        <v>0</v>
      </c>
      <c r="I523" s="70">
        <f t="shared" si="140"/>
        <v>0</v>
      </c>
      <c r="P523" s="111"/>
      <c r="Q523" s="111"/>
      <c r="R523" s="111"/>
      <c r="S523" s="111"/>
      <c r="T523" s="111"/>
    </row>
    <row r="524" spans="1:20" s="3" customFormat="1" hidden="1">
      <c r="A524" s="82" t="s">
        <v>32</v>
      </c>
      <c r="B524" s="14">
        <v>774</v>
      </c>
      <c r="C524" s="15" t="s">
        <v>26</v>
      </c>
      <c r="D524" s="15" t="s">
        <v>28</v>
      </c>
      <c r="E524" s="84" t="s">
        <v>772</v>
      </c>
      <c r="F524" s="15" t="s">
        <v>33</v>
      </c>
      <c r="G524" s="70">
        <f>'прил 5,'!G655</f>
        <v>0</v>
      </c>
      <c r="H524" s="70"/>
      <c r="I524" s="70"/>
      <c r="P524" s="111"/>
      <c r="Q524" s="111"/>
      <c r="R524" s="111"/>
      <c r="S524" s="111"/>
      <c r="T524" s="111"/>
    </row>
    <row r="525" spans="1:20" s="3" customFormat="1">
      <c r="A525" s="16" t="s">
        <v>886</v>
      </c>
      <c r="B525" s="14">
        <v>774</v>
      </c>
      <c r="C525" s="15" t="s">
        <v>26</v>
      </c>
      <c r="D525" s="15" t="s">
        <v>28</v>
      </c>
      <c r="E525" s="84" t="s">
        <v>885</v>
      </c>
      <c r="F525" s="15"/>
      <c r="G525" s="70">
        <f t="shared" ref="G525:I526" si="141">G526</f>
        <v>2030562.73</v>
      </c>
      <c r="H525" s="70">
        <f t="shared" si="141"/>
        <v>337450.6</v>
      </c>
      <c r="I525" s="70">
        <f t="shared" si="141"/>
        <v>0</v>
      </c>
      <c r="P525" s="111"/>
      <c r="Q525" s="111"/>
      <c r="R525" s="111"/>
      <c r="S525" s="111"/>
      <c r="T525" s="111"/>
    </row>
    <row r="526" spans="1:20" s="3" customFormat="1" ht="25.5">
      <c r="A526" s="16" t="s">
        <v>30</v>
      </c>
      <c r="B526" s="14">
        <v>774</v>
      </c>
      <c r="C526" s="15" t="s">
        <v>26</v>
      </c>
      <c r="D526" s="15" t="s">
        <v>28</v>
      </c>
      <c r="E526" s="84" t="s">
        <v>885</v>
      </c>
      <c r="F526" s="15" t="s">
        <v>31</v>
      </c>
      <c r="G526" s="70">
        <f t="shared" si="141"/>
        <v>2030562.73</v>
      </c>
      <c r="H526" s="70">
        <f t="shared" si="141"/>
        <v>337450.6</v>
      </c>
      <c r="I526" s="70">
        <f t="shared" si="141"/>
        <v>0</v>
      </c>
      <c r="P526" s="111"/>
      <c r="Q526" s="111"/>
      <c r="R526" s="111"/>
      <c r="S526" s="111"/>
      <c r="T526" s="111"/>
    </row>
    <row r="527" spans="1:20" s="3" customFormat="1">
      <c r="A527" s="82" t="s">
        <v>32</v>
      </c>
      <c r="B527" s="14">
        <v>774</v>
      </c>
      <c r="C527" s="15" t="s">
        <v>26</v>
      </c>
      <c r="D527" s="15" t="s">
        <v>28</v>
      </c>
      <c r="E527" s="84" t="s">
        <v>885</v>
      </c>
      <c r="F527" s="15" t="s">
        <v>33</v>
      </c>
      <c r="G527" s="70">
        <f>'прил 5,'!G658</f>
        <v>2030562.73</v>
      </c>
      <c r="H527" s="70">
        <f>'прил 5,'!H658</f>
        <v>337450.6</v>
      </c>
      <c r="I527" s="70">
        <f>'прил 5,'!I658</f>
        <v>0</v>
      </c>
      <c r="P527" s="111"/>
      <c r="Q527" s="111"/>
      <c r="R527" s="111"/>
      <c r="S527" s="111"/>
      <c r="T527" s="111"/>
    </row>
    <row r="528" spans="1:20" s="3" customFormat="1">
      <c r="A528" s="16" t="s">
        <v>888</v>
      </c>
      <c r="B528" s="14">
        <v>774</v>
      </c>
      <c r="C528" s="15" t="s">
        <v>26</v>
      </c>
      <c r="D528" s="15" t="s">
        <v>28</v>
      </c>
      <c r="E528" s="84" t="s">
        <v>887</v>
      </c>
      <c r="F528" s="15"/>
      <c r="G528" s="70">
        <f t="shared" ref="G528:I529" si="142">G529</f>
        <v>500000</v>
      </c>
      <c r="H528" s="70">
        <f t="shared" si="142"/>
        <v>500000</v>
      </c>
      <c r="I528" s="70">
        <f t="shared" si="142"/>
        <v>500000</v>
      </c>
      <c r="P528" s="111"/>
      <c r="Q528" s="111"/>
      <c r="R528" s="111"/>
      <c r="S528" s="111"/>
      <c r="T528" s="111"/>
    </row>
    <row r="529" spans="1:20" s="3" customFormat="1" ht="25.5">
      <c r="A529" s="16" t="s">
        <v>30</v>
      </c>
      <c r="B529" s="14">
        <v>774</v>
      </c>
      <c r="C529" s="15" t="s">
        <v>26</v>
      </c>
      <c r="D529" s="15" t="s">
        <v>28</v>
      </c>
      <c r="E529" s="84" t="s">
        <v>887</v>
      </c>
      <c r="F529" s="15" t="s">
        <v>31</v>
      </c>
      <c r="G529" s="70">
        <f t="shared" si="142"/>
        <v>500000</v>
      </c>
      <c r="H529" s="70">
        <f t="shared" si="142"/>
        <v>500000</v>
      </c>
      <c r="I529" s="70">
        <f t="shared" si="142"/>
        <v>500000</v>
      </c>
      <c r="P529" s="111"/>
      <c r="Q529" s="111"/>
      <c r="R529" s="111"/>
      <c r="S529" s="111"/>
      <c r="T529" s="111"/>
    </row>
    <row r="530" spans="1:20" s="3" customFormat="1">
      <c r="A530" s="82" t="s">
        <v>32</v>
      </c>
      <c r="B530" s="14">
        <v>774</v>
      </c>
      <c r="C530" s="15" t="s">
        <v>26</v>
      </c>
      <c r="D530" s="15" t="s">
        <v>28</v>
      </c>
      <c r="E530" s="84" t="s">
        <v>887</v>
      </c>
      <c r="F530" s="15" t="s">
        <v>33</v>
      </c>
      <c r="G530" s="70">
        <f>'прил 5,'!G661</f>
        <v>500000</v>
      </c>
      <c r="H530" s="70">
        <f>'прил 5,'!H661</f>
        <v>500000</v>
      </c>
      <c r="I530" s="70">
        <f>'прил 5,'!I661</f>
        <v>500000</v>
      </c>
      <c r="P530" s="111"/>
      <c r="Q530" s="111"/>
      <c r="R530" s="111"/>
      <c r="S530" s="111"/>
      <c r="T530" s="111"/>
    </row>
    <row r="531" spans="1:20" s="3" customFormat="1" ht="25.5">
      <c r="A531" s="16" t="s">
        <v>1055</v>
      </c>
      <c r="B531" s="14">
        <v>774</v>
      </c>
      <c r="C531" s="15" t="s">
        <v>26</v>
      </c>
      <c r="D531" s="15" t="s">
        <v>28</v>
      </c>
      <c r="E531" s="15" t="s">
        <v>219</v>
      </c>
      <c r="F531" s="15"/>
      <c r="G531" s="70">
        <f t="shared" ref="G531:I532" si="143">G532</f>
        <v>3783024.42</v>
      </c>
      <c r="H531" s="70">
        <f t="shared" si="143"/>
        <v>2383020</v>
      </c>
      <c r="I531" s="70">
        <f t="shared" si="143"/>
        <v>0</v>
      </c>
      <c r="J531" s="111"/>
      <c r="P531" s="111"/>
      <c r="Q531" s="111"/>
      <c r="R531" s="111"/>
      <c r="S531" s="111"/>
      <c r="T531" s="111"/>
    </row>
    <row r="532" spans="1:20" s="3" customFormat="1" ht="25.5">
      <c r="A532" s="16" t="s">
        <v>30</v>
      </c>
      <c r="B532" s="14">
        <v>774</v>
      </c>
      <c r="C532" s="15" t="s">
        <v>26</v>
      </c>
      <c r="D532" s="15" t="s">
        <v>28</v>
      </c>
      <c r="E532" s="15" t="s">
        <v>219</v>
      </c>
      <c r="F532" s="15" t="s">
        <v>31</v>
      </c>
      <c r="G532" s="70">
        <f t="shared" si="143"/>
        <v>3783024.42</v>
      </c>
      <c r="H532" s="70">
        <f t="shared" si="143"/>
        <v>2383020</v>
      </c>
      <c r="I532" s="70">
        <f t="shared" si="143"/>
        <v>0</v>
      </c>
      <c r="J532" s="111"/>
      <c r="P532" s="111"/>
      <c r="Q532" s="111"/>
      <c r="R532" s="111"/>
      <c r="S532" s="111"/>
      <c r="T532" s="111"/>
    </row>
    <row r="533" spans="1:20" s="3" customFormat="1">
      <c r="A533" s="16" t="s">
        <v>32</v>
      </c>
      <c r="B533" s="14">
        <v>774</v>
      </c>
      <c r="C533" s="15" t="s">
        <v>26</v>
      </c>
      <c r="D533" s="15" t="s">
        <v>28</v>
      </c>
      <c r="E533" s="15" t="s">
        <v>219</v>
      </c>
      <c r="F533" s="15" t="s">
        <v>33</v>
      </c>
      <c r="G533" s="70">
        <f>'прил 5,'!G664+'прил 5,'!G509+'прил 5,'!G830</f>
        <v>3783024.42</v>
      </c>
      <c r="H533" s="70">
        <f>'прил 5,'!H664</f>
        <v>2383020</v>
      </c>
      <c r="I533" s="70">
        <f>'прил 5,'!I664</f>
        <v>0</v>
      </c>
      <c r="J533" s="111"/>
      <c r="P533" s="111"/>
      <c r="Q533" s="111"/>
      <c r="R533" s="111"/>
      <c r="S533" s="111"/>
      <c r="T533" s="111"/>
    </row>
    <row r="534" spans="1:20" s="3" customFormat="1" hidden="1">
      <c r="A534" s="16" t="s">
        <v>35</v>
      </c>
      <c r="B534" s="14">
        <v>774</v>
      </c>
      <c r="C534" s="15" t="s">
        <v>26</v>
      </c>
      <c r="D534" s="15" t="s">
        <v>28</v>
      </c>
      <c r="E534" s="15" t="s">
        <v>219</v>
      </c>
      <c r="F534" s="15" t="s">
        <v>52</v>
      </c>
      <c r="G534" s="70"/>
      <c r="H534" s="87"/>
      <c r="I534" s="87"/>
      <c r="J534" s="111"/>
      <c r="P534" s="111"/>
      <c r="Q534" s="111"/>
      <c r="R534" s="111"/>
      <c r="S534" s="111"/>
      <c r="T534" s="111"/>
    </row>
    <row r="535" spans="1:20" s="3" customFormat="1" ht="25.5" hidden="1">
      <c r="A535" s="16" t="s">
        <v>676</v>
      </c>
      <c r="B535" s="14">
        <v>774</v>
      </c>
      <c r="C535" s="15" t="s">
        <v>26</v>
      </c>
      <c r="D535" s="15" t="s">
        <v>70</v>
      </c>
      <c r="E535" s="84" t="s">
        <v>728</v>
      </c>
      <c r="F535" s="15"/>
      <c r="G535" s="70">
        <f t="shared" ref="G535:I536" si="144">G536</f>
        <v>0</v>
      </c>
      <c r="H535" s="70">
        <f t="shared" si="144"/>
        <v>0</v>
      </c>
      <c r="I535" s="70">
        <f t="shared" si="144"/>
        <v>0</v>
      </c>
      <c r="P535" s="111"/>
      <c r="Q535" s="111"/>
      <c r="R535" s="111"/>
      <c r="S535" s="111"/>
      <c r="T535" s="111"/>
    </row>
    <row r="536" spans="1:20" s="3" customFormat="1" ht="25.5" hidden="1">
      <c r="A536" s="16" t="s">
        <v>30</v>
      </c>
      <c r="B536" s="14">
        <v>774</v>
      </c>
      <c r="C536" s="15" t="s">
        <v>26</v>
      </c>
      <c r="D536" s="15" t="s">
        <v>70</v>
      </c>
      <c r="E536" s="84" t="s">
        <v>728</v>
      </c>
      <c r="F536" s="15" t="s">
        <v>31</v>
      </c>
      <c r="G536" s="70">
        <f t="shared" si="144"/>
        <v>0</v>
      </c>
      <c r="H536" s="70">
        <f t="shared" si="144"/>
        <v>0</v>
      </c>
      <c r="I536" s="70">
        <f t="shared" si="144"/>
        <v>0</v>
      </c>
      <c r="P536" s="111"/>
      <c r="Q536" s="111"/>
      <c r="R536" s="111"/>
      <c r="S536" s="111"/>
      <c r="T536" s="111"/>
    </row>
    <row r="537" spans="1:20" s="3" customFormat="1" hidden="1">
      <c r="A537" s="16" t="s">
        <v>32</v>
      </c>
      <c r="B537" s="14">
        <v>774</v>
      </c>
      <c r="C537" s="15" t="s">
        <v>26</v>
      </c>
      <c r="D537" s="15" t="s">
        <v>70</v>
      </c>
      <c r="E537" s="84" t="s">
        <v>728</v>
      </c>
      <c r="F537" s="15" t="s">
        <v>33</v>
      </c>
      <c r="G537" s="70">
        <f>'прил 5,'!G845</f>
        <v>0</v>
      </c>
      <c r="H537" s="70"/>
      <c r="I537" s="70"/>
      <c r="P537" s="111"/>
      <c r="Q537" s="111"/>
      <c r="R537" s="111"/>
      <c r="S537" s="111"/>
      <c r="T537" s="111"/>
    </row>
    <row r="538" spans="1:20" s="3" customFormat="1" ht="25.5">
      <c r="A538" s="16" t="s">
        <v>1014</v>
      </c>
      <c r="B538" s="14">
        <v>774</v>
      </c>
      <c r="C538" s="15" t="s">
        <v>26</v>
      </c>
      <c r="D538" s="15" t="s">
        <v>28</v>
      </c>
      <c r="E538" s="84" t="s">
        <v>1012</v>
      </c>
      <c r="F538" s="15"/>
      <c r="G538" s="70">
        <f t="shared" ref="G538:I539" si="145">G539</f>
        <v>2680001.15</v>
      </c>
      <c r="H538" s="70">
        <f t="shared" si="145"/>
        <v>1375565</v>
      </c>
      <c r="I538" s="70">
        <f t="shared" si="145"/>
        <v>3832815</v>
      </c>
      <c r="J538" s="177"/>
      <c r="K538" s="199"/>
      <c r="L538" s="199"/>
      <c r="M538" s="199"/>
      <c r="N538" s="199"/>
      <c r="O538" s="199"/>
      <c r="P538" s="199"/>
      <c r="Q538" s="199"/>
      <c r="R538" s="199"/>
    </row>
    <row r="539" spans="1:20" s="3" customFormat="1" ht="25.5">
      <c r="A539" s="16" t="s">
        <v>30</v>
      </c>
      <c r="B539" s="14">
        <v>774</v>
      </c>
      <c r="C539" s="15" t="s">
        <v>26</v>
      </c>
      <c r="D539" s="15" t="s">
        <v>28</v>
      </c>
      <c r="E539" s="84" t="s">
        <v>1012</v>
      </c>
      <c r="F539" s="15" t="s">
        <v>31</v>
      </c>
      <c r="G539" s="70">
        <f t="shared" si="145"/>
        <v>2680001.15</v>
      </c>
      <c r="H539" s="70">
        <f t="shared" si="145"/>
        <v>1375565</v>
      </c>
      <c r="I539" s="70">
        <f t="shared" si="145"/>
        <v>3832815</v>
      </c>
      <c r="J539" s="177"/>
      <c r="K539" s="199"/>
      <c r="L539" s="199"/>
      <c r="M539" s="199"/>
      <c r="N539" s="199"/>
      <c r="O539" s="199"/>
      <c r="P539" s="199"/>
      <c r="Q539" s="199"/>
      <c r="R539" s="199"/>
    </row>
    <row r="540" spans="1:20" s="3" customFormat="1">
      <c r="A540" s="82" t="s">
        <v>32</v>
      </c>
      <c r="B540" s="14">
        <v>774</v>
      </c>
      <c r="C540" s="15" t="s">
        <v>26</v>
      </c>
      <c r="D540" s="15" t="s">
        <v>28</v>
      </c>
      <c r="E540" s="84" t="s">
        <v>1012</v>
      </c>
      <c r="F540" s="15" t="s">
        <v>33</v>
      </c>
      <c r="G540" s="70">
        <f>'прил 5,'!G667+'прил 5,'!G833+'прил 5,'!G512</f>
        <v>2680001.15</v>
      </c>
      <c r="H540" s="70">
        <f>'прил 5,'!H667+'прил 5,'!H833</f>
        <v>1375565</v>
      </c>
      <c r="I540" s="70">
        <f>'прил 5,'!I667+'прил 5,'!I833</f>
        <v>3832815</v>
      </c>
      <c r="J540" s="177"/>
      <c r="K540" s="199"/>
      <c r="L540" s="199"/>
      <c r="M540" s="199"/>
      <c r="N540" s="199"/>
      <c r="O540" s="199"/>
      <c r="P540" s="199"/>
      <c r="Q540" s="199"/>
      <c r="R540" s="199"/>
    </row>
    <row r="541" spans="1:20" s="3" customFormat="1" ht="25.5">
      <c r="A541" s="16" t="s">
        <v>295</v>
      </c>
      <c r="B541" s="14">
        <v>774</v>
      </c>
      <c r="C541" s="15" t="s">
        <v>26</v>
      </c>
      <c r="D541" s="15" t="s">
        <v>28</v>
      </c>
      <c r="E541" s="15" t="s">
        <v>294</v>
      </c>
      <c r="F541" s="15"/>
      <c r="G541" s="70">
        <f t="shared" ref="G541:I542" si="146">G542</f>
        <v>2417566</v>
      </c>
      <c r="H541" s="70">
        <f t="shared" si="146"/>
        <v>2317566</v>
      </c>
      <c r="I541" s="70">
        <f t="shared" si="146"/>
        <v>2717566</v>
      </c>
      <c r="J541" s="111"/>
      <c r="P541" s="111"/>
      <c r="Q541" s="111"/>
      <c r="R541" s="111"/>
      <c r="S541" s="111"/>
      <c r="T541" s="111"/>
    </row>
    <row r="542" spans="1:20" s="3" customFormat="1" ht="25.5">
      <c r="A542" s="16" t="s">
        <v>30</v>
      </c>
      <c r="B542" s="14">
        <v>774</v>
      </c>
      <c r="C542" s="15" t="s">
        <v>26</v>
      </c>
      <c r="D542" s="15" t="s">
        <v>28</v>
      </c>
      <c r="E542" s="15" t="s">
        <v>294</v>
      </c>
      <c r="F542" s="15" t="s">
        <v>31</v>
      </c>
      <c r="G542" s="70">
        <f t="shared" si="146"/>
        <v>2417566</v>
      </c>
      <c r="H542" s="70">
        <f t="shared" si="146"/>
        <v>2317566</v>
      </c>
      <c r="I542" s="70">
        <f t="shared" si="146"/>
        <v>2717566</v>
      </c>
      <c r="J542" s="111"/>
      <c r="P542" s="111"/>
      <c r="Q542" s="111"/>
      <c r="R542" s="111"/>
      <c r="S542" s="111"/>
      <c r="T542" s="111"/>
    </row>
    <row r="543" spans="1:20" s="3" customFormat="1">
      <c r="A543" s="16" t="s">
        <v>32</v>
      </c>
      <c r="B543" s="14">
        <v>774</v>
      </c>
      <c r="C543" s="15" t="s">
        <v>26</v>
      </c>
      <c r="D543" s="15" t="s">
        <v>28</v>
      </c>
      <c r="E543" s="15" t="s">
        <v>294</v>
      </c>
      <c r="F543" s="15" t="s">
        <v>33</v>
      </c>
      <c r="G543" s="70">
        <f>'прил 5,'!G518+'прил 5,'!G670+'прил 5,'!G842+'прил 5,'!G836</f>
        <v>2417566</v>
      </c>
      <c r="H543" s="70">
        <f>'прил 5,'!H518+'прил 5,'!H670+'прил 5,'!H842+'прил 5,'!H836</f>
        <v>2317566</v>
      </c>
      <c r="I543" s="70">
        <f>'прил 5,'!I518+'прил 5,'!I670+'прил 5,'!I842+'прил 5,'!I836</f>
        <v>2717566</v>
      </c>
      <c r="J543" s="111"/>
      <c r="P543" s="111"/>
      <c r="Q543" s="111"/>
      <c r="R543" s="111"/>
      <c r="S543" s="111"/>
      <c r="T543" s="111"/>
    </row>
    <row r="544" spans="1:20" s="3" customFormat="1" ht="46.5" hidden="1" customHeight="1">
      <c r="A544" s="16" t="s">
        <v>749</v>
      </c>
      <c r="B544" s="14">
        <v>774</v>
      </c>
      <c r="C544" s="15" t="s">
        <v>26</v>
      </c>
      <c r="D544" s="15" t="s">
        <v>28</v>
      </c>
      <c r="E544" s="84" t="s">
        <v>736</v>
      </c>
      <c r="F544" s="15"/>
      <c r="G544" s="70">
        <f t="shared" ref="G544:I545" si="147">G545</f>
        <v>0</v>
      </c>
      <c r="H544" s="70">
        <f t="shared" si="147"/>
        <v>0</v>
      </c>
      <c r="I544" s="70">
        <f t="shared" si="147"/>
        <v>0</v>
      </c>
      <c r="P544" s="111"/>
      <c r="Q544" s="111"/>
      <c r="R544" s="111"/>
      <c r="S544" s="111"/>
      <c r="T544" s="111"/>
    </row>
    <row r="545" spans="1:20" s="3" customFormat="1" ht="25.5" hidden="1">
      <c r="A545" s="16" t="s">
        <v>30</v>
      </c>
      <c r="B545" s="14">
        <v>774</v>
      </c>
      <c r="C545" s="15" t="s">
        <v>26</v>
      </c>
      <c r="D545" s="15" t="s">
        <v>28</v>
      </c>
      <c r="E545" s="15" t="s">
        <v>736</v>
      </c>
      <c r="F545" s="15" t="s">
        <v>31</v>
      </c>
      <c r="G545" s="70">
        <f t="shared" si="147"/>
        <v>0</v>
      </c>
      <c r="H545" s="70">
        <f t="shared" si="147"/>
        <v>0</v>
      </c>
      <c r="I545" s="70">
        <f t="shared" si="147"/>
        <v>0</v>
      </c>
      <c r="P545" s="111"/>
      <c r="Q545" s="111"/>
      <c r="R545" s="111"/>
      <c r="S545" s="111"/>
      <c r="T545" s="111"/>
    </row>
    <row r="546" spans="1:20" s="3" customFormat="1" hidden="1">
      <c r="A546" s="16" t="s">
        <v>32</v>
      </c>
      <c r="B546" s="14">
        <v>774</v>
      </c>
      <c r="C546" s="15" t="s">
        <v>26</v>
      </c>
      <c r="D546" s="15" t="s">
        <v>28</v>
      </c>
      <c r="E546" s="15" t="s">
        <v>736</v>
      </c>
      <c r="F546" s="15" t="s">
        <v>33</v>
      </c>
      <c r="G546" s="70">
        <f>'прил 5,'!G532</f>
        <v>0</v>
      </c>
      <c r="H546" s="70">
        <f>'прил 5,'!H676</f>
        <v>0</v>
      </c>
      <c r="I546" s="70">
        <f>'прил 5,'!I676</f>
        <v>0</v>
      </c>
      <c r="P546" s="111"/>
      <c r="Q546" s="111"/>
      <c r="R546" s="111"/>
      <c r="S546" s="111"/>
      <c r="T546" s="111"/>
    </row>
    <row r="547" spans="1:20" s="3" customFormat="1" ht="49.5" customHeight="1">
      <c r="A547" s="16" t="s">
        <v>965</v>
      </c>
      <c r="B547" s="14">
        <v>774</v>
      </c>
      <c r="C547" s="15" t="s">
        <v>26</v>
      </c>
      <c r="D547" s="15" t="s">
        <v>28</v>
      </c>
      <c r="E547" s="84" t="s">
        <v>739</v>
      </c>
      <c r="F547" s="84"/>
      <c r="G547" s="87">
        <f t="shared" ref="G547:I551" si="148">G548</f>
        <v>3892741</v>
      </c>
      <c r="H547" s="87">
        <f t="shared" si="148"/>
        <v>1975565</v>
      </c>
      <c r="I547" s="87">
        <f t="shared" si="148"/>
        <v>2975565</v>
      </c>
      <c r="P547" s="111"/>
      <c r="Q547" s="111"/>
      <c r="R547" s="111"/>
      <c r="S547" s="111"/>
      <c r="T547" s="111"/>
    </row>
    <row r="548" spans="1:20" s="3" customFormat="1" ht="25.5">
      <c r="A548" s="16" t="s">
        <v>30</v>
      </c>
      <c r="B548" s="14">
        <v>774</v>
      </c>
      <c r="C548" s="15" t="s">
        <v>26</v>
      </c>
      <c r="D548" s="15" t="s">
        <v>28</v>
      </c>
      <c r="E548" s="84" t="s">
        <v>739</v>
      </c>
      <c r="F548" s="84" t="s">
        <v>31</v>
      </c>
      <c r="G548" s="87">
        <f t="shared" si="148"/>
        <v>3892741</v>
      </c>
      <c r="H548" s="87">
        <f t="shared" si="148"/>
        <v>1975565</v>
      </c>
      <c r="I548" s="87">
        <f t="shared" si="148"/>
        <v>2975565</v>
      </c>
      <c r="P548" s="111"/>
      <c r="Q548" s="111"/>
      <c r="R548" s="111"/>
      <c r="S548" s="111"/>
      <c r="T548" s="111"/>
    </row>
    <row r="549" spans="1:20" s="3" customFormat="1">
      <c r="A549" s="16" t="s">
        <v>32</v>
      </c>
      <c r="B549" s="14">
        <v>774</v>
      </c>
      <c r="C549" s="15" t="s">
        <v>26</v>
      </c>
      <c r="D549" s="15" t="s">
        <v>28</v>
      </c>
      <c r="E549" s="84" t="s">
        <v>739</v>
      </c>
      <c r="F549" s="84" t="s">
        <v>33</v>
      </c>
      <c r="G549" s="87">
        <f>'прил 5,'!G679+'прил 5,'!G515</f>
        <v>3892741</v>
      </c>
      <c r="H549" s="87">
        <f>'прил 5,'!H679+'прил 5,'!H515</f>
        <v>1975565</v>
      </c>
      <c r="I549" s="87">
        <f>'прил 5,'!I679+'прил 5,'!I515</f>
        <v>2975565</v>
      </c>
      <c r="P549" s="111"/>
      <c r="Q549" s="111"/>
      <c r="R549" s="111"/>
      <c r="S549" s="111"/>
      <c r="T549" s="111"/>
    </row>
    <row r="550" spans="1:20" s="3" customFormat="1" ht="38.25" hidden="1">
      <c r="A550" s="16" t="s">
        <v>640</v>
      </c>
      <c r="B550" s="14">
        <v>774</v>
      </c>
      <c r="C550" s="15" t="s">
        <v>26</v>
      </c>
      <c r="D550" s="15" t="s">
        <v>28</v>
      </c>
      <c r="E550" s="84" t="s">
        <v>639</v>
      </c>
      <c r="F550" s="84"/>
      <c r="G550" s="87">
        <f t="shared" si="148"/>
        <v>0</v>
      </c>
      <c r="H550" s="70">
        <f t="shared" si="148"/>
        <v>0</v>
      </c>
      <c r="I550" s="70">
        <f t="shared" si="148"/>
        <v>0</v>
      </c>
      <c r="P550" s="111"/>
      <c r="Q550" s="111"/>
      <c r="R550" s="111"/>
      <c r="S550" s="111"/>
      <c r="T550" s="111"/>
    </row>
    <row r="551" spans="1:20" s="3" customFormat="1" ht="25.5" hidden="1">
      <c r="A551" s="16" t="s">
        <v>30</v>
      </c>
      <c r="B551" s="14">
        <v>774</v>
      </c>
      <c r="C551" s="15" t="s">
        <v>26</v>
      </c>
      <c r="D551" s="15" t="s">
        <v>28</v>
      </c>
      <c r="E551" s="84" t="s">
        <v>639</v>
      </c>
      <c r="F551" s="84" t="s">
        <v>31</v>
      </c>
      <c r="G551" s="87">
        <f t="shared" si="148"/>
        <v>0</v>
      </c>
      <c r="H551" s="70">
        <f t="shared" si="148"/>
        <v>0</v>
      </c>
      <c r="I551" s="70">
        <f t="shared" si="148"/>
        <v>0</v>
      </c>
      <c r="P551" s="111"/>
      <c r="Q551" s="111"/>
      <c r="R551" s="111"/>
      <c r="S551" s="111"/>
      <c r="T551" s="111"/>
    </row>
    <row r="552" spans="1:20" s="3" customFormat="1" hidden="1">
      <c r="A552" s="16" t="s">
        <v>32</v>
      </c>
      <c r="B552" s="14">
        <v>774</v>
      </c>
      <c r="C552" s="15" t="s">
        <v>26</v>
      </c>
      <c r="D552" s="15" t="s">
        <v>28</v>
      </c>
      <c r="E552" s="84" t="s">
        <v>639</v>
      </c>
      <c r="F552" s="84" t="s">
        <v>33</v>
      </c>
      <c r="G552" s="87">
        <f>'прил 5,'!G682</f>
        <v>0</v>
      </c>
      <c r="H552" s="70"/>
      <c r="I552" s="70"/>
      <c r="P552" s="111"/>
      <c r="Q552" s="111"/>
      <c r="R552" s="111"/>
      <c r="S552" s="111"/>
      <c r="T552" s="111"/>
    </row>
    <row r="553" spans="1:20" s="3" customFormat="1" ht="49.5" customHeight="1">
      <c r="A553" s="16" t="s">
        <v>915</v>
      </c>
      <c r="B553" s="14">
        <v>774</v>
      </c>
      <c r="C553" s="15" t="s">
        <v>26</v>
      </c>
      <c r="D553" s="15" t="s">
        <v>28</v>
      </c>
      <c r="E553" s="84" t="s">
        <v>899</v>
      </c>
      <c r="F553" s="15"/>
      <c r="G553" s="70">
        <f t="shared" ref="G553:I554" si="149">G554</f>
        <v>378810.19999999995</v>
      </c>
      <c r="H553" s="70">
        <f t="shared" si="149"/>
        <v>0</v>
      </c>
      <c r="I553" s="70">
        <f t="shared" si="149"/>
        <v>0</v>
      </c>
      <c r="J553" s="176"/>
    </row>
    <row r="554" spans="1:20" s="3" customFormat="1" ht="25.5">
      <c r="A554" s="16" t="s">
        <v>30</v>
      </c>
      <c r="B554" s="14">
        <v>774</v>
      </c>
      <c r="C554" s="15" t="s">
        <v>26</v>
      </c>
      <c r="D554" s="15" t="s">
        <v>28</v>
      </c>
      <c r="E554" s="84" t="s">
        <v>899</v>
      </c>
      <c r="F554" s="15" t="s">
        <v>31</v>
      </c>
      <c r="G554" s="70">
        <f t="shared" si="149"/>
        <v>378810.19999999995</v>
      </c>
      <c r="H554" s="70">
        <f t="shared" si="149"/>
        <v>0</v>
      </c>
      <c r="I554" s="70">
        <f t="shared" si="149"/>
        <v>0</v>
      </c>
      <c r="J554" s="176"/>
    </row>
    <row r="555" spans="1:20" s="3" customFormat="1">
      <c r="A555" s="16" t="s">
        <v>32</v>
      </c>
      <c r="B555" s="14">
        <v>774</v>
      </c>
      <c r="C555" s="15" t="s">
        <v>26</v>
      </c>
      <c r="D555" s="15" t="s">
        <v>28</v>
      </c>
      <c r="E555" s="84" t="s">
        <v>899</v>
      </c>
      <c r="F555" s="15" t="s">
        <v>33</v>
      </c>
      <c r="G555" s="70">
        <f>'прил 5,'!G685</f>
        <v>378810.19999999995</v>
      </c>
      <c r="H555" s="70">
        <v>0</v>
      </c>
      <c r="I555" s="70">
        <v>0</v>
      </c>
      <c r="J555" s="176"/>
    </row>
    <row r="556" spans="1:20" s="3" customFormat="1" ht="49.5" customHeight="1">
      <c r="A556" s="16" t="s">
        <v>1063</v>
      </c>
      <c r="B556" s="14">
        <v>774</v>
      </c>
      <c r="C556" s="15" t="s">
        <v>26</v>
      </c>
      <c r="D556" s="15" t="s">
        <v>28</v>
      </c>
      <c r="E556" s="84" t="s">
        <v>1062</v>
      </c>
      <c r="F556" s="15"/>
      <c r="G556" s="70">
        <f t="shared" ref="G556:I557" si="150">G557</f>
        <v>40000</v>
      </c>
      <c r="H556" s="70">
        <f t="shared" si="150"/>
        <v>0</v>
      </c>
      <c r="I556" s="70">
        <f t="shared" si="150"/>
        <v>0</v>
      </c>
      <c r="J556" s="177"/>
      <c r="K556" s="199"/>
      <c r="L556" s="199"/>
      <c r="M556" s="199"/>
      <c r="N556" s="199"/>
      <c r="O556" s="199"/>
      <c r="P556" s="199"/>
      <c r="Q556" s="199"/>
      <c r="R556" s="199"/>
    </row>
    <row r="557" spans="1:20" s="3" customFormat="1" ht="25.5">
      <c r="A557" s="16" t="s">
        <v>30</v>
      </c>
      <c r="B557" s="14">
        <v>774</v>
      </c>
      <c r="C557" s="15" t="s">
        <v>26</v>
      </c>
      <c r="D557" s="15" t="s">
        <v>28</v>
      </c>
      <c r="E557" s="84" t="s">
        <v>1062</v>
      </c>
      <c r="F557" s="15" t="s">
        <v>31</v>
      </c>
      <c r="G557" s="70">
        <f t="shared" si="150"/>
        <v>40000</v>
      </c>
      <c r="H557" s="70">
        <f t="shared" si="150"/>
        <v>0</v>
      </c>
      <c r="I557" s="70">
        <f t="shared" si="150"/>
        <v>0</v>
      </c>
      <c r="J557" s="177"/>
      <c r="K557" s="199"/>
      <c r="L557" s="199"/>
      <c r="M557" s="199"/>
      <c r="N557" s="199"/>
      <c r="O557" s="199"/>
      <c r="P557" s="199"/>
      <c r="Q557" s="199"/>
      <c r="R557" s="199"/>
    </row>
    <row r="558" spans="1:20" s="3" customFormat="1">
      <c r="A558" s="16" t="s">
        <v>32</v>
      </c>
      <c r="B558" s="14">
        <v>774</v>
      </c>
      <c r="C558" s="15" t="s">
        <v>26</v>
      </c>
      <c r="D558" s="15" t="s">
        <v>28</v>
      </c>
      <c r="E558" s="84" t="s">
        <v>1062</v>
      </c>
      <c r="F558" s="15" t="s">
        <v>33</v>
      </c>
      <c r="G558" s="70">
        <v>40000</v>
      </c>
      <c r="H558" s="70">
        <v>0</v>
      </c>
      <c r="I558" s="70">
        <v>0</v>
      </c>
      <c r="J558" s="177"/>
      <c r="K558" s="199"/>
      <c r="L558" s="199"/>
      <c r="M558" s="199"/>
      <c r="N558" s="199"/>
      <c r="O558" s="199"/>
      <c r="P558" s="199"/>
      <c r="Q558" s="199"/>
      <c r="R558" s="199"/>
    </row>
    <row r="559" spans="1:20" s="3" customFormat="1" ht="49.5" customHeight="1">
      <c r="A559" s="16" t="s">
        <v>916</v>
      </c>
      <c r="B559" s="14">
        <v>774</v>
      </c>
      <c r="C559" s="15" t="s">
        <v>26</v>
      </c>
      <c r="D559" s="15" t="s">
        <v>28</v>
      </c>
      <c r="E559" s="84" t="s">
        <v>900</v>
      </c>
      <c r="F559" s="15"/>
      <c r="G559" s="70">
        <f t="shared" ref="G559:I560" si="151">G560</f>
        <v>0</v>
      </c>
      <c r="H559" s="70">
        <f t="shared" si="151"/>
        <v>2337991.4</v>
      </c>
      <c r="I559" s="70">
        <f t="shared" si="151"/>
        <v>0</v>
      </c>
      <c r="J559" s="176"/>
    </row>
    <row r="560" spans="1:20" s="3" customFormat="1" ht="25.5">
      <c r="A560" s="16" t="s">
        <v>30</v>
      </c>
      <c r="B560" s="14">
        <v>774</v>
      </c>
      <c r="C560" s="15" t="s">
        <v>26</v>
      </c>
      <c r="D560" s="15" t="s">
        <v>28</v>
      </c>
      <c r="E560" s="84" t="s">
        <v>900</v>
      </c>
      <c r="F560" s="15" t="s">
        <v>31</v>
      </c>
      <c r="G560" s="70">
        <f t="shared" si="151"/>
        <v>0</v>
      </c>
      <c r="H560" s="70">
        <f t="shared" si="151"/>
        <v>2337991.4</v>
      </c>
      <c r="I560" s="70">
        <f t="shared" si="151"/>
        <v>0</v>
      </c>
      <c r="J560" s="176"/>
    </row>
    <row r="561" spans="1:18" s="3" customFormat="1">
      <c r="A561" s="16" t="s">
        <v>32</v>
      </c>
      <c r="B561" s="14">
        <v>774</v>
      </c>
      <c r="C561" s="15" t="s">
        <v>26</v>
      </c>
      <c r="D561" s="15" t="s">
        <v>28</v>
      </c>
      <c r="E561" s="84" t="s">
        <v>900</v>
      </c>
      <c r="F561" s="15" t="s">
        <v>33</v>
      </c>
      <c r="G561" s="70">
        <f>'прил 5,'!G709</f>
        <v>0</v>
      </c>
      <c r="H561" s="70">
        <f>'прил 5,'!H709</f>
        <v>2337991.4</v>
      </c>
      <c r="I561" s="70">
        <f>'прил 5,'!I709</f>
        <v>0</v>
      </c>
      <c r="J561" s="176"/>
    </row>
    <row r="562" spans="1:18" s="3" customFormat="1" ht="49.5" customHeight="1">
      <c r="A562" s="16" t="s">
        <v>1069</v>
      </c>
      <c r="B562" s="14">
        <v>774</v>
      </c>
      <c r="C562" s="15" t="s">
        <v>26</v>
      </c>
      <c r="D562" s="15" t="s">
        <v>28</v>
      </c>
      <c r="E562" s="84" t="s">
        <v>1068</v>
      </c>
      <c r="F562" s="15"/>
      <c r="G562" s="70">
        <f t="shared" ref="G562:I563" si="152">G563</f>
        <v>750000</v>
      </c>
      <c r="H562" s="70">
        <f t="shared" si="152"/>
        <v>0</v>
      </c>
      <c r="I562" s="70">
        <f t="shared" si="152"/>
        <v>0</v>
      </c>
      <c r="J562" s="177"/>
      <c r="K562" s="199"/>
      <c r="L562" s="199"/>
      <c r="M562" s="199"/>
      <c r="N562" s="199"/>
      <c r="O562" s="199"/>
      <c r="P562" s="199"/>
      <c r="Q562" s="199"/>
      <c r="R562" s="199"/>
    </row>
    <row r="563" spans="1:18" s="3" customFormat="1" ht="25.5">
      <c r="A563" s="16" t="s">
        <v>30</v>
      </c>
      <c r="B563" s="14">
        <v>774</v>
      </c>
      <c r="C563" s="15" t="s">
        <v>26</v>
      </c>
      <c r="D563" s="15" t="s">
        <v>28</v>
      </c>
      <c r="E563" s="84" t="s">
        <v>1068</v>
      </c>
      <c r="F563" s="15" t="s">
        <v>31</v>
      </c>
      <c r="G563" s="70">
        <f t="shared" si="152"/>
        <v>750000</v>
      </c>
      <c r="H563" s="70">
        <f t="shared" si="152"/>
        <v>0</v>
      </c>
      <c r="I563" s="70">
        <f t="shared" si="152"/>
        <v>0</v>
      </c>
      <c r="J563" s="177"/>
      <c r="K563" s="199"/>
      <c r="L563" s="199"/>
      <c r="M563" s="199"/>
      <c r="N563" s="199"/>
      <c r="O563" s="199"/>
      <c r="P563" s="199"/>
      <c r="Q563" s="199"/>
      <c r="R563" s="199"/>
    </row>
    <row r="564" spans="1:18" s="3" customFormat="1">
      <c r="A564" s="16" t="s">
        <v>32</v>
      </c>
      <c r="B564" s="14">
        <v>774</v>
      </c>
      <c r="C564" s="15" t="s">
        <v>26</v>
      </c>
      <c r="D564" s="15" t="s">
        <v>28</v>
      </c>
      <c r="E564" s="84" t="s">
        <v>1068</v>
      </c>
      <c r="F564" s="15" t="s">
        <v>33</v>
      </c>
      <c r="G564" s="70">
        <f>'прил 5,'!G712</f>
        <v>750000</v>
      </c>
      <c r="H564" s="70">
        <v>0</v>
      </c>
      <c r="I564" s="70">
        <v>0</v>
      </c>
      <c r="J564" s="177"/>
      <c r="K564" s="199"/>
      <c r="L564" s="199"/>
      <c r="M564" s="199"/>
      <c r="N564" s="199"/>
      <c r="O564" s="199"/>
      <c r="P564" s="199"/>
      <c r="Q564" s="199"/>
      <c r="R564" s="199"/>
    </row>
    <row r="565" spans="1:18" s="3" customFormat="1" ht="49.5" customHeight="1">
      <c r="A565" s="16" t="s">
        <v>1073</v>
      </c>
      <c r="B565" s="14">
        <v>774</v>
      </c>
      <c r="C565" s="15" t="s">
        <v>26</v>
      </c>
      <c r="D565" s="15" t="s">
        <v>28</v>
      </c>
      <c r="E565" s="84" t="s">
        <v>1072</v>
      </c>
      <c r="F565" s="15"/>
      <c r="G565" s="70">
        <f t="shared" ref="G565:I566" si="153">G566</f>
        <v>30000</v>
      </c>
      <c r="H565" s="70">
        <f t="shared" si="153"/>
        <v>0</v>
      </c>
      <c r="I565" s="70">
        <f t="shared" si="153"/>
        <v>0</v>
      </c>
      <c r="J565" s="177"/>
      <c r="K565" s="199"/>
      <c r="L565" s="199"/>
      <c r="M565" s="199"/>
      <c r="N565" s="199"/>
      <c r="O565" s="199"/>
      <c r="P565" s="199"/>
      <c r="Q565" s="199"/>
      <c r="R565" s="199"/>
    </row>
    <row r="566" spans="1:18" s="3" customFormat="1" ht="25.5">
      <c r="A566" s="16" t="s">
        <v>30</v>
      </c>
      <c r="B566" s="14">
        <v>774</v>
      </c>
      <c r="C566" s="15" t="s">
        <v>26</v>
      </c>
      <c r="D566" s="15" t="s">
        <v>28</v>
      </c>
      <c r="E566" s="84" t="s">
        <v>1072</v>
      </c>
      <c r="F566" s="15" t="s">
        <v>31</v>
      </c>
      <c r="G566" s="70">
        <f t="shared" si="153"/>
        <v>30000</v>
      </c>
      <c r="H566" s="70">
        <f t="shared" si="153"/>
        <v>0</v>
      </c>
      <c r="I566" s="70">
        <f t="shared" si="153"/>
        <v>0</v>
      </c>
      <c r="J566" s="177"/>
      <c r="K566" s="199"/>
      <c r="L566" s="199"/>
      <c r="M566" s="199"/>
      <c r="N566" s="199"/>
      <c r="O566" s="199"/>
      <c r="P566" s="199"/>
      <c r="Q566" s="199"/>
      <c r="R566" s="199"/>
    </row>
    <row r="567" spans="1:18" s="3" customFormat="1">
      <c r="A567" s="16" t="s">
        <v>32</v>
      </c>
      <c r="B567" s="14">
        <v>774</v>
      </c>
      <c r="C567" s="15" t="s">
        <v>26</v>
      </c>
      <c r="D567" s="15" t="s">
        <v>28</v>
      </c>
      <c r="E567" s="84" t="s">
        <v>1072</v>
      </c>
      <c r="F567" s="15" t="s">
        <v>33</v>
      </c>
      <c r="G567" s="70">
        <f>'прил 5,'!G715</f>
        <v>30000</v>
      </c>
      <c r="H567" s="70">
        <v>0</v>
      </c>
      <c r="I567" s="70">
        <v>0</v>
      </c>
      <c r="J567" s="177"/>
      <c r="K567" s="199"/>
      <c r="L567" s="199"/>
      <c r="M567" s="199"/>
      <c r="N567" s="199"/>
      <c r="O567" s="199"/>
      <c r="P567" s="199"/>
      <c r="Q567" s="199"/>
      <c r="R567" s="199"/>
    </row>
    <row r="568" spans="1:18" s="151" customFormat="1" ht="61.5" customHeight="1">
      <c r="A568" s="82" t="s">
        <v>1094</v>
      </c>
      <c r="B568" s="149">
        <v>774</v>
      </c>
      <c r="C568" s="84" t="s">
        <v>26</v>
      </c>
      <c r="D568" s="84" t="s">
        <v>28</v>
      </c>
      <c r="E568" s="84" t="s">
        <v>1089</v>
      </c>
      <c r="F568" s="84"/>
      <c r="G568" s="87">
        <f t="shared" ref="G568:I581" si="154">G569</f>
        <v>55000</v>
      </c>
      <c r="H568" s="87">
        <f t="shared" si="154"/>
        <v>0</v>
      </c>
      <c r="I568" s="87">
        <f t="shared" si="154"/>
        <v>0</v>
      </c>
      <c r="J568" s="177"/>
      <c r="K568" s="199"/>
      <c r="L568" s="199"/>
      <c r="M568" s="199"/>
      <c r="N568" s="199"/>
      <c r="O568" s="199"/>
      <c r="P568" s="199"/>
      <c r="Q568" s="199"/>
      <c r="R568" s="199"/>
    </row>
    <row r="569" spans="1:18" s="3" customFormat="1" ht="25.5">
      <c r="A569" s="82" t="s">
        <v>30</v>
      </c>
      <c r="B569" s="149">
        <v>774</v>
      </c>
      <c r="C569" s="84" t="s">
        <v>26</v>
      </c>
      <c r="D569" s="84" t="s">
        <v>28</v>
      </c>
      <c r="E569" s="84" t="s">
        <v>1089</v>
      </c>
      <c r="F569" s="84" t="s">
        <v>31</v>
      </c>
      <c r="G569" s="87">
        <f t="shared" si="154"/>
        <v>55000</v>
      </c>
      <c r="H569" s="87">
        <f t="shared" si="154"/>
        <v>0</v>
      </c>
      <c r="I569" s="87">
        <f t="shared" si="154"/>
        <v>0</v>
      </c>
      <c r="J569" s="177"/>
      <c r="K569" s="199"/>
      <c r="L569" s="199"/>
      <c r="M569" s="199"/>
      <c r="N569" s="199"/>
      <c r="O569" s="199"/>
      <c r="P569" s="199"/>
      <c r="Q569" s="199"/>
      <c r="R569" s="199"/>
    </row>
    <row r="570" spans="1:18" s="3" customFormat="1">
      <c r="A570" s="82" t="s">
        <v>32</v>
      </c>
      <c r="B570" s="149">
        <v>774</v>
      </c>
      <c r="C570" s="84" t="s">
        <v>26</v>
      </c>
      <c r="D570" s="84" t="s">
        <v>28</v>
      </c>
      <c r="E570" s="84" t="s">
        <v>1089</v>
      </c>
      <c r="F570" s="84" t="s">
        <v>33</v>
      </c>
      <c r="G570" s="87">
        <v>55000</v>
      </c>
      <c r="H570" s="87">
        <v>0</v>
      </c>
      <c r="I570" s="87">
        <v>0</v>
      </c>
      <c r="J570" s="177"/>
      <c r="K570" s="199"/>
      <c r="L570" s="199"/>
      <c r="M570" s="199"/>
      <c r="N570" s="199"/>
      <c r="O570" s="199"/>
      <c r="P570" s="199"/>
      <c r="Q570" s="199"/>
      <c r="R570" s="199"/>
    </row>
    <row r="571" spans="1:18" s="3" customFormat="1" ht="37.5" customHeight="1">
      <c r="A571" s="82" t="s">
        <v>1114</v>
      </c>
      <c r="B571" s="149">
        <v>774</v>
      </c>
      <c r="C571" s="84" t="s">
        <v>26</v>
      </c>
      <c r="D571" s="84" t="s">
        <v>28</v>
      </c>
      <c r="E571" s="84" t="s">
        <v>1090</v>
      </c>
      <c r="F571" s="84"/>
      <c r="G571" s="87">
        <f t="shared" si="154"/>
        <v>157511</v>
      </c>
      <c r="H571" s="87">
        <f t="shared" si="154"/>
        <v>0</v>
      </c>
      <c r="I571" s="87">
        <f t="shared" si="154"/>
        <v>0</v>
      </c>
      <c r="J571" s="177"/>
      <c r="K571" s="199"/>
      <c r="L571" s="199"/>
      <c r="M571" s="199"/>
      <c r="N571" s="199"/>
      <c r="O571" s="199"/>
      <c r="P571" s="199"/>
      <c r="Q571" s="199"/>
      <c r="R571" s="199"/>
    </row>
    <row r="572" spans="1:18" s="3" customFormat="1" ht="25.5">
      <c r="A572" s="82" t="s">
        <v>30</v>
      </c>
      <c r="B572" s="149">
        <v>774</v>
      </c>
      <c r="C572" s="84" t="s">
        <v>26</v>
      </c>
      <c r="D572" s="84" t="s">
        <v>28</v>
      </c>
      <c r="E572" s="84" t="s">
        <v>1090</v>
      </c>
      <c r="F572" s="84" t="s">
        <v>31</v>
      </c>
      <c r="G572" s="87">
        <f t="shared" si="154"/>
        <v>157511</v>
      </c>
      <c r="H572" s="87">
        <f t="shared" si="154"/>
        <v>0</v>
      </c>
      <c r="I572" s="87">
        <f t="shared" si="154"/>
        <v>0</v>
      </c>
      <c r="J572" s="177"/>
      <c r="K572" s="199"/>
      <c r="L572" s="199"/>
      <c r="M572" s="199"/>
      <c r="N572" s="199"/>
      <c r="O572" s="199"/>
      <c r="P572" s="199"/>
      <c r="Q572" s="199"/>
      <c r="R572" s="199"/>
    </row>
    <row r="573" spans="1:18" s="3" customFormat="1">
      <c r="A573" s="82" t="s">
        <v>32</v>
      </c>
      <c r="B573" s="149">
        <v>774</v>
      </c>
      <c r="C573" s="84" t="s">
        <v>26</v>
      </c>
      <c r="D573" s="84" t="s">
        <v>28</v>
      </c>
      <c r="E573" s="84" t="s">
        <v>1090</v>
      </c>
      <c r="F573" s="84" t="s">
        <v>33</v>
      </c>
      <c r="G573" s="87">
        <v>157511</v>
      </c>
      <c r="H573" s="87">
        <v>0</v>
      </c>
      <c r="I573" s="87">
        <v>0</v>
      </c>
      <c r="J573" s="177"/>
      <c r="K573" s="199"/>
      <c r="L573" s="199"/>
      <c r="M573" s="199"/>
      <c r="N573" s="199"/>
      <c r="O573" s="199"/>
      <c r="P573" s="199"/>
      <c r="Q573" s="199"/>
      <c r="R573" s="199"/>
    </row>
    <row r="574" spans="1:18" s="3" customFormat="1" ht="36" customHeight="1">
      <c r="A574" s="82" t="s">
        <v>1095</v>
      </c>
      <c r="B574" s="149">
        <v>774</v>
      </c>
      <c r="C574" s="84" t="s">
        <v>26</v>
      </c>
      <c r="D574" s="84" t="s">
        <v>28</v>
      </c>
      <c r="E574" s="84" t="s">
        <v>1091</v>
      </c>
      <c r="F574" s="84"/>
      <c r="G574" s="87">
        <f t="shared" si="154"/>
        <v>102969.74</v>
      </c>
      <c r="H574" s="87">
        <f t="shared" si="154"/>
        <v>0</v>
      </c>
      <c r="I574" s="87">
        <f t="shared" si="154"/>
        <v>0</v>
      </c>
      <c r="J574" s="177"/>
      <c r="K574" s="199"/>
      <c r="L574" s="199"/>
      <c r="M574" s="199"/>
      <c r="N574" s="199"/>
      <c r="O574" s="199"/>
      <c r="P574" s="199"/>
      <c r="Q574" s="199"/>
      <c r="R574" s="199"/>
    </row>
    <row r="575" spans="1:18" s="3" customFormat="1" ht="25.5">
      <c r="A575" s="82" t="s">
        <v>30</v>
      </c>
      <c r="B575" s="149">
        <v>774</v>
      </c>
      <c r="C575" s="84" t="s">
        <v>26</v>
      </c>
      <c r="D575" s="84" t="s">
        <v>28</v>
      </c>
      <c r="E575" s="84" t="s">
        <v>1091</v>
      </c>
      <c r="F575" s="84" t="s">
        <v>31</v>
      </c>
      <c r="G575" s="87">
        <f t="shared" si="154"/>
        <v>102969.74</v>
      </c>
      <c r="H575" s="87">
        <f t="shared" si="154"/>
        <v>0</v>
      </c>
      <c r="I575" s="87">
        <f t="shared" si="154"/>
        <v>0</v>
      </c>
      <c r="J575" s="177"/>
      <c r="K575" s="199"/>
      <c r="L575" s="199"/>
      <c r="M575" s="199"/>
      <c r="N575" s="199"/>
      <c r="O575" s="199"/>
      <c r="P575" s="199"/>
      <c r="Q575" s="199"/>
      <c r="R575" s="199"/>
    </row>
    <row r="576" spans="1:18" s="3" customFormat="1">
      <c r="A576" s="82" t="s">
        <v>32</v>
      </c>
      <c r="B576" s="149">
        <v>774</v>
      </c>
      <c r="C576" s="84" t="s">
        <v>26</v>
      </c>
      <c r="D576" s="84" t="s">
        <v>28</v>
      </c>
      <c r="E576" s="84" t="s">
        <v>1091</v>
      </c>
      <c r="F576" s="84" t="s">
        <v>33</v>
      </c>
      <c r="G576" s="87">
        <v>102969.74</v>
      </c>
      <c r="H576" s="87">
        <v>0</v>
      </c>
      <c r="I576" s="87">
        <v>0</v>
      </c>
      <c r="J576" s="177"/>
      <c r="K576" s="199"/>
      <c r="L576" s="199"/>
      <c r="M576" s="199"/>
      <c r="N576" s="199"/>
      <c r="O576" s="199"/>
      <c r="P576" s="199"/>
      <c r="Q576" s="199"/>
      <c r="R576" s="199"/>
    </row>
    <row r="577" spans="1:20" s="3" customFormat="1" ht="49.5" customHeight="1">
      <c r="A577" s="82" t="s">
        <v>1097</v>
      </c>
      <c r="B577" s="149">
        <v>774</v>
      </c>
      <c r="C577" s="84" t="s">
        <v>26</v>
      </c>
      <c r="D577" s="84" t="s">
        <v>28</v>
      </c>
      <c r="E577" s="84" t="s">
        <v>1092</v>
      </c>
      <c r="F577" s="84"/>
      <c r="G577" s="87">
        <f t="shared" si="154"/>
        <v>181777.27</v>
      </c>
      <c r="H577" s="87">
        <f t="shared" si="154"/>
        <v>0</v>
      </c>
      <c r="I577" s="87">
        <f t="shared" si="154"/>
        <v>0</v>
      </c>
      <c r="J577" s="177"/>
      <c r="K577" s="199"/>
      <c r="L577" s="199"/>
      <c r="M577" s="199"/>
      <c r="N577" s="199"/>
      <c r="O577" s="199"/>
      <c r="P577" s="199"/>
      <c r="Q577" s="199"/>
      <c r="R577" s="199"/>
    </row>
    <row r="578" spans="1:20" s="3" customFormat="1" ht="25.5">
      <c r="A578" s="82" t="s">
        <v>30</v>
      </c>
      <c r="B578" s="149">
        <v>774</v>
      </c>
      <c r="C578" s="84" t="s">
        <v>26</v>
      </c>
      <c r="D578" s="84" t="s">
        <v>28</v>
      </c>
      <c r="E578" s="84" t="s">
        <v>1092</v>
      </c>
      <c r="F578" s="84" t="s">
        <v>31</v>
      </c>
      <c r="G578" s="87">
        <f t="shared" si="154"/>
        <v>181777.27</v>
      </c>
      <c r="H578" s="87">
        <f t="shared" si="154"/>
        <v>0</v>
      </c>
      <c r="I578" s="87">
        <f t="shared" si="154"/>
        <v>0</v>
      </c>
      <c r="J578" s="177"/>
      <c r="K578" s="199"/>
      <c r="L578" s="199"/>
      <c r="M578" s="199"/>
      <c r="N578" s="199"/>
      <c r="O578" s="199"/>
      <c r="P578" s="199"/>
      <c r="Q578" s="199"/>
      <c r="R578" s="199"/>
    </row>
    <row r="579" spans="1:20" s="3" customFormat="1">
      <c r="A579" s="82" t="s">
        <v>32</v>
      </c>
      <c r="B579" s="149">
        <v>774</v>
      </c>
      <c r="C579" s="84" t="s">
        <v>26</v>
      </c>
      <c r="D579" s="84" t="s">
        <v>28</v>
      </c>
      <c r="E579" s="84" t="s">
        <v>1092</v>
      </c>
      <c r="F579" s="84" t="s">
        <v>33</v>
      </c>
      <c r="G579" s="87">
        <v>181777.27</v>
      </c>
      <c r="H579" s="87">
        <v>0</v>
      </c>
      <c r="I579" s="87">
        <v>0</v>
      </c>
      <c r="J579" s="177"/>
      <c r="K579" s="199"/>
      <c r="L579" s="199"/>
      <c r="M579" s="199"/>
      <c r="N579" s="199"/>
      <c r="O579" s="199"/>
      <c r="P579" s="199"/>
      <c r="Q579" s="199"/>
      <c r="R579" s="199"/>
    </row>
    <row r="580" spans="1:20" s="3" customFormat="1" ht="39.75" customHeight="1">
      <c r="A580" s="82" t="s">
        <v>1096</v>
      </c>
      <c r="B580" s="149">
        <v>774</v>
      </c>
      <c r="C580" s="84" t="s">
        <v>26</v>
      </c>
      <c r="D580" s="84" t="s">
        <v>28</v>
      </c>
      <c r="E580" s="84" t="s">
        <v>1093</v>
      </c>
      <c r="F580" s="84"/>
      <c r="G580" s="87">
        <f t="shared" si="154"/>
        <v>478000</v>
      </c>
      <c r="H580" s="87">
        <f t="shared" si="154"/>
        <v>0</v>
      </c>
      <c r="I580" s="87">
        <f t="shared" si="154"/>
        <v>0</v>
      </c>
      <c r="J580" s="177"/>
      <c r="K580" s="199"/>
      <c r="L580" s="199"/>
      <c r="M580" s="199"/>
      <c r="N580" s="199"/>
      <c r="O580" s="199"/>
      <c r="P580" s="199"/>
      <c r="Q580" s="199"/>
      <c r="R580" s="199"/>
    </row>
    <row r="581" spans="1:20" s="3" customFormat="1" ht="25.5">
      <c r="A581" s="82" t="s">
        <v>30</v>
      </c>
      <c r="B581" s="149">
        <v>774</v>
      </c>
      <c r="C581" s="84" t="s">
        <v>26</v>
      </c>
      <c r="D581" s="84" t="s">
        <v>28</v>
      </c>
      <c r="E581" s="84" t="s">
        <v>1093</v>
      </c>
      <c r="F581" s="84" t="s">
        <v>31</v>
      </c>
      <c r="G581" s="87">
        <f t="shared" si="154"/>
        <v>478000</v>
      </c>
      <c r="H581" s="87">
        <f t="shared" si="154"/>
        <v>0</v>
      </c>
      <c r="I581" s="87">
        <f t="shared" si="154"/>
        <v>0</v>
      </c>
      <c r="J581" s="177"/>
      <c r="K581" s="199"/>
      <c r="L581" s="199"/>
      <c r="M581" s="199"/>
      <c r="N581" s="199"/>
      <c r="O581" s="199"/>
      <c r="P581" s="199"/>
      <c r="Q581" s="199"/>
      <c r="R581" s="199"/>
    </row>
    <row r="582" spans="1:20" s="3" customFormat="1">
      <c r="A582" s="82" t="s">
        <v>32</v>
      </c>
      <c r="B582" s="149">
        <v>774</v>
      </c>
      <c r="C582" s="84" t="s">
        <v>26</v>
      </c>
      <c r="D582" s="84" t="s">
        <v>28</v>
      </c>
      <c r="E582" s="84" t="s">
        <v>1093</v>
      </c>
      <c r="F582" s="84" t="s">
        <v>33</v>
      </c>
      <c r="G582" s="87">
        <v>478000</v>
      </c>
      <c r="H582" s="87">
        <v>0</v>
      </c>
      <c r="I582" s="87">
        <v>0</v>
      </c>
      <c r="J582" s="177"/>
      <c r="K582" s="199"/>
      <c r="L582" s="199"/>
      <c r="M582" s="199"/>
      <c r="N582" s="199"/>
      <c r="O582" s="199"/>
      <c r="P582" s="199"/>
      <c r="Q582" s="199"/>
      <c r="R582" s="199"/>
    </row>
    <row r="583" spans="1:20" s="3" customFormat="1" ht="38.25" customHeight="1">
      <c r="A583" s="82" t="s">
        <v>1109</v>
      </c>
      <c r="B583" s="149">
        <v>774</v>
      </c>
      <c r="C583" s="84" t="s">
        <v>26</v>
      </c>
      <c r="D583" s="84" t="s">
        <v>28</v>
      </c>
      <c r="E583" s="84" t="s">
        <v>1105</v>
      </c>
      <c r="F583" s="84"/>
      <c r="G583" s="87">
        <f t="shared" ref="G583:I584" si="155">G584</f>
        <v>550308.69999999995</v>
      </c>
      <c r="H583" s="87">
        <f t="shared" si="155"/>
        <v>0</v>
      </c>
      <c r="I583" s="87">
        <f t="shared" si="155"/>
        <v>0</v>
      </c>
      <c r="J583" s="177"/>
      <c r="K583" s="199"/>
      <c r="L583" s="199"/>
      <c r="M583" s="199"/>
      <c r="N583" s="199"/>
      <c r="O583" s="199"/>
      <c r="P583" s="199"/>
      <c r="Q583" s="199"/>
      <c r="R583" s="199"/>
    </row>
    <row r="584" spans="1:20" s="3" customFormat="1" ht="25.5">
      <c r="A584" s="82" t="s">
        <v>30</v>
      </c>
      <c r="B584" s="149">
        <v>774</v>
      </c>
      <c r="C584" s="84" t="s">
        <v>26</v>
      </c>
      <c r="D584" s="84" t="s">
        <v>28</v>
      </c>
      <c r="E584" s="84" t="s">
        <v>1105</v>
      </c>
      <c r="F584" s="84" t="s">
        <v>31</v>
      </c>
      <c r="G584" s="87">
        <f t="shared" si="155"/>
        <v>550308.69999999995</v>
      </c>
      <c r="H584" s="87">
        <f t="shared" si="155"/>
        <v>0</v>
      </c>
      <c r="I584" s="87">
        <f t="shared" si="155"/>
        <v>0</v>
      </c>
      <c r="J584" s="177"/>
      <c r="K584" s="199"/>
      <c r="L584" s="199"/>
      <c r="M584" s="199"/>
      <c r="N584" s="199"/>
      <c r="O584" s="199"/>
      <c r="P584" s="199"/>
      <c r="Q584" s="199"/>
      <c r="R584" s="199"/>
    </row>
    <row r="585" spans="1:20" s="3" customFormat="1">
      <c r="A585" s="82" t="s">
        <v>32</v>
      </c>
      <c r="B585" s="149">
        <v>774</v>
      </c>
      <c r="C585" s="84" t="s">
        <v>26</v>
      </c>
      <c r="D585" s="84" t="s">
        <v>28</v>
      </c>
      <c r="E585" s="84" t="s">
        <v>1105</v>
      </c>
      <c r="F585" s="84" t="s">
        <v>33</v>
      </c>
      <c r="G585" s="87">
        <f>'прил 5,'!G703</f>
        <v>550308.69999999995</v>
      </c>
      <c r="H585" s="87">
        <v>0</v>
      </c>
      <c r="I585" s="87">
        <v>0</v>
      </c>
      <c r="J585" s="177"/>
      <c r="K585" s="199"/>
      <c r="L585" s="199"/>
      <c r="M585" s="199"/>
      <c r="N585" s="199"/>
      <c r="O585" s="199"/>
      <c r="P585" s="199"/>
      <c r="Q585" s="199"/>
      <c r="R585" s="199"/>
    </row>
    <row r="586" spans="1:20" ht="38.25">
      <c r="A586" s="16" t="s">
        <v>414</v>
      </c>
      <c r="B586" s="14">
        <v>774</v>
      </c>
      <c r="C586" s="15" t="s">
        <v>26</v>
      </c>
      <c r="D586" s="15" t="s">
        <v>28</v>
      </c>
      <c r="E586" s="84" t="s">
        <v>829</v>
      </c>
      <c r="F586" s="84"/>
      <c r="G586" s="85">
        <f t="shared" ref="G586:I587" si="156">G587</f>
        <v>0</v>
      </c>
      <c r="H586" s="85">
        <f t="shared" si="156"/>
        <v>1000000</v>
      </c>
      <c r="I586" s="85">
        <f t="shared" si="156"/>
        <v>1000000</v>
      </c>
    </row>
    <row r="587" spans="1:20" ht="25.5">
      <c r="A587" s="16" t="s">
        <v>30</v>
      </c>
      <c r="B587" s="14">
        <v>774</v>
      </c>
      <c r="C587" s="15" t="s">
        <v>26</v>
      </c>
      <c r="D587" s="15" t="s">
        <v>28</v>
      </c>
      <c r="E587" s="84" t="s">
        <v>829</v>
      </c>
      <c r="F587" s="84" t="s">
        <v>31</v>
      </c>
      <c r="G587" s="85">
        <f t="shared" si="156"/>
        <v>0</v>
      </c>
      <c r="H587" s="85">
        <f t="shared" si="156"/>
        <v>1000000</v>
      </c>
      <c r="I587" s="85">
        <f t="shared" si="156"/>
        <v>1000000</v>
      </c>
    </row>
    <row r="588" spans="1:20">
      <c r="A588" s="16" t="s">
        <v>32</v>
      </c>
      <c r="B588" s="14">
        <v>774</v>
      </c>
      <c r="C588" s="15" t="s">
        <v>26</v>
      </c>
      <c r="D588" s="15" t="s">
        <v>28</v>
      </c>
      <c r="E588" s="84" t="s">
        <v>829</v>
      </c>
      <c r="F588" s="84" t="s">
        <v>33</v>
      </c>
      <c r="G588" s="85">
        <f>'прил 5,'!G718</f>
        <v>0</v>
      </c>
      <c r="H588" s="85">
        <f>'прил 5,'!H718</f>
        <v>1000000</v>
      </c>
      <c r="I588" s="85">
        <f>'прил 5,'!I718</f>
        <v>1000000</v>
      </c>
    </row>
    <row r="589" spans="1:20">
      <c r="A589" s="16" t="s">
        <v>735</v>
      </c>
      <c r="B589" s="14">
        <v>774</v>
      </c>
      <c r="C589" s="15" t="s">
        <v>26</v>
      </c>
      <c r="D589" s="15" t="s">
        <v>28</v>
      </c>
      <c r="E589" s="84" t="s">
        <v>942</v>
      </c>
      <c r="F589" s="84"/>
      <c r="G589" s="85">
        <f>G590</f>
        <v>149599646.68000001</v>
      </c>
      <c r="H589" s="8">
        <f t="shared" ref="G589:I590" si="157">H590</f>
        <v>30887111.109999999</v>
      </c>
      <c r="I589" s="8">
        <f t="shared" si="157"/>
        <v>0</v>
      </c>
      <c r="J589" s="1"/>
    </row>
    <row r="590" spans="1:20" ht="25.5">
      <c r="A590" s="16" t="s">
        <v>30</v>
      </c>
      <c r="B590" s="14">
        <v>774</v>
      </c>
      <c r="C590" s="15" t="s">
        <v>26</v>
      </c>
      <c r="D590" s="15" t="s">
        <v>28</v>
      </c>
      <c r="E590" s="84" t="s">
        <v>942</v>
      </c>
      <c r="F590" s="84" t="s">
        <v>31</v>
      </c>
      <c r="G590" s="85">
        <f t="shared" si="157"/>
        <v>149599646.68000001</v>
      </c>
      <c r="H590" s="8">
        <f t="shared" si="157"/>
        <v>30887111.109999999</v>
      </c>
      <c r="I590" s="8">
        <f t="shared" si="157"/>
        <v>0</v>
      </c>
      <c r="J590" s="1"/>
    </row>
    <row r="591" spans="1:20">
      <c r="A591" s="16" t="s">
        <v>32</v>
      </c>
      <c r="B591" s="14">
        <v>774</v>
      </c>
      <c r="C591" s="15" t="s">
        <v>26</v>
      </c>
      <c r="D591" s="15" t="s">
        <v>28</v>
      </c>
      <c r="E591" s="84" t="s">
        <v>942</v>
      </c>
      <c r="F591" s="84" t="s">
        <v>33</v>
      </c>
      <c r="G591" s="85">
        <f>'прил 5,'!G721</f>
        <v>149599646.68000001</v>
      </c>
      <c r="H591" s="8">
        <f>'прил 5,'!H721</f>
        <v>30887111.109999999</v>
      </c>
      <c r="I591" s="8">
        <v>0</v>
      </c>
      <c r="J591" s="1"/>
    </row>
    <row r="592" spans="1:20" s="3" customFormat="1" hidden="1">
      <c r="A592" s="16" t="s">
        <v>430</v>
      </c>
      <c r="B592" s="14">
        <v>774</v>
      </c>
      <c r="C592" s="15" t="s">
        <v>26</v>
      </c>
      <c r="D592" s="15" t="s">
        <v>19</v>
      </c>
      <c r="E592" s="84" t="s">
        <v>429</v>
      </c>
      <c r="F592" s="84"/>
      <c r="G592" s="87">
        <f>G593</f>
        <v>0</v>
      </c>
      <c r="H592" s="70">
        <f>H593</f>
        <v>0</v>
      </c>
      <c r="I592" s="70">
        <f>I593</f>
        <v>0</v>
      </c>
      <c r="J592" s="111"/>
      <c r="P592" s="111"/>
      <c r="Q592" s="111"/>
      <c r="R592" s="111"/>
      <c r="S592" s="111"/>
      <c r="T592" s="111"/>
    </row>
    <row r="593" spans="1:20" s="3" customFormat="1" hidden="1">
      <c r="A593" s="16" t="s">
        <v>32</v>
      </c>
      <c r="B593" s="14">
        <v>774</v>
      </c>
      <c r="C593" s="15" t="s">
        <v>26</v>
      </c>
      <c r="D593" s="15" t="s">
        <v>19</v>
      </c>
      <c r="E593" s="84" t="s">
        <v>429</v>
      </c>
      <c r="F593" s="84" t="s">
        <v>33</v>
      </c>
      <c r="G593" s="87"/>
      <c r="H593" s="70">
        <f>'прил 5,'!H496</f>
        <v>0</v>
      </c>
      <c r="I593" s="70">
        <f>'прил 5,'!I496</f>
        <v>0</v>
      </c>
      <c r="J593" s="111"/>
      <c r="P593" s="111"/>
      <c r="Q593" s="111"/>
      <c r="R593" s="111"/>
      <c r="S593" s="111"/>
      <c r="T593" s="111"/>
    </row>
    <row r="594" spans="1:20" ht="25.5" hidden="1" customHeight="1">
      <c r="A594" s="16" t="s">
        <v>777</v>
      </c>
      <c r="B594" s="14">
        <v>774</v>
      </c>
      <c r="C594" s="15" t="s">
        <v>26</v>
      </c>
      <c r="D594" s="15" t="s">
        <v>19</v>
      </c>
      <c r="E594" s="15" t="s">
        <v>776</v>
      </c>
      <c r="F594" s="14"/>
      <c r="G594" s="70">
        <f t="shared" ref="G594:I595" si="158">G595</f>
        <v>0</v>
      </c>
      <c r="H594" s="70">
        <f t="shared" si="158"/>
        <v>0</v>
      </c>
      <c r="I594" s="70">
        <f t="shared" si="158"/>
        <v>0</v>
      </c>
      <c r="J594" s="1"/>
    </row>
    <row r="595" spans="1:20" ht="25.5" hidden="1" customHeight="1">
      <c r="A595" s="16" t="s">
        <v>30</v>
      </c>
      <c r="B595" s="14">
        <v>774</v>
      </c>
      <c r="C595" s="15" t="s">
        <v>26</v>
      </c>
      <c r="D595" s="15" t="s">
        <v>19</v>
      </c>
      <c r="E595" s="15" t="s">
        <v>776</v>
      </c>
      <c r="F595" s="15" t="s">
        <v>31</v>
      </c>
      <c r="G595" s="70">
        <f t="shared" si="158"/>
        <v>0</v>
      </c>
      <c r="H595" s="70">
        <f t="shared" si="158"/>
        <v>0</v>
      </c>
      <c r="I595" s="70">
        <f t="shared" si="158"/>
        <v>0</v>
      </c>
      <c r="J595" s="1"/>
    </row>
    <row r="596" spans="1:20" ht="25.5" hidden="1" customHeight="1">
      <c r="A596" s="16" t="s">
        <v>32</v>
      </c>
      <c r="B596" s="14">
        <v>774</v>
      </c>
      <c r="C596" s="15" t="s">
        <v>26</v>
      </c>
      <c r="D596" s="15" t="s">
        <v>19</v>
      </c>
      <c r="E596" s="15" t="s">
        <v>776</v>
      </c>
      <c r="F596" s="15" t="s">
        <v>33</v>
      </c>
      <c r="G596" s="70"/>
      <c r="H596" s="70"/>
      <c r="I596" s="70"/>
      <c r="J596" s="1"/>
    </row>
    <row r="597" spans="1:20" s="3" customFormat="1" ht="38.25" hidden="1" customHeight="1">
      <c r="A597" s="16" t="s">
        <v>731</v>
      </c>
      <c r="B597" s="14">
        <v>774</v>
      </c>
      <c r="C597" s="15" t="s">
        <v>26</v>
      </c>
      <c r="D597" s="15" t="s">
        <v>28</v>
      </c>
      <c r="E597" s="84" t="s">
        <v>730</v>
      </c>
      <c r="F597" s="84"/>
      <c r="G597" s="87">
        <f t="shared" ref="G597:I598" si="159">G598</f>
        <v>0</v>
      </c>
      <c r="H597" s="70">
        <f t="shared" si="159"/>
        <v>0</v>
      </c>
      <c r="I597" s="70">
        <f t="shared" si="159"/>
        <v>0</v>
      </c>
      <c r="P597" s="111"/>
      <c r="Q597" s="111"/>
      <c r="R597" s="111"/>
      <c r="S597" s="111"/>
      <c r="T597" s="111"/>
    </row>
    <row r="598" spans="1:20" s="3" customFormat="1" ht="25.5" hidden="1">
      <c r="A598" s="16" t="s">
        <v>30</v>
      </c>
      <c r="B598" s="14">
        <v>774</v>
      </c>
      <c r="C598" s="15" t="s">
        <v>26</v>
      </c>
      <c r="D598" s="15" t="s">
        <v>28</v>
      </c>
      <c r="E598" s="84" t="s">
        <v>730</v>
      </c>
      <c r="F598" s="84" t="s">
        <v>31</v>
      </c>
      <c r="G598" s="87">
        <f t="shared" si="159"/>
        <v>0</v>
      </c>
      <c r="H598" s="70">
        <f t="shared" si="159"/>
        <v>0</v>
      </c>
      <c r="I598" s="70">
        <f t="shared" si="159"/>
        <v>0</v>
      </c>
      <c r="P598" s="111"/>
      <c r="Q598" s="111"/>
      <c r="R598" s="111"/>
      <c r="S598" s="111"/>
      <c r="T598" s="111"/>
    </row>
    <row r="599" spans="1:20" s="3" customFormat="1" hidden="1">
      <c r="A599" s="16" t="s">
        <v>32</v>
      </c>
      <c r="B599" s="14">
        <v>774</v>
      </c>
      <c r="C599" s="15" t="s">
        <v>26</v>
      </c>
      <c r="D599" s="15" t="s">
        <v>28</v>
      </c>
      <c r="E599" s="84" t="s">
        <v>730</v>
      </c>
      <c r="F599" s="84" t="s">
        <v>33</v>
      </c>
      <c r="G599" s="87">
        <f>'прил 5,'!G673</f>
        <v>0</v>
      </c>
      <c r="H599" s="70">
        <v>0</v>
      </c>
      <c r="I599" s="70">
        <v>0</v>
      </c>
      <c r="P599" s="111"/>
      <c r="Q599" s="111"/>
      <c r="R599" s="111"/>
      <c r="S599" s="111"/>
      <c r="T599" s="111"/>
    </row>
    <row r="600" spans="1:20" s="3" customFormat="1" ht="33.75" hidden="1" customHeight="1">
      <c r="A600" s="16" t="s">
        <v>732</v>
      </c>
      <c r="B600" s="14">
        <v>774</v>
      </c>
      <c r="C600" s="15" t="s">
        <v>26</v>
      </c>
      <c r="D600" s="15" t="s">
        <v>19</v>
      </c>
      <c r="E600" s="15" t="s">
        <v>734</v>
      </c>
      <c r="F600" s="15"/>
      <c r="G600" s="70">
        <f>G601</f>
        <v>0</v>
      </c>
      <c r="H600" s="70">
        <f>H602</f>
        <v>0</v>
      </c>
      <c r="I600" s="70">
        <f>I602</f>
        <v>0</v>
      </c>
      <c r="P600" s="111"/>
      <c r="Q600" s="111"/>
      <c r="R600" s="111"/>
      <c r="S600" s="111"/>
      <c r="T600" s="111"/>
    </row>
    <row r="601" spans="1:20" s="3" customFormat="1" ht="33.75" hidden="1" customHeight="1">
      <c r="A601" s="16" t="s">
        <v>30</v>
      </c>
      <c r="B601" s="14"/>
      <c r="C601" s="15"/>
      <c r="D601" s="15"/>
      <c r="E601" s="15" t="s">
        <v>734</v>
      </c>
      <c r="F601" s="15" t="s">
        <v>31</v>
      </c>
      <c r="G601" s="70">
        <f>G602</f>
        <v>0</v>
      </c>
      <c r="H601" s="70"/>
      <c r="I601" s="70"/>
      <c r="P601" s="111"/>
      <c r="Q601" s="111"/>
      <c r="R601" s="111"/>
      <c r="S601" s="111"/>
      <c r="T601" s="111"/>
    </row>
    <row r="602" spans="1:20" s="3" customFormat="1" hidden="1">
      <c r="A602" s="16" t="s">
        <v>32</v>
      </c>
      <c r="B602" s="14">
        <v>774</v>
      </c>
      <c r="C602" s="15" t="s">
        <v>26</v>
      </c>
      <c r="D602" s="15" t="s">
        <v>19</v>
      </c>
      <c r="E602" s="15" t="s">
        <v>734</v>
      </c>
      <c r="F602" s="15" t="s">
        <v>33</v>
      </c>
      <c r="G602" s="70">
        <f>'прил 5,'!G541</f>
        <v>0</v>
      </c>
      <c r="H602" s="70">
        <v>0</v>
      </c>
      <c r="I602" s="70">
        <v>0</v>
      </c>
      <c r="P602" s="111"/>
      <c r="Q602" s="111"/>
      <c r="R602" s="111"/>
      <c r="S602" s="111"/>
      <c r="T602" s="111"/>
    </row>
    <row r="603" spans="1:20" s="18" customFormat="1" ht="21.75" customHeight="1">
      <c r="A603" s="13" t="s">
        <v>119</v>
      </c>
      <c r="B603" s="15" t="s">
        <v>51</v>
      </c>
      <c r="C603" s="15" t="s">
        <v>26</v>
      </c>
      <c r="D603" s="15" t="s">
        <v>26</v>
      </c>
      <c r="E603" s="15" t="s">
        <v>190</v>
      </c>
      <c r="F603" s="15"/>
      <c r="G603" s="70">
        <f>G606+G626+G629+G630+G607+G610+G633+G638+G643+G648+G651+G613</f>
        <v>5100412.5599999996</v>
      </c>
      <c r="H603" s="70">
        <f>H606+H626+H629+H630+H607+H610+H633+H638+H643+H648+H651</f>
        <v>4869412.54</v>
      </c>
      <c r="I603" s="70">
        <f>I606+I626+I629+I630+I607+I610+I633+I638+I643+I648+I651</f>
        <v>4869412.5599999996</v>
      </c>
      <c r="J603" s="17"/>
      <c r="P603" s="17"/>
      <c r="Q603" s="17"/>
      <c r="R603" s="17"/>
      <c r="S603" s="17"/>
      <c r="T603" s="17"/>
    </row>
    <row r="604" spans="1:20" s="18" customFormat="1" ht="45" customHeight="1">
      <c r="A604" s="16" t="s">
        <v>127</v>
      </c>
      <c r="B604" s="15" t="s">
        <v>94</v>
      </c>
      <c r="C604" s="15" t="s">
        <v>26</v>
      </c>
      <c r="D604" s="15" t="s">
        <v>26</v>
      </c>
      <c r="E604" s="15" t="s">
        <v>191</v>
      </c>
      <c r="F604" s="15"/>
      <c r="G604" s="70">
        <f t="shared" ref="G604:I605" si="160">G605</f>
        <v>4369412.5599999996</v>
      </c>
      <c r="H604" s="70">
        <f t="shared" si="160"/>
        <v>4369412.54</v>
      </c>
      <c r="I604" s="70">
        <f t="shared" si="160"/>
        <v>4369412.5599999996</v>
      </c>
      <c r="J604" s="17"/>
      <c r="P604" s="17"/>
      <c r="Q604" s="17"/>
      <c r="R604" s="17"/>
      <c r="S604" s="17"/>
      <c r="T604" s="17"/>
    </row>
    <row r="605" spans="1:20" s="18" customFormat="1" ht="33" customHeight="1">
      <c r="A605" s="16" t="s">
        <v>30</v>
      </c>
      <c r="B605" s="15" t="s">
        <v>94</v>
      </c>
      <c r="C605" s="15" t="s">
        <v>26</v>
      </c>
      <c r="D605" s="15" t="s">
        <v>26</v>
      </c>
      <c r="E605" s="15" t="s">
        <v>191</v>
      </c>
      <c r="F605" s="15" t="s">
        <v>31</v>
      </c>
      <c r="G605" s="70">
        <f t="shared" si="160"/>
        <v>4369412.5599999996</v>
      </c>
      <c r="H605" s="70">
        <f t="shared" si="160"/>
        <v>4369412.54</v>
      </c>
      <c r="I605" s="70">
        <f t="shared" si="160"/>
        <v>4369412.5599999996</v>
      </c>
      <c r="J605" s="17"/>
      <c r="P605" s="17"/>
      <c r="Q605" s="17"/>
      <c r="R605" s="17"/>
      <c r="S605" s="17"/>
      <c r="T605" s="17"/>
    </row>
    <row r="606" spans="1:20" s="18" customFormat="1">
      <c r="A606" s="16" t="s">
        <v>32</v>
      </c>
      <c r="B606" s="15" t="s">
        <v>94</v>
      </c>
      <c r="C606" s="15" t="s">
        <v>26</v>
      </c>
      <c r="D606" s="15" t="s">
        <v>26</v>
      </c>
      <c r="E606" s="15" t="s">
        <v>191</v>
      </c>
      <c r="F606" s="15" t="s">
        <v>33</v>
      </c>
      <c r="G606" s="70">
        <f>'прил 5,'!G913+'прил 5,'!G116</f>
        <v>4369412.5599999996</v>
      </c>
      <c r="H606" s="70">
        <f>'прил 5,'!H913+'прил 5,'!H116</f>
        <v>4369412.54</v>
      </c>
      <c r="I606" s="70">
        <f>'прил 5,'!I913+'прил 5,'!I116</f>
        <v>4369412.5599999996</v>
      </c>
      <c r="J606" s="17"/>
      <c r="P606" s="17"/>
      <c r="Q606" s="17"/>
      <c r="R606" s="17"/>
      <c r="S606" s="17"/>
      <c r="T606" s="17"/>
    </row>
    <row r="607" spans="1:20" s="18" customFormat="1" ht="25.5" hidden="1">
      <c r="A607" s="16" t="s">
        <v>654</v>
      </c>
      <c r="B607" s="15" t="s">
        <v>94</v>
      </c>
      <c r="C607" s="15" t="s">
        <v>26</v>
      </c>
      <c r="D607" s="15" t="s">
        <v>26</v>
      </c>
      <c r="E607" s="15" t="s">
        <v>653</v>
      </c>
      <c r="F607" s="15"/>
      <c r="G607" s="70">
        <f>G608</f>
        <v>0</v>
      </c>
      <c r="H607" s="70">
        <f>H608</f>
        <v>0</v>
      </c>
      <c r="I607" s="70">
        <f>I608</f>
        <v>0</v>
      </c>
      <c r="P607" s="17"/>
      <c r="Q607" s="17"/>
      <c r="R607" s="17"/>
      <c r="S607" s="17"/>
      <c r="T607" s="17"/>
    </row>
    <row r="608" spans="1:20" s="18" customFormat="1" ht="25.5" hidden="1">
      <c r="A608" s="16" t="s">
        <v>30</v>
      </c>
      <c r="B608" s="15" t="s">
        <v>94</v>
      </c>
      <c r="C608" s="15" t="s">
        <v>26</v>
      </c>
      <c r="D608" s="15" t="s">
        <v>26</v>
      </c>
      <c r="E608" s="15" t="s">
        <v>653</v>
      </c>
      <c r="F608" s="15" t="s">
        <v>31</v>
      </c>
      <c r="G608" s="70">
        <f>G609</f>
        <v>0</v>
      </c>
      <c r="H608" s="70"/>
      <c r="I608" s="70"/>
      <c r="P608" s="17"/>
      <c r="Q608" s="17"/>
      <c r="R608" s="17"/>
      <c r="S608" s="17"/>
      <c r="T608" s="17"/>
    </row>
    <row r="609" spans="1:20" s="18" customFormat="1" hidden="1">
      <c r="A609" s="16" t="s">
        <v>32</v>
      </c>
      <c r="B609" s="15" t="s">
        <v>94</v>
      </c>
      <c r="C609" s="15" t="s">
        <v>26</v>
      </c>
      <c r="D609" s="15" t="s">
        <v>26</v>
      </c>
      <c r="E609" s="15" t="s">
        <v>653</v>
      </c>
      <c r="F609" s="15" t="s">
        <v>33</v>
      </c>
      <c r="G609" s="70">
        <f>'прил 5,'!G919</f>
        <v>0</v>
      </c>
      <c r="H609" s="70">
        <f>H610</f>
        <v>0</v>
      </c>
      <c r="I609" s="70">
        <f>I610</f>
        <v>0</v>
      </c>
      <c r="P609" s="17"/>
      <c r="Q609" s="17"/>
      <c r="R609" s="17"/>
      <c r="S609" s="17"/>
      <c r="T609" s="17"/>
    </row>
    <row r="610" spans="1:20" s="3" customFormat="1" ht="25.5" hidden="1">
      <c r="A610" s="16" t="s">
        <v>299</v>
      </c>
      <c r="B610" s="14">
        <v>774</v>
      </c>
      <c r="C610" s="15" t="s">
        <v>26</v>
      </c>
      <c r="D610" s="15" t="s">
        <v>26</v>
      </c>
      <c r="E610" s="15" t="s">
        <v>586</v>
      </c>
      <c r="F610" s="15"/>
      <c r="G610" s="70">
        <f t="shared" ref="G610:I611" si="161">G611</f>
        <v>0</v>
      </c>
      <c r="H610" s="70">
        <f t="shared" si="161"/>
        <v>0</v>
      </c>
      <c r="I610" s="70">
        <f t="shared" si="161"/>
        <v>0</v>
      </c>
      <c r="J610" s="177"/>
      <c r="K610" s="199"/>
      <c r="L610" s="199"/>
      <c r="M610" s="199"/>
      <c r="N610" s="199"/>
      <c r="O610" s="199"/>
      <c r="P610" s="199"/>
      <c r="Q610" s="199"/>
      <c r="R610" s="199"/>
    </row>
    <row r="611" spans="1:20" s="3" customFormat="1" ht="25.5" hidden="1">
      <c r="A611" s="16" t="s">
        <v>30</v>
      </c>
      <c r="B611" s="14">
        <v>774</v>
      </c>
      <c r="C611" s="15" t="s">
        <v>26</v>
      </c>
      <c r="D611" s="15" t="s">
        <v>26</v>
      </c>
      <c r="E611" s="15" t="s">
        <v>586</v>
      </c>
      <c r="F611" s="15" t="s">
        <v>31</v>
      </c>
      <c r="G611" s="70">
        <f t="shared" si="161"/>
        <v>0</v>
      </c>
      <c r="H611" s="70">
        <f t="shared" si="161"/>
        <v>0</v>
      </c>
      <c r="I611" s="70">
        <f t="shared" si="161"/>
        <v>0</v>
      </c>
      <c r="J611" s="177"/>
      <c r="K611" s="199"/>
      <c r="L611" s="199"/>
      <c r="M611" s="199"/>
      <c r="N611" s="199"/>
      <c r="O611" s="199"/>
      <c r="P611" s="199"/>
      <c r="Q611" s="199"/>
      <c r="R611" s="199"/>
    </row>
    <row r="612" spans="1:20" s="3" customFormat="1">
      <c r="A612" s="16" t="s">
        <v>32</v>
      </c>
      <c r="B612" s="14">
        <v>774</v>
      </c>
      <c r="C612" s="15" t="s">
        <v>26</v>
      </c>
      <c r="D612" s="15" t="s">
        <v>26</v>
      </c>
      <c r="E612" s="15" t="s">
        <v>586</v>
      </c>
      <c r="F612" s="15" t="s">
        <v>33</v>
      </c>
      <c r="G612" s="70"/>
      <c r="H612" s="70">
        <v>0</v>
      </c>
      <c r="I612" s="70">
        <v>0</v>
      </c>
      <c r="J612" s="177"/>
      <c r="K612" s="199"/>
      <c r="L612" s="199"/>
      <c r="M612" s="199"/>
      <c r="N612" s="199"/>
      <c r="O612" s="199"/>
      <c r="P612" s="199"/>
      <c r="Q612" s="199"/>
      <c r="R612" s="199"/>
    </row>
    <row r="613" spans="1:20" s="3" customFormat="1" ht="51">
      <c r="A613" s="16" t="s">
        <v>426</v>
      </c>
      <c r="B613" s="14">
        <v>774</v>
      </c>
      <c r="C613" s="15" t="s">
        <v>26</v>
      </c>
      <c r="D613" s="15" t="s">
        <v>26</v>
      </c>
      <c r="E613" s="15" t="s">
        <v>425</v>
      </c>
      <c r="F613" s="15"/>
      <c r="G613" s="70">
        <f t="shared" ref="G613:I614" si="162">G614</f>
        <v>341000</v>
      </c>
      <c r="H613" s="70">
        <f t="shared" si="162"/>
        <v>0</v>
      </c>
      <c r="I613" s="70">
        <f t="shared" si="162"/>
        <v>0</v>
      </c>
      <c r="J613" s="177"/>
      <c r="K613" s="199"/>
      <c r="L613" s="199"/>
      <c r="M613" s="199"/>
      <c r="N613" s="199"/>
      <c r="O613" s="199"/>
      <c r="P613" s="199"/>
      <c r="Q613" s="199"/>
      <c r="R613" s="199"/>
    </row>
    <row r="614" spans="1:20" s="3" customFormat="1" ht="25.5">
      <c r="A614" s="16" t="s">
        <v>30</v>
      </c>
      <c r="B614" s="14">
        <v>774</v>
      </c>
      <c r="C614" s="15" t="s">
        <v>26</v>
      </c>
      <c r="D614" s="15" t="s">
        <v>26</v>
      </c>
      <c r="E614" s="15" t="s">
        <v>425</v>
      </c>
      <c r="F614" s="15" t="s">
        <v>31</v>
      </c>
      <c r="G614" s="70">
        <f t="shared" si="162"/>
        <v>341000</v>
      </c>
      <c r="H614" s="70">
        <f t="shared" si="162"/>
        <v>0</v>
      </c>
      <c r="I614" s="70">
        <f t="shared" si="162"/>
        <v>0</v>
      </c>
      <c r="J614" s="177"/>
      <c r="K614" s="199"/>
      <c r="L614" s="199"/>
      <c r="M614" s="199"/>
      <c r="N614" s="199"/>
      <c r="O614" s="199"/>
      <c r="P614" s="199"/>
      <c r="Q614" s="199"/>
      <c r="R614" s="199"/>
    </row>
    <row r="615" spans="1:20" s="3" customFormat="1">
      <c r="A615" s="16" t="s">
        <v>32</v>
      </c>
      <c r="B615" s="14">
        <v>774</v>
      </c>
      <c r="C615" s="15" t="s">
        <v>26</v>
      </c>
      <c r="D615" s="15" t="s">
        <v>26</v>
      </c>
      <c r="E615" s="15" t="s">
        <v>425</v>
      </c>
      <c r="F615" s="15" t="s">
        <v>33</v>
      </c>
      <c r="G615" s="70">
        <v>341000</v>
      </c>
      <c r="H615" s="70">
        <v>0</v>
      </c>
      <c r="I615" s="70">
        <v>0</v>
      </c>
      <c r="J615" s="177"/>
      <c r="K615" s="199"/>
      <c r="L615" s="199"/>
      <c r="M615" s="199"/>
      <c r="N615" s="199"/>
      <c r="O615" s="199"/>
      <c r="P615" s="199"/>
      <c r="Q615" s="199"/>
      <c r="R615" s="199"/>
    </row>
    <row r="616" spans="1:20" s="18" customFormat="1" ht="75" customHeight="1">
      <c r="A616" s="13" t="s">
        <v>129</v>
      </c>
      <c r="B616" s="15" t="s">
        <v>94</v>
      </c>
      <c r="C616" s="15" t="s">
        <v>26</v>
      </c>
      <c r="D616" s="15" t="s">
        <v>26</v>
      </c>
      <c r="E616" s="15" t="s">
        <v>192</v>
      </c>
      <c r="F616" s="15"/>
      <c r="G616" s="70">
        <f>G617+G623+G619+G622+G625</f>
        <v>390000</v>
      </c>
      <c r="H616" s="70">
        <f t="shared" ref="H616:I616" si="163">H617+H623+H619+H622+H625</f>
        <v>500000</v>
      </c>
      <c r="I616" s="70">
        <f t="shared" si="163"/>
        <v>500000</v>
      </c>
      <c r="J616" s="17"/>
      <c r="P616" s="17"/>
      <c r="Q616" s="17"/>
      <c r="R616" s="17"/>
      <c r="S616" s="17"/>
      <c r="T616" s="17"/>
    </row>
    <row r="617" spans="1:20" s="18" customFormat="1" ht="25.5" hidden="1">
      <c r="A617" s="16" t="s">
        <v>36</v>
      </c>
      <c r="B617" s="15" t="s">
        <v>94</v>
      </c>
      <c r="C617" s="15" t="s">
        <v>26</v>
      </c>
      <c r="D617" s="15" t="s">
        <v>26</v>
      </c>
      <c r="E617" s="15" t="s">
        <v>192</v>
      </c>
      <c r="F617" s="15" t="s">
        <v>37</v>
      </c>
      <c r="G617" s="70">
        <f>G618</f>
        <v>0</v>
      </c>
      <c r="H617" s="87">
        <f>H618</f>
        <v>0</v>
      </c>
      <c r="I617" s="87">
        <f>I618</f>
        <v>0</v>
      </c>
      <c r="J617" s="17"/>
      <c r="P617" s="17"/>
      <c r="Q617" s="17"/>
      <c r="R617" s="17"/>
      <c r="S617" s="17"/>
      <c r="T617" s="17"/>
    </row>
    <row r="618" spans="1:20" s="18" customFormat="1" ht="25.5" hidden="1">
      <c r="A618" s="16" t="s">
        <v>38</v>
      </c>
      <c r="B618" s="15" t="s">
        <v>94</v>
      </c>
      <c r="C618" s="15" t="s">
        <v>26</v>
      </c>
      <c r="D618" s="15" t="s">
        <v>26</v>
      </c>
      <c r="E618" s="15" t="s">
        <v>192</v>
      </c>
      <c r="F618" s="15" t="s">
        <v>39</v>
      </c>
      <c r="G618" s="70">
        <f>'прил 5,'!G918</f>
        <v>0</v>
      </c>
      <c r="H618" s="87">
        <f>'прил 5,'!AH918</f>
        <v>0</v>
      </c>
      <c r="I618" s="87">
        <f>'прил 5,'!AI918</f>
        <v>0</v>
      </c>
      <c r="J618" s="17"/>
      <c r="P618" s="17"/>
      <c r="Q618" s="17"/>
      <c r="R618" s="17"/>
      <c r="S618" s="17"/>
      <c r="T618" s="17"/>
    </row>
    <row r="619" spans="1:20" s="18" customFormat="1" ht="14.25" hidden="1" customHeight="1">
      <c r="A619" s="16" t="s">
        <v>148</v>
      </c>
      <c r="B619" s="15" t="s">
        <v>94</v>
      </c>
      <c r="C619" s="15" t="s">
        <v>26</v>
      </c>
      <c r="D619" s="15" t="s">
        <v>26</v>
      </c>
      <c r="E619" s="15" t="s">
        <v>192</v>
      </c>
      <c r="F619" s="15" t="s">
        <v>149</v>
      </c>
      <c r="G619" s="70">
        <f>G620</f>
        <v>0</v>
      </c>
      <c r="H619" s="87">
        <f>H620</f>
        <v>0</v>
      </c>
      <c r="I619" s="87">
        <f>I620</f>
        <v>0</v>
      </c>
      <c r="J619" s="17"/>
      <c r="P619" s="17"/>
      <c r="Q619" s="17"/>
      <c r="R619" s="17"/>
      <c r="S619" s="17"/>
      <c r="T619" s="17"/>
    </row>
    <row r="620" spans="1:20" s="18" customFormat="1" ht="27" hidden="1" customHeight="1">
      <c r="A620" s="16" t="s">
        <v>150</v>
      </c>
      <c r="B620" s="15" t="s">
        <v>94</v>
      </c>
      <c r="C620" s="15" t="s">
        <v>26</v>
      </c>
      <c r="D620" s="15" t="s">
        <v>26</v>
      </c>
      <c r="E620" s="15" t="s">
        <v>192</v>
      </c>
      <c r="F620" s="15" t="s">
        <v>151</v>
      </c>
      <c r="G620" s="70"/>
      <c r="H620" s="87"/>
      <c r="I620" s="87"/>
      <c r="J620" s="17"/>
      <c r="P620" s="17"/>
      <c r="Q620" s="17"/>
      <c r="R620" s="17"/>
      <c r="S620" s="17"/>
      <c r="T620" s="17"/>
    </row>
    <row r="621" spans="1:20" s="18" customFormat="1" hidden="1">
      <c r="A621" s="16" t="s">
        <v>148</v>
      </c>
      <c r="B621" s="15" t="s">
        <v>94</v>
      </c>
      <c r="C621" s="15" t="s">
        <v>26</v>
      </c>
      <c r="D621" s="15" t="s">
        <v>26</v>
      </c>
      <c r="E621" s="15" t="s">
        <v>192</v>
      </c>
      <c r="F621" s="15" t="s">
        <v>149</v>
      </c>
      <c r="G621" s="70">
        <f>G622</f>
        <v>0</v>
      </c>
      <c r="H621" s="87">
        <f>H622</f>
        <v>0</v>
      </c>
      <c r="I621" s="87">
        <f>I622</f>
        <v>0</v>
      </c>
      <c r="J621" s="17"/>
      <c r="P621" s="17"/>
      <c r="Q621" s="17"/>
      <c r="R621" s="17"/>
      <c r="S621" s="17"/>
      <c r="T621" s="17"/>
    </row>
    <row r="622" spans="1:20" s="18" customFormat="1" ht="25.5" hidden="1">
      <c r="A622" s="16" t="s">
        <v>150</v>
      </c>
      <c r="B622" s="15" t="s">
        <v>94</v>
      </c>
      <c r="C622" s="15" t="s">
        <v>26</v>
      </c>
      <c r="D622" s="15" t="s">
        <v>26</v>
      </c>
      <c r="E622" s="15" t="s">
        <v>192</v>
      </c>
      <c r="F622" s="15" t="s">
        <v>151</v>
      </c>
      <c r="G622" s="70">
        <f>'прил 5,'!G920</f>
        <v>0</v>
      </c>
      <c r="H622" s="87">
        <f>'прил 5,'!AH920</f>
        <v>0</v>
      </c>
      <c r="I622" s="87">
        <f>'прил 5,'!AI920</f>
        <v>0</v>
      </c>
      <c r="J622" s="17"/>
      <c r="P622" s="17"/>
      <c r="Q622" s="17"/>
      <c r="R622" s="17"/>
      <c r="S622" s="17"/>
      <c r="T622" s="17"/>
    </row>
    <row r="623" spans="1:20" s="18" customFormat="1" ht="25.5" hidden="1">
      <c r="A623" s="16" t="s">
        <v>30</v>
      </c>
      <c r="B623" s="15" t="s">
        <v>94</v>
      </c>
      <c r="C623" s="15" t="s">
        <v>26</v>
      </c>
      <c r="D623" s="15" t="s">
        <v>26</v>
      </c>
      <c r="E623" s="15" t="s">
        <v>192</v>
      </c>
      <c r="F623" s="15" t="s">
        <v>31</v>
      </c>
      <c r="G623" s="70">
        <f>G624</f>
        <v>0</v>
      </c>
      <c r="H623" s="87">
        <f>H624</f>
        <v>0</v>
      </c>
      <c r="I623" s="87">
        <f>I624</f>
        <v>0</v>
      </c>
      <c r="J623" s="17"/>
      <c r="P623" s="17"/>
      <c r="Q623" s="17"/>
      <c r="R623" s="17"/>
      <c r="S623" s="17"/>
      <c r="T623" s="17"/>
    </row>
    <row r="624" spans="1:20" s="18" customFormat="1" hidden="1">
      <c r="A624" s="16" t="s">
        <v>32</v>
      </c>
      <c r="B624" s="15" t="s">
        <v>94</v>
      </c>
      <c r="C624" s="15" t="s">
        <v>26</v>
      </c>
      <c r="D624" s="15" t="s">
        <v>26</v>
      </c>
      <c r="E624" s="15" t="s">
        <v>192</v>
      </c>
      <c r="F624" s="15" t="s">
        <v>33</v>
      </c>
      <c r="G624" s="70">
        <f>'прил 5,'!G922</f>
        <v>0</v>
      </c>
      <c r="H624" s="87">
        <f>'прил 5,'!AH922</f>
        <v>0</v>
      </c>
      <c r="I624" s="87">
        <f>'прил 5,'!AI922</f>
        <v>0</v>
      </c>
      <c r="J624" s="17"/>
      <c r="P624" s="17"/>
      <c r="Q624" s="17"/>
      <c r="R624" s="17"/>
      <c r="S624" s="17"/>
      <c r="T624" s="17"/>
    </row>
    <row r="625" spans="1:20" s="18" customFormat="1" ht="25.5">
      <c r="A625" s="16" t="s">
        <v>30</v>
      </c>
      <c r="B625" s="15" t="s">
        <v>94</v>
      </c>
      <c r="C625" s="15" t="s">
        <v>26</v>
      </c>
      <c r="D625" s="15" t="s">
        <v>26</v>
      </c>
      <c r="E625" s="15" t="s">
        <v>192</v>
      </c>
      <c r="F625" s="15" t="s">
        <v>31</v>
      </c>
      <c r="G625" s="70">
        <f>G626</f>
        <v>390000</v>
      </c>
      <c r="H625" s="70">
        <f t="shared" ref="H625:I625" si="164">H626</f>
        <v>500000</v>
      </c>
      <c r="I625" s="70">
        <f t="shared" si="164"/>
        <v>500000</v>
      </c>
      <c r="J625" s="17"/>
      <c r="P625" s="17"/>
      <c r="Q625" s="17"/>
      <c r="R625" s="17"/>
      <c r="S625" s="17"/>
      <c r="T625" s="17"/>
    </row>
    <row r="626" spans="1:20" s="18" customFormat="1">
      <c r="A626" s="16" t="s">
        <v>32</v>
      </c>
      <c r="B626" s="15" t="s">
        <v>94</v>
      </c>
      <c r="C626" s="15" t="s">
        <v>26</v>
      </c>
      <c r="D626" s="15" t="s">
        <v>26</v>
      </c>
      <c r="E626" s="15" t="s">
        <v>192</v>
      </c>
      <c r="F626" s="15" t="s">
        <v>33</v>
      </c>
      <c r="G626" s="70">
        <f>'прил 5,'!G916+'прил 5,'!G119</f>
        <v>390000</v>
      </c>
      <c r="H626" s="70">
        <f>'прил 5,'!H916+'прил 5,'!H119</f>
        <v>500000</v>
      </c>
      <c r="I626" s="70">
        <f>'прил 5,'!I916+'прил 5,'!I119</f>
        <v>500000</v>
      </c>
      <c r="J626" s="17"/>
      <c r="P626" s="17"/>
      <c r="Q626" s="17"/>
      <c r="R626" s="17"/>
      <c r="S626" s="17"/>
      <c r="T626" s="17"/>
    </row>
    <row r="627" spans="1:20" s="3" customFormat="1" ht="38.25" hidden="1">
      <c r="A627" s="145" t="s">
        <v>532</v>
      </c>
      <c r="B627" s="14">
        <v>774</v>
      </c>
      <c r="C627" s="15" t="s">
        <v>26</v>
      </c>
      <c r="D627" s="15" t="s">
        <v>26</v>
      </c>
      <c r="E627" s="15" t="s">
        <v>565</v>
      </c>
      <c r="F627" s="15"/>
      <c r="G627" s="70">
        <f t="shared" ref="G627:I628" si="165">G628</f>
        <v>0</v>
      </c>
      <c r="H627" s="70">
        <f t="shared" si="165"/>
        <v>0</v>
      </c>
      <c r="I627" s="70">
        <f t="shared" si="165"/>
        <v>0</v>
      </c>
      <c r="P627" s="111"/>
      <c r="Q627" s="111"/>
      <c r="R627" s="111"/>
      <c r="S627" s="111"/>
      <c r="T627" s="111"/>
    </row>
    <row r="628" spans="1:20" s="3" customFormat="1" ht="25.5" hidden="1">
      <c r="A628" s="16" t="s">
        <v>30</v>
      </c>
      <c r="B628" s="14">
        <v>774</v>
      </c>
      <c r="C628" s="15" t="s">
        <v>26</v>
      </c>
      <c r="D628" s="15" t="s">
        <v>26</v>
      </c>
      <c r="E628" s="15" t="s">
        <v>565</v>
      </c>
      <c r="F628" s="15" t="s">
        <v>31</v>
      </c>
      <c r="G628" s="70">
        <f t="shared" si="165"/>
        <v>0</v>
      </c>
      <c r="H628" s="70">
        <f t="shared" si="165"/>
        <v>0</v>
      </c>
      <c r="I628" s="70">
        <f t="shared" si="165"/>
        <v>0</v>
      </c>
      <c r="P628" s="111"/>
      <c r="Q628" s="111"/>
      <c r="R628" s="111"/>
      <c r="S628" s="111"/>
      <c r="T628" s="111"/>
    </row>
    <row r="629" spans="1:20" s="3" customFormat="1" hidden="1">
      <c r="A629" s="16" t="s">
        <v>32</v>
      </c>
      <c r="B629" s="14">
        <v>774</v>
      </c>
      <c r="C629" s="15" t="s">
        <v>26</v>
      </c>
      <c r="D629" s="15" t="s">
        <v>26</v>
      </c>
      <c r="E629" s="15" t="s">
        <v>565</v>
      </c>
      <c r="F629" s="15" t="s">
        <v>33</v>
      </c>
      <c r="G629" s="70"/>
      <c r="H629" s="70">
        <v>0</v>
      </c>
      <c r="I629" s="70">
        <v>0</v>
      </c>
      <c r="P629" s="111"/>
      <c r="Q629" s="111"/>
      <c r="R629" s="111"/>
      <c r="S629" s="111"/>
      <c r="T629" s="111"/>
    </row>
    <row r="630" spans="1:20" s="3" customFormat="1" ht="25.5" hidden="1">
      <c r="A630" s="16" t="s">
        <v>299</v>
      </c>
      <c r="B630" s="14">
        <v>774</v>
      </c>
      <c r="C630" s="15" t="s">
        <v>26</v>
      </c>
      <c r="D630" s="15" t="s">
        <v>26</v>
      </c>
      <c r="E630" s="15" t="s">
        <v>586</v>
      </c>
      <c r="F630" s="15"/>
      <c r="G630" s="70">
        <f t="shared" ref="G630:I631" si="166">G631</f>
        <v>0</v>
      </c>
      <c r="H630" s="70">
        <f t="shared" si="166"/>
        <v>0</v>
      </c>
      <c r="I630" s="70">
        <f t="shared" si="166"/>
        <v>0</v>
      </c>
      <c r="P630" s="111"/>
      <c r="Q630" s="111"/>
      <c r="R630" s="111"/>
      <c r="S630" s="111"/>
      <c r="T630" s="111"/>
    </row>
    <row r="631" spans="1:20" s="3" customFormat="1" ht="25.5" hidden="1">
      <c r="A631" s="16" t="s">
        <v>30</v>
      </c>
      <c r="B631" s="14">
        <v>774</v>
      </c>
      <c r="C631" s="15" t="s">
        <v>26</v>
      </c>
      <c r="D631" s="15" t="s">
        <v>26</v>
      </c>
      <c r="E631" s="15" t="s">
        <v>586</v>
      </c>
      <c r="F631" s="15" t="s">
        <v>31</v>
      </c>
      <c r="G631" s="70">
        <f t="shared" si="166"/>
        <v>0</v>
      </c>
      <c r="H631" s="70">
        <f t="shared" si="166"/>
        <v>0</v>
      </c>
      <c r="I631" s="70">
        <f t="shared" si="166"/>
        <v>0</v>
      </c>
      <c r="P631" s="111"/>
      <c r="Q631" s="111"/>
      <c r="R631" s="111"/>
      <c r="S631" s="111"/>
      <c r="T631" s="111"/>
    </row>
    <row r="632" spans="1:20" s="3" customFormat="1" hidden="1">
      <c r="A632" s="16" t="s">
        <v>32</v>
      </c>
      <c r="B632" s="14">
        <v>774</v>
      </c>
      <c r="C632" s="15" t="s">
        <v>26</v>
      </c>
      <c r="D632" s="15" t="s">
        <v>26</v>
      </c>
      <c r="E632" s="15" t="s">
        <v>586</v>
      </c>
      <c r="F632" s="15" t="s">
        <v>33</v>
      </c>
      <c r="G632" s="70"/>
      <c r="H632" s="70">
        <v>0</v>
      </c>
      <c r="I632" s="70">
        <v>0</v>
      </c>
      <c r="P632" s="111"/>
      <c r="Q632" s="111"/>
      <c r="R632" s="111"/>
      <c r="S632" s="111"/>
      <c r="T632" s="111"/>
    </row>
    <row r="633" spans="1:20" s="18" customFormat="1" ht="52.5" hidden="1" customHeight="1">
      <c r="A633" s="135" t="s">
        <v>767</v>
      </c>
      <c r="B633" s="15" t="s">
        <v>94</v>
      </c>
      <c r="C633" s="15" t="s">
        <v>26</v>
      </c>
      <c r="D633" s="15" t="s">
        <v>26</v>
      </c>
      <c r="E633" s="15" t="s">
        <v>766</v>
      </c>
      <c r="F633" s="15"/>
      <c r="G633" s="70">
        <f>G634+G636</f>
        <v>0</v>
      </c>
      <c r="H633" s="70">
        <f>H634+H636</f>
        <v>0</v>
      </c>
      <c r="I633" s="70">
        <f>I634+I636</f>
        <v>0</v>
      </c>
      <c r="P633" s="17"/>
      <c r="Q633" s="17"/>
      <c r="R633" s="17"/>
      <c r="S633" s="17"/>
      <c r="T633" s="17"/>
    </row>
    <row r="634" spans="1:20" s="18" customFormat="1" ht="25.5" hidden="1">
      <c r="A634" s="82" t="s">
        <v>36</v>
      </c>
      <c r="B634" s="15" t="s">
        <v>94</v>
      </c>
      <c r="C634" s="15" t="s">
        <v>26</v>
      </c>
      <c r="D634" s="15" t="s">
        <v>26</v>
      </c>
      <c r="E634" s="15" t="s">
        <v>135</v>
      </c>
      <c r="F634" s="15" t="s">
        <v>37</v>
      </c>
      <c r="G634" s="70">
        <f>G635</f>
        <v>0</v>
      </c>
      <c r="H634" s="70">
        <f>H635</f>
        <v>0</v>
      </c>
      <c r="I634" s="70">
        <f>I635</f>
        <v>0</v>
      </c>
      <c r="P634" s="17"/>
      <c r="Q634" s="17"/>
      <c r="R634" s="17"/>
      <c r="S634" s="17"/>
      <c r="T634" s="17"/>
    </row>
    <row r="635" spans="1:20" s="18" customFormat="1" ht="25.5" hidden="1">
      <c r="A635" s="82" t="s">
        <v>38</v>
      </c>
      <c r="B635" s="15" t="s">
        <v>94</v>
      </c>
      <c r="C635" s="15" t="s">
        <v>26</v>
      </c>
      <c r="D635" s="15" t="s">
        <v>26</v>
      </c>
      <c r="E635" s="15" t="s">
        <v>135</v>
      </c>
      <c r="F635" s="15" t="s">
        <v>39</v>
      </c>
      <c r="G635" s="70"/>
      <c r="H635" s="70"/>
      <c r="I635" s="70"/>
      <c r="P635" s="17"/>
      <c r="Q635" s="17"/>
      <c r="R635" s="17"/>
      <c r="S635" s="17"/>
      <c r="T635" s="17"/>
    </row>
    <row r="636" spans="1:20" s="18" customFormat="1" hidden="1">
      <c r="A636" s="82" t="s">
        <v>63</v>
      </c>
      <c r="B636" s="15" t="s">
        <v>94</v>
      </c>
      <c r="C636" s="15" t="s">
        <v>26</v>
      </c>
      <c r="D636" s="15" t="s">
        <v>26</v>
      </c>
      <c r="E636" s="15" t="s">
        <v>766</v>
      </c>
      <c r="F636" s="15" t="s">
        <v>64</v>
      </c>
      <c r="G636" s="70">
        <f>G637</f>
        <v>0</v>
      </c>
      <c r="H636" s="70">
        <f>H637</f>
        <v>0</v>
      </c>
      <c r="I636" s="70">
        <f>I637</f>
        <v>0</v>
      </c>
      <c r="P636" s="17"/>
      <c r="Q636" s="17"/>
      <c r="R636" s="17"/>
      <c r="S636" s="17"/>
      <c r="T636" s="17"/>
    </row>
    <row r="637" spans="1:20" s="18" customFormat="1" ht="13.5" hidden="1" customHeight="1">
      <c r="A637" s="82" t="s">
        <v>180</v>
      </c>
      <c r="B637" s="15" t="s">
        <v>94</v>
      </c>
      <c r="C637" s="15" t="s">
        <v>26</v>
      </c>
      <c r="D637" s="15" t="s">
        <v>26</v>
      </c>
      <c r="E637" s="15" t="s">
        <v>766</v>
      </c>
      <c r="F637" s="15" t="s">
        <v>181</v>
      </c>
      <c r="G637" s="70">
        <f>'прил 5,'!G934</f>
        <v>0</v>
      </c>
      <c r="H637" s="70"/>
      <c r="I637" s="70"/>
      <c r="P637" s="17"/>
      <c r="Q637" s="17"/>
      <c r="R637" s="17"/>
      <c r="S637" s="17"/>
      <c r="T637" s="17"/>
    </row>
    <row r="638" spans="1:20" s="18" customFormat="1" ht="38.25" hidden="1" customHeight="1">
      <c r="A638" s="135" t="s">
        <v>769</v>
      </c>
      <c r="B638" s="15" t="s">
        <v>94</v>
      </c>
      <c r="C638" s="15" t="s">
        <v>26</v>
      </c>
      <c r="D638" s="15" t="s">
        <v>26</v>
      </c>
      <c r="E638" s="15" t="s">
        <v>768</v>
      </c>
      <c r="F638" s="15"/>
      <c r="G638" s="70">
        <f>G639+G641</f>
        <v>0</v>
      </c>
      <c r="H638" s="70">
        <f>H639+H641</f>
        <v>0</v>
      </c>
      <c r="I638" s="70">
        <f>I639+I641</f>
        <v>0</v>
      </c>
      <c r="P638" s="17"/>
      <c r="Q638" s="17"/>
      <c r="R638" s="17"/>
      <c r="S638" s="17"/>
      <c r="T638" s="17"/>
    </row>
    <row r="639" spans="1:20" s="18" customFormat="1" ht="25.5" hidden="1">
      <c r="A639" s="82" t="s">
        <v>36</v>
      </c>
      <c r="B639" s="15" t="s">
        <v>94</v>
      </c>
      <c r="C639" s="15" t="s">
        <v>26</v>
      </c>
      <c r="D639" s="15" t="s">
        <v>26</v>
      </c>
      <c r="E639" s="15" t="s">
        <v>135</v>
      </c>
      <c r="F639" s="15" t="s">
        <v>37</v>
      </c>
      <c r="G639" s="70">
        <f>G640</f>
        <v>0</v>
      </c>
      <c r="H639" s="70">
        <f>H640</f>
        <v>0</v>
      </c>
      <c r="I639" s="70">
        <f>I640</f>
        <v>0</v>
      </c>
      <c r="P639" s="17"/>
      <c r="Q639" s="17"/>
      <c r="R639" s="17"/>
      <c r="S639" s="17"/>
      <c r="T639" s="17"/>
    </row>
    <row r="640" spans="1:20" s="18" customFormat="1" ht="25.5" hidden="1">
      <c r="A640" s="82" t="s">
        <v>38</v>
      </c>
      <c r="B640" s="15" t="s">
        <v>94</v>
      </c>
      <c r="C640" s="15" t="s">
        <v>26</v>
      </c>
      <c r="D640" s="15" t="s">
        <v>26</v>
      </c>
      <c r="E640" s="15" t="s">
        <v>135</v>
      </c>
      <c r="F640" s="15" t="s">
        <v>39</v>
      </c>
      <c r="G640" s="70"/>
      <c r="H640" s="70"/>
      <c r="I640" s="70"/>
      <c r="P640" s="17"/>
      <c r="Q640" s="17"/>
      <c r="R640" s="17"/>
      <c r="S640" s="17"/>
      <c r="T640" s="17"/>
    </row>
    <row r="641" spans="1:20" s="18" customFormat="1" ht="25.5" hidden="1">
      <c r="A641" s="16" t="s">
        <v>30</v>
      </c>
      <c r="B641" s="15" t="s">
        <v>94</v>
      </c>
      <c r="C641" s="15" t="s">
        <v>26</v>
      </c>
      <c r="D641" s="15" t="s">
        <v>26</v>
      </c>
      <c r="E641" s="15" t="s">
        <v>768</v>
      </c>
      <c r="F641" s="15" t="s">
        <v>31</v>
      </c>
      <c r="G641" s="70">
        <f>G642</f>
        <v>0</v>
      </c>
      <c r="H641" s="70">
        <f>H642</f>
        <v>0</v>
      </c>
      <c r="I641" s="70">
        <f>I642</f>
        <v>0</v>
      </c>
      <c r="P641" s="17"/>
      <c r="Q641" s="17"/>
      <c r="R641" s="17"/>
      <c r="S641" s="17"/>
      <c r="T641" s="17"/>
    </row>
    <row r="642" spans="1:20" s="18" customFormat="1" ht="13.5" hidden="1" customHeight="1">
      <c r="A642" s="16" t="s">
        <v>32</v>
      </c>
      <c r="B642" s="15" t="s">
        <v>94</v>
      </c>
      <c r="C642" s="15" t="s">
        <v>26</v>
      </c>
      <c r="D642" s="15" t="s">
        <v>26</v>
      </c>
      <c r="E642" s="15" t="s">
        <v>768</v>
      </c>
      <c r="F642" s="15" t="s">
        <v>33</v>
      </c>
      <c r="G642" s="70">
        <f>'прил 5,'!G942</f>
        <v>0</v>
      </c>
      <c r="H642" s="70"/>
      <c r="I642" s="70"/>
      <c r="P642" s="17"/>
      <c r="Q642" s="17"/>
      <c r="R642" s="17"/>
      <c r="S642" s="17"/>
      <c r="T642" s="17"/>
    </row>
    <row r="643" spans="1:20" s="18" customFormat="1" ht="56.25" hidden="1" customHeight="1">
      <c r="A643" s="135" t="s">
        <v>771</v>
      </c>
      <c r="B643" s="15" t="s">
        <v>94</v>
      </c>
      <c r="C643" s="15" t="s">
        <v>26</v>
      </c>
      <c r="D643" s="15" t="s">
        <v>26</v>
      </c>
      <c r="E643" s="15" t="s">
        <v>770</v>
      </c>
      <c r="F643" s="15"/>
      <c r="G643" s="70">
        <f>G644+G646</f>
        <v>0</v>
      </c>
      <c r="H643" s="70">
        <f>H644+H646</f>
        <v>0</v>
      </c>
      <c r="I643" s="70">
        <f>I644+I646</f>
        <v>0</v>
      </c>
      <c r="P643" s="17"/>
      <c r="Q643" s="17"/>
      <c r="R643" s="17"/>
      <c r="S643" s="17"/>
      <c r="T643" s="17"/>
    </row>
    <row r="644" spans="1:20" s="18" customFormat="1" ht="25.5" hidden="1">
      <c r="A644" s="82" t="s">
        <v>36</v>
      </c>
      <c r="B644" s="15" t="s">
        <v>94</v>
      </c>
      <c r="C644" s="15" t="s">
        <v>26</v>
      </c>
      <c r="D644" s="15" t="s">
        <v>26</v>
      </c>
      <c r="E644" s="15" t="s">
        <v>135</v>
      </c>
      <c r="F644" s="15" t="s">
        <v>37</v>
      </c>
      <c r="G644" s="70">
        <f>G645</f>
        <v>0</v>
      </c>
      <c r="H644" s="70">
        <f>H645</f>
        <v>0</v>
      </c>
      <c r="I644" s="70">
        <f>I645</f>
        <v>0</v>
      </c>
      <c r="P644" s="17"/>
      <c r="Q644" s="17"/>
      <c r="R644" s="17"/>
      <c r="S644" s="17"/>
      <c r="T644" s="17"/>
    </row>
    <row r="645" spans="1:20" s="18" customFormat="1" ht="25.5" hidden="1">
      <c r="A645" s="82" t="s">
        <v>38</v>
      </c>
      <c r="B645" s="15" t="s">
        <v>94</v>
      </c>
      <c r="C645" s="15" t="s">
        <v>26</v>
      </c>
      <c r="D645" s="15" t="s">
        <v>26</v>
      </c>
      <c r="E645" s="15" t="s">
        <v>135</v>
      </c>
      <c r="F645" s="15" t="s">
        <v>39</v>
      </c>
      <c r="G645" s="70"/>
      <c r="H645" s="70"/>
      <c r="I645" s="70"/>
      <c r="P645" s="17"/>
      <c r="Q645" s="17"/>
      <c r="R645" s="17"/>
      <c r="S645" s="17"/>
      <c r="T645" s="17"/>
    </row>
    <row r="646" spans="1:20" s="18" customFormat="1" hidden="1">
      <c r="A646" s="82" t="s">
        <v>63</v>
      </c>
      <c r="B646" s="15" t="s">
        <v>94</v>
      </c>
      <c r="C646" s="15" t="s">
        <v>26</v>
      </c>
      <c r="D646" s="15" t="s">
        <v>26</v>
      </c>
      <c r="E646" s="15" t="s">
        <v>770</v>
      </c>
      <c r="F646" s="15" t="s">
        <v>64</v>
      </c>
      <c r="G646" s="70">
        <f>G647</f>
        <v>0</v>
      </c>
      <c r="H646" s="70">
        <f>H647</f>
        <v>0</v>
      </c>
      <c r="I646" s="70">
        <f>I647</f>
        <v>0</v>
      </c>
      <c r="P646" s="17"/>
      <c r="Q646" s="17"/>
      <c r="R646" s="17"/>
      <c r="S646" s="17"/>
      <c r="T646" s="17"/>
    </row>
    <row r="647" spans="1:20" s="18" customFormat="1" ht="13.5" hidden="1" customHeight="1">
      <c r="A647" s="82" t="s">
        <v>180</v>
      </c>
      <c r="B647" s="15" t="s">
        <v>94</v>
      </c>
      <c r="C647" s="15" t="s">
        <v>26</v>
      </c>
      <c r="D647" s="15" t="s">
        <v>26</v>
      </c>
      <c r="E647" s="15" t="s">
        <v>770</v>
      </c>
      <c r="F647" s="15" t="s">
        <v>181</v>
      </c>
      <c r="G647" s="70">
        <f>'прил 5,'!G947</f>
        <v>0</v>
      </c>
      <c r="H647" s="70"/>
      <c r="I647" s="70"/>
      <c r="P647" s="17"/>
      <c r="Q647" s="17"/>
      <c r="R647" s="17"/>
      <c r="S647" s="17"/>
      <c r="T647" s="17"/>
    </row>
    <row r="648" spans="1:20" s="18" customFormat="1" ht="61.5" hidden="1" customHeight="1">
      <c r="A648" s="135" t="s">
        <v>426</v>
      </c>
      <c r="B648" s="15" t="s">
        <v>94</v>
      </c>
      <c r="C648" s="15" t="s">
        <v>26</v>
      </c>
      <c r="D648" s="15" t="s">
        <v>26</v>
      </c>
      <c r="E648" s="15" t="s">
        <v>425</v>
      </c>
      <c r="F648" s="15"/>
      <c r="G648" s="70">
        <f>G649</f>
        <v>0</v>
      </c>
      <c r="H648" s="70">
        <f t="shared" ref="H648:I648" si="167">H649</f>
        <v>0</v>
      </c>
      <c r="I648" s="70">
        <f t="shared" si="167"/>
        <v>0</v>
      </c>
      <c r="P648" s="17"/>
      <c r="Q648" s="17"/>
      <c r="R648" s="17"/>
      <c r="S648" s="17"/>
      <c r="T648" s="17"/>
    </row>
    <row r="649" spans="1:20" s="18" customFormat="1" ht="25.5" hidden="1">
      <c r="A649" s="16" t="s">
        <v>30</v>
      </c>
      <c r="B649" s="15" t="s">
        <v>94</v>
      </c>
      <c r="C649" s="15" t="s">
        <v>26</v>
      </c>
      <c r="D649" s="15" t="s">
        <v>26</v>
      </c>
      <c r="E649" s="15" t="s">
        <v>425</v>
      </c>
      <c r="F649" s="15" t="s">
        <v>31</v>
      </c>
      <c r="G649" s="70">
        <f>G650</f>
        <v>0</v>
      </c>
      <c r="H649" s="70">
        <f>H650</f>
        <v>0</v>
      </c>
      <c r="I649" s="70">
        <f>I650</f>
        <v>0</v>
      </c>
      <c r="P649" s="17"/>
      <c r="Q649" s="17"/>
      <c r="R649" s="17"/>
      <c r="S649" s="17"/>
      <c r="T649" s="17"/>
    </row>
    <row r="650" spans="1:20" s="18" customFormat="1" hidden="1">
      <c r="A650" s="16" t="s">
        <v>32</v>
      </c>
      <c r="B650" s="15" t="s">
        <v>94</v>
      </c>
      <c r="C650" s="15" t="s">
        <v>26</v>
      </c>
      <c r="D650" s="15" t="s">
        <v>26</v>
      </c>
      <c r="E650" s="15" t="s">
        <v>425</v>
      </c>
      <c r="F650" s="15" t="s">
        <v>33</v>
      </c>
      <c r="G650" s="70"/>
      <c r="H650" s="70"/>
      <c r="I650" s="70"/>
      <c r="P650" s="17"/>
      <c r="Q650" s="17"/>
      <c r="R650" s="17"/>
      <c r="S650" s="17"/>
      <c r="T650" s="17"/>
    </row>
    <row r="651" spans="1:20" s="18" customFormat="1" ht="61.5" hidden="1" customHeight="1">
      <c r="A651" s="135" t="s">
        <v>921</v>
      </c>
      <c r="B651" s="15" t="s">
        <v>94</v>
      </c>
      <c r="C651" s="15" t="s">
        <v>26</v>
      </c>
      <c r="D651" s="15" t="s">
        <v>26</v>
      </c>
      <c r="E651" s="15" t="s">
        <v>920</v>
      </c>
      <c r="F651" s="15"/>
      <c r="G651" s="70">
        <f>G652</f>
        <v>0</v>
      </c>
      <c r="H651" s="70">
        <f t="shared" ref="H651:I651" si="168">H652</f>
        <v>0</v>
      </c>
      <c r="I651" s="70">
        <f t="shared" si="168"/>
        <v>0</v>
      </c>
      <c r="J651" s="176"/>
    </row>
    <row r="652" spans="1:20" s="18" customFormat="1" hidden="1">
      <c r="A652" s="82" t="s">
        <v>63</v>
      </c>
      <c r="B652" s="15" t="s">
        <v>94</v>
      </c>
      <c r="C652" s="15" t="s">
        <v>26</v>
      </c>
      <c r="D652" s="15" t="s">
        <v>26</v>
      </c>
      <c r="E652" s="15" t="s">
        <v>920</v>
      </c>
      <c r="F652" s="15" t="s">
        <v>64</v>
      </c>
      <c r="G652" s="70">
        <f>G653</f>
        <v>0</v>
      </c>
      <c r="H652" s="70">
        <f>H653</f>
        <v>0</v>
      </c>
      <c r="I652" s="70">
        <f>I653</f>
        <v>0</v>
      </c>
      <c r="J652" s="176"/>
    </row>
    <row r="653" spans="1:20" s="18" customFormat="1" hidden="1">
      <c r="A653" s="82" t="s">
        <v>180</v>
      </c>
      <c r="B653" s="15" t="s">
        <v>94</v>
      </c>
      <c r="C653" s="15" t="s">
        <v>26</v>
      </c>
      <c r="D653" s="15" t="s">
        <v>26</v>
      </c>
      <c r="E653" s="15" t="s">
        <v>920</v>
      </c>
      <c r="F653" s="15" t="s">
        <v>181</v>
      </c>
      <c r="G653" s="70">
        <f>'прил 5,'!G953</f>
        <v>0</v>
      </c>
      <c r="H653" s="70">
        <v>0</v>
      </c>
      <c r="I653" s="70">
        <v>0</v>
      </c>
      <c r="J653" s="176"/>
    </row>
    <row r="654" spans="1:20" s="3" customFormat="1" ht="29.25" customHeight="1">
      <c r="A654" s="16" t="s">
        <v>141</v>
      </c>
      <c r="B654" s="14">
        <v>774</v>
      </c>
      <c r="C654" s="15" t="s">
        <v>26</v>
      </c>
      <c r="D654" s="15" t="s">
        <v>28</v>
      </c>
      <c r="E654" s="15" t="s">
        <v>224</v>
      </c>
      <c r="F654" s="15"/>
      <c r="G654" s="70">
        <f>G655</f>
        <v>556578.61</v>
      </c>
      <c r="H654" s="70">
        <f t="shared" ref="H654:I654" si="169">H655</f>
        <v>557000</v>
      </c>
      <c r="I654" s="70">
        <f t="shared" si="169"/>
        <v>557000</v>
      </c>
      <c r="J654" s="111"/>
      <c r="P654" s="111"/>
      <c r="Q654" s="111"/>
      <c r="R654" s="111"/>
      <c r="S654" s="111"/>
      <c r="T654" s="111"/>
    </row>
    <row r="655" spans="1:20" s="3" customFormat="1" ht="32.25" customHeight="1">
      <c r="A655" s="16" t="s">
        <v>142</v>
      </c>
      <c r="B655" s="14">
        <v>774</v>
      </c>
      <c r="C655" s="15" t="s">
        <v>26</v>
      </c>
      <c r="D655" s="15" t="s">
        <v>28</v>
      </c>
      <c r="E655" s="15" t="s">
        <v>225</v>
      </c>
      <c r="F655" s="15"/>
      <c r="G655" s="87">
        <f>G656</f>
        <v>556578.61</v>
      </c>
      <c r="H655" s="87">
        <f t="shared" ref="H655:I655" si="170">H656</f>
        <v>557000</v>
      </c>
      <c r="I655" s="87">
        <f t="shared" si="170"/>
        <v>557000</v>
      </c>
      <c r="J655" s="111"/>
      <c r="P655" s="111"/>
      <c r="Q655" s="111"/>
      <c r="R655" s="111"/>
      <c r="S655" s="111"/>
      <c r="T655" s="111"/>
    </row>
    <row r="656" spans="1:20" s="18" customFormat="1" ht="25.5">
      <c r="A656" s="16" t="s">
        <v>30</v>
      </c>
      <c r="B656" s="15" t="s">
        <v>94</v>
      </c>
      <c r="C656" s="15" t="s">
        <v>26</v>
      </c>
      <c r="D656" s="15" t="s">
        <v>28</v>
      </c>
      <c r="E656" s="15" t="s">
        <v>225</v>
      </c>
      <c r="F656" s="15" t="s">
        <v>31</v>
      </c>
      <c r="G656" s="87">
        <f>G657</f>
        <v>556578.61</v>
      </c>
      <c r="H656" s="87">
        <f t="shared" ref="H656:O656" si="171">H657</f>
        <v>557000</v>
      </c>
      <c r="I656" s="87">
        <f t="shared" si="171"/>
        <v>557000</v>
      </c>
      <c r="J656" s="87">
        <f t="shared" si="171"/>
        <v>0</v>
      </c>
      <c r="K656" s="87">
        <f t="shared" si="171"/>
        <v>0</v>
      </c>
      <c r="L656" s="87">
        <f t="shared" si="171"/>
        <v>0</v>
      </c>
      <c r="M656" s="87">
        <f t="shared" si="171"/>
        <v>0</v>
      </c>
      <c r="N656" s="87">
        <f t="shared" si="171"/>
        <v>0</v>
      </c>
      <c r="O656" s="87">
        <f t="shared" si="171"/>
        <v>0</v>
      </c>
      <c r="P656" s="17"/>
      <c r="Q656" s="17"/>
      <c r="R656" s="17"/>
      <c r="S656" s="17"/>
      <c r="T656" s="17"/>
    </row>
    <row r="657" spans="1:20" s="18" customFormat="1">
      <c r="A657" s="16" t="s">
        <v>32</v>
      </c>
      <c r="B657" s="15" t="s">
        <v>94</v>
      </c>
      <c r="C657" s="15" t="s">
        <v>26</v>
      </c>
      <c r="D657" s="15" t="s">
        <v>28</v>
      </c>
      <c r="E657" s="15" t="s">
        <v>225</v>
      </c>
      <c r="F657" s="15" t="s">
        <v>33</v>
      </c>
      <c r="G657" s="87">
        <f>'прил 5,'!G725+'прил 5,'!G849</f>
        <v>556578.61</v>
      </c>
      <c r="H657" s="87">
        <f>'прил 5,'!H725+'прил 5,'!H849</f>
        <v>557000</v>
      </c>
      <c r="I657" s="87">
        <f>'прил 5,'!I725+'прил 5,'!I849</f>
        <v>557000</v>
      </c>
      <c r="J657" s="17"/>
      <c r="P657" s="17"/>
      <c r="Q657" s="17"/>
      <c r="R657" s="17"/>
      <c r="S657" s="17"/>
      <c r="T657" s="17"/>
    </row>
    <row r="658" spans="1:20" s="18" customFormat="1" ht="32.25" customHeight="1">
      <c r="A658" s="16" t="s">
        <v>143</v>
      </c>
      <c r="B658" s="15" t="s">
        <v>94</v>
      </c>
      <c r="C658" s="15" t="s">
        <v>26</v>
      </c>
      <c r="D658" s="15" t="s">
        <v>123</v>
      </c>
      <c r="E658" s="15" t="s">
        <v>227</v>
      </c>
      <c r="F658" s="15"/>
      <c r="G658" s="70">
        <f>G659+G675</f>
        <v>14738271</v>
      </c>
      <c r="H658" s="70">
        <f>H659+H675</f>
        <v>14288224</v>
      </c>
      <c r="I658" s="70">
        <f>I659+I675</f>
        <v>14424178</v>
      </c>
      <c r="J658" s="17"/>
      <c r="P658" s="17"/>
      <c r="Q658" s="17"/>
      <c r="R658" s="17"/>
      <c r="S658" s="17"/>
      <c r="T658" s="17"/>
    </row>
    <row r="659" spans="1:20" s="18" customFormat="1" ht="25.5">
      <c r="A659" s="16" t="s">
        <v>76</v>
      </c>
      <c r="B659" s="15" t="s">
        <v>94</v>
      </c>
      <c r="C659" s="15" t="s">
        <v>26</v>
      </c>
      <c r="D659" s="15" t="s">
        <v>123</v>
      </c>
      <c r="E659" s="15" t="s">
        <v>228</v>
      </c>
      <c r="F659" s="15"/>
      <c r="G659" s="87">
        <f>G660+G662+G664</f>
        <v>14738271</v>
      </c>
      <c r="H659" s="87">
        <f t="shared" ref="H659:I659" si="172">H660+H662+H664</f>
        <v>14288224</v>
      </c>
      <c r="I659" s="87">
        <f t="shared" si="172"/>
        <v>14424178</v>
      </c>
      <c r="J659" s="17"/>
      <c r="P659" s="17"/>
      <c r="Q659" s="17"/>
      <c r="R659" s="17"/>
      <c r="S659" s="17"/>
      <c r="T659" s="17"/>
    </row>
    <row r="660" spans="1:20" ht="51">
      <c r="A660" s="16" t="s">
        <v>55</v>
      </c>
      <c r="B660" s="15" t="s">
        <v>94</v>
      </c>
      <c r="C660" s="15" t="s">
        <v>26</v>
      </c>
      <c r="D660" s="15" t="s">
        <v>123</v>
      </c>
      <c r="E660" s="15" t="s">
        <v>228</v>
      </c>
      <c r="F660" s="15" t="s">
        <v>58</v>
      </c>
      <c r="G660" s="87">
        <f>G661</f>
        <v>14267619</v>
      </c>
      <c r="H660" s="87">
        <f t="shared" ref="H660:I660" si="173">H661</f>
        <v>13817572</v>
      </c>
      <c r="I660" s="87">
        <f t="shared" si="173"/>
        <v>13953526</v>
      </c>
    </row>
    <row r="661" spans="1:20" ht="25.5">
      <c r="A661" s="16" t="s">
        <v>56</v>
      </c>
      <c r="B661" s="15" t="s">
        <v>94</v>
      </c>
      <c r="C661" s="15" t="s">
        <v>26</v>
      </c>
      <c r="D661" s="15" t="s">
        <v>123</v>
      </c>
      <c r="E661" s="15" t="s">
        <v>228</v>
      </c>
      <c r="F661" s="15" t="s">
        <v>59</v>
      </c>
      <c r="G661" s="70">
        <f>'прил 5,'!G978</f>
        <v>14267619</v>
      </c>
      <c r="H661" s="70">
        <f>'прил 5,'!H978</f>
        <v>13817572</v>
      </c>
      <c r="I661" s="70">
        <f>'прил 5,'!I978</f>
        <v>13953526</v>
      </c>
    </row>
    <row r="662" spans="1:20" ht="25.5">
      <c r="A662" s="16" t="s">
        <v>36</v>
      </c>
      <c r="B662" s="15" t="s">
        <v>94</v>
      </c>
      <c r="C662" s="15" t="s">
        <v>26</v>
      </c>
      <c r="D662" s="15" t="s">
        <v>123</v>
      </c>
      <c r="E662" s="15" t="s">
        <v>228</v>
      </c>
      <c r="F662" s="15" t="s">
        <v>37</v>
      </c>
      <c r="G662" s="70">
        <f>G663</f>
        <v>470652</v>
      </c>
      <c r="H662" s="70">
        <f t="shared" ref="H662:I662" si="174">H663</f>
        <v>470652</v>
      </c>
      <c r="I662" s="70">
        <f t="shared" si="174"/>
        <v>470652</v>
      </c>
    </row>
    <row r="663" spans="1:20" ht="25.5">
      <c r="A663" s="16" t="s">
        <v>38</v>
      </c>
      <c r="B663" s="15" t="s">
        <v>94</v>
      </c>
      <c r="C663" s="15" t="s">
        <v>26</v>
      </c>
      <c r="D663" s="15" t="s">
        <v>123</v>
      </c>
      <c r="E663" s="15" t="s">
        <v>228</v>
      </c>
      <c r="F663" s="15" t="s">
        <v>39</v>
      </c>
      <c r="G663" s="70">
        <f>'прил 5,'!G980</f>
        <v>470652</v>
      </c>
      <c r="H663" s="70">
        <f>'прил 5,'!H980</f>
        <v>470652</v>
      </c>
      <c r="I663" s="70">
        <f>'прил 5,'!I980</f>
        <v>470652</v>
      </c>
    </row>
    <row r="664" spans="1:20" hidden="1">
      <c r="A664" s="145" t="s">
        <v>63</v>
      </c>
      <c r="B664" s="15" t="s">
        <v>94</v>
      </c>
      <c r="C664" s="15" t="s">
        <v>26</v>
      </c>
      <c r="D664" s="15" t="s">
        <v>123</v>
      </c>
      <c r="E664" s="15" t="s">
        <v>228</v>
      </c>
      <c r="F664" s="15" t="s">
        <v>64</v>
      </c>
      <c r="G664" s="27">
        <f>G666+G665</f>
        <v>0</v>
      </c>
      <c r="H664" s="27">
        <f>H666</f>
        <v>0</v>
      </c>
      <c r="I664" s="27">
        <f>I666</f>
        <v>0</v>
      </c>
      <c r="J664" s="1"/>
    </row>
    <row r="665" spans="1:20" hidden="1">
      <c r="A665" s="16" t="s">
        <v>329</v>
      </c>
      <c r="B665" s="15" t="s">
        <v>94</v>
      </c>
      <c r="C665" s="15" t="s">
        <v>26</v>
      </c>
      <c r="D665" s="15" t="s">
        <v>123</v>
      </c>
      <c r="E665" s="15" t="s">
        <v>228</v>
      </c>
      <c r="F665" s="15" t="s">
        <v>328</v>
      </c>
      <c r="G665" s="27"/>
      <c r="H665" s="27">
        <v>0</v>
      </c>
      <c r="I665" s="27">
        <v>0</v>
      </c>
      <c r="J665" s="1"/>
    </row>
    <row r="666" spans="1:20" hidden="1">
      <c r="A666" s="16" t="s">
        <v>66</v>
      </c>
      <c r="B666" s="15" t="s">
        <v>94</v>
      </c>
      <c r="C666" s="15" t="s">
        <v>26</v>
      </c>
      <c r="D666" s="15" t="s">
        <v>123</v>
      </c>
      <c r="E666" s="15" t="s">
        <v>228</v>
      </c>
      <c r="F666" s="15" t="s">
        <v>67</v>
      </c>
      <c r="G666" s="27"/>
      <c r="H666" s="27">
        <v>0</v>
      </c>
      <c r="I666" s="27">
        <v>0</v>
      </c>
      <c r="J666" s="1"/>
    </row>
    <row r="667" spans="1:20" s="108" customFormat="1" ht="54" hidden="1" customHeight="1">
      <c r="A667" s="107" t="s">
        <v>469</v>
      </c>
      <c r="B667" s="86">
        <v>795</v>
      </c>
      <c r="C667" s="105" t="s">
        <v>173</v>
      </c>
      <c r="D667" s="105" t="s">
        <v>70</v>
      </c>
      <c r="E667" s="105" t="s">
        <v>139</v>
      </c>
      <c r="F667" s="105"/>
      <c r="G667" s="106">
        <f>G671+G668</f>
        <v>0</v>
      </c>
      <c r="H667" s="106">
        <f t="shared" ref="H667:I667" si="175">H671+H668</f>
        <v>0</v>
      </c>
      <c r="I667" s="106">
        <f t="shared" si="175"/>
        <v>0</v>
      </c>
      <c r="J667" s="114">
        <v>634136</v>
      </c>
      <c r="P667" s="114"/>
      <c r="Q667" s="114"/>
      <c r="R667" s="114"/>
      <c r="S667" s="114"/>
      <c r="T667" s="114"/>
    </row>
    <row r="668" spans="1:20" s="22" customFormat="1" ht="36" hidden="1" customHeight="1">
      <c r="A668" s="16" t="s">
        <v>646</v>
      </c>
      <c r="B668" s="14">
        <v>795</v>
      </c>
      <c r="C668" s="15" t="s">
        <v>173</v>
      </c>
      <c r="D668" s="15" t="s">
        <v>70</v>
      </c>
      <c r="E668" s="15" t="s">
        <v>647</v>
      </c>
      <c r="F668" s="36"/>
      <c r="G668" s="70">
        <f>G669</f>
        <v>0</v>
      </c>
      <c r="H668" s="70">
        <f t="shared" ref="H668:I669" si="176">H669</f>
        <v>0</v>
      </c>
      <c r="I668" s="70">
        <f t="shared" si="176"/>
        <v>0</v>
      </c>
      <c r="P668" s="21"/>
      <c r="Q668" s="21"/>
      <c r="R668" s="21"/>
      <c r="S668" s="21"/>
      <c r="T668" s="21"/>
    </row>
    <row r="669" spans="1:20" s="22" customFormat="1" ht="24" hidden="1" customHeight="1">
      <c r="A669" s="16" t="s">
        <v>156</v>
      </c>
      <c r="B669" s="14">
        <v>795</v>
      </c>
      <c r="C669" s="15" t="s">
        <v>173</v>
      </c>
      <c r="D669" s="15" t="s">
        <v>70</v>
      </c>
      <c r="E669" s="15" t="s">
        <v>647</v>
      </c>
      <c r="F669" s="15" t="s">
        <v>157</v>
      </c>
      <c r="G669" s="70">
        <f>G670</f>
        <v>0</v>
      </c>
      <c r="H669" s="70">
        <f t="shared" si="176"/>
        <v>0</v>
      </c>
      <c r="I669" s="70">
        <f t="shared" si="176"/>
        <v>0</v>
      </c>
      <c r="P669" s="21"/>
      <c r="Q669" s="21"/>
      <c r="R669" s="21"/>
      <c r="S669" s="21"/>
      <c r="T669" s="21"/>
    </row>
    <row r="670" spans="1:20" s="22" customFormat="1" ht="24" hidden="1" customHeight="1">
      <c r="A670" s="16" t="s">
        <v>178</v>
      </c>
      <c r="B670" s="14">
        <v>795</v>
      </c>
      <c r="C670" s="15" t="s">
        <v>173</v>
      </c>
      <c r="D670" s="15" t="s">
        <v>70</v>
      </c>
      <c r="E670" s="15" t="s">
        <v>647</v>
      </c>
      <c r="F670" s="15" t="s">
        <v>179</v>
      </c>
      <c r="G670" s="70">
        <v>0</v>
      </c>
      <c r="H670" s="70">
        <v>0</v>
      </c>
      <c r="I670" s="70">
        <v>0</v>
      </c>
      <c r="P670" s="21"/>
      <c r="Q670" s="21"/>
      <c r="R670" s="21"/>
      <c r="S670" s="21"/>
      <c r="T670" s="21"/>
    </row>
    <row r="671" spans="1:20" ht="51.75" hidden="1" customHeight="1">
      <c r="A671" s="16" t="s">
        <v>404</v>
      </c>
      <c r="B671" s="49">
        <v>795</v>
      </c>
      <c r="C671" s="15" t="s">
        <v>173</v>
      </c>
      <c r="D671" s="15" t="s">
        <v>70</v>
      </c>
      <c r="E671" s="15" t="s">
        <v>403</v>
      </c>
      <c r="F671" s="15"/>
      <c r="G671" s="87">
        <f t="shared" ref="G671:I671" si="177">G672</f>
        <v>0</v>
      </c>
      <c r="H671" s="87">
        <f t="shared" si="177"/>
        <v>0</v>
      </c>
      <c r="I671" s="87">
        <f t="shared" si="177"/>
        <v>0</v>
      </c>
    </row>
    <row r="672" spans="1:20" ht="30.75" hidden="1" customHeight="1">
      <c r="A672" s="16" t="s">
        <v>156</v>
      </c>
      <c r="B672" s="14">
        <v>793</v>
      </c>
      <c r="C672" s="15" t="s">
        <v>69</v>
      </c>
      <c r="D672" s="15" t="s">
        <v>70</v>
      </c>
      <c r="E672" s="15" t="s">
        <v>403</v>
      </c>
      <c r="F672" s="15" t="s">
        <v>157</v>
      </c>
      <c r="G672" s="70">
        <f>G673</f>
        <v>0</v>
      </c>
      <c r="H672" s="70">
        <f t="shared" ref="H672:I672" si="178">H673</f>
        <v>0</v>
      </c>
      <c r="I672" s="70">
        <f t="shared" si="178"/>
        <v>0</v>
      </c>
    </row>
    <row r="673" spans="1:20" ht="30.75" hidden="1" customHeight="1">
      <c r="A673" s="16" t="s">
        <v>178</v>
      </c>
      <c r="B673" s="14">
        <v>793</v>
      </c>
      <c r="C673" s="15" t="s">
        <v>69</v>
      </c>
      <c r="D673" s="15" t="s">
        <v>70</v>
      </c>
      <c r="E673" s="15" t="s">
        <v>403</v>
      </c>
      <c r="F673" s="15" t="s">
        <v>179</v>
      </c>
      <c r="G673" s="70">
        <f>'прил 5,'!G2029</f>
        <v>0</v>
      </c>
      <c r="H673" s="70">
        <f>'прил 5,'!H2029</f>
        <v>0</v>
      </c>
      <c r="I673" s="70">
        <f>'прил 5,'!I2029</f>
        <v>0</v>
      </c>
    </row>
    <row r="674" spans="1:20" s="18" customFormat="1" ht="38.25" hidden="1">
      <c r="A674" s="181" t="s">
        <v>882</v>
      </c>
      <c r="B674" s="15" t="s">
        <v>94</v>
      </c>
      <c r="C674" s="15" t="s">
        <v>26</v>
      </c>
      <c r="D674" s="15" t="s">
        <v>123</v>
      </c>
      <c r="E674" s="15" t="s">
        <v>918</v>
      </c>
      <c r="F674" s="15"/>
      <c r="G674" s="70">
        <f t="shared" ref="G674:I674" si="179">G675</f>
        <v>0</v>
      </c>
      <c r="H674" s="70">
        <f t="shared" si="179"/>
        <v>0</v>
      </c>
      <c r="I674" s="70">
        <f t="shared" si="179"/>
        <v>0</v>
      </c>
      <c r="J674" s="176"/>
    </row>
    <row r="675" spans="1:20" s="18" customFormat="1" ht="38.25" hidden="1">
      <c r="A675" s="80" t="s">
        <v>882</v>
      </c>
      <c r="B675" s="15" t="s">
        <v>94</v>
      </c>
      <c r="C675" s="15" t="s">
        <v>26</v>
      </c>
      <c r="D675" s="15" t="s">
        <v>123</v>
      </c>
      <c r="E675" s="15" t="s">
        <v>917</v>
      </c>
      <c r="F675" s="15"/>
      <c r="G675" s="70">
        <f t="shared" ref="G675:I676" si="180">G676</f>
        <v>0</v>
      </c>
      <c r="H675" s="70">
        <f t="shared" si="180"/>
        <v>0</v>
      </c>
      <c r="I675" s="70">
        <f t="shared" si="180"/>
        <v>0</v>
      </c>
      <c r="J675" s="176"/>
    </row>
    <row r="676" spans="1:20" s="18" customFormat="1" hidden="1">
      <c r="A676" s="16" t="s">
        <v>148</v>
      </c>
      <c r="B676" s="15" t="s">
        <v>94</v>
      </c>
      <c r="C676" s="15" t="s">
        <v>26</v>
      </c>
      <c r="D676" s="15" t="s">
        <v>123</v>
      </c>
      <c r="E676" s="15" t="s">
        <v>917</v>
      </c>
      <c r="F676" s="15" t="s">
        <v>149</v>
      </c>
      <c r="G676" s="70">
        <f t="shared" si="180"/>
        <v>0</v>
      </c>
      <c r="H676" s="70">
        <f t="shared" si="180"/>
        <v>0</v>
      </c>
      <c r="I676" s="70">
        <f t="shared" si="180"/>
        <v>0</v>
      </c>
      <c r="J676" s="176"/>
    </row>
    <row r="677" spans="1:20" s="18" customFormat="1" hidden="1">
      <c r="A677" s="16" t="s">
        <v>922</v>
      </c>
      <c r="B677" s="15" t="s">
        <v>94</v>
      </c>
      <c r="C677" s="15" t="s">
        <v>26</v>
      </c>
      <c r="D677" s="15" t="s">
        <v>123</v>
      </c>
      <c r="E677" s="15" t="s">
        <v>917</v>
      </c>
      <c r="F677" s="15" t="s">
        <v>919</v>
      </c>
      <c r="G677" s="70">
        <f>'прил 5,'!G993</f>
        <v>0</v>
      </c>
      <c r="H677" s="70">
        <f>'прил 5,'!H993</f>
        <v>0</v>
      </c>
      <c r="I677" s="70">
        <f>'прил 5,'!I993</f>
        <v>0</v>
      </c>
      <c r="J677" s="176"/>
    </row>
    <row r="678" spans="1:20" ht="33" hidden="1" customHeight="1">
      <c r="A678" s="16" t="s">
        <v>984</v>
      </c>
      <c r="B678" s="15" t="s">
        <v>94</v>
      </c>
      <c r="C678" s="15" t="s">
        <v>26</v>
      </c>
      <c r="D678" s="15" t="s">
        <v>123</v>
      </c>
      <c r="E678" s="15" t="s">
        <v>964</v>
      </c>
      <c r="F678" s="15"/>
      <c r="G678" s="70">
        <f>G679</f>
        <v>0</v>
      </c>
      <c r="H678" s="70">
        <f t="shared" ref="H678:I678" si="181">H679</f>
        <v>0</v>
      </c>
      <c r="I678" s="70">
        <f t="shared" si="181"/>
        <v>0</v>
      </c>
      <c r="J678" s="177"/>
      <c r="K678" s="186"/>
      <c r="L678" s="186"/>
      <c r="M678" s="186"/>
      <c r="N678" s="186"/>
      <c r="O678" s="186"/>
      <c r="P678" s="186"/>
      <c r="Q678" s="186"/>
      <c r="R678" s="186"/>
      <c r="S678" s="1"/>
      <c r="T678" s="1"/>
    </row>
    <row r="679" spans="1:20" ht="24.75" hidden="1" customHeight="1">
      <c r="A679" s="16" t="s">
        <v>36</v>
      </c>
      <c r="B679" s="15" t="s">
        <v>94</v>
      </c>
      <c r="C679" s="15" t="s">
        <v>26</v>
      </c>
      <c r="D679" s="15" t="s">
        <v>123</v>
      </c>
      <c r="E679" s="15" t="s">
        <v>964</v>
      </c>
      <c r="F679" s="15" t="s">
        <v>37</v>
      </c>
      <c r="G679" s="70">
        <f>G680</f>
        <v>0</v>
      </c>
      <c r="H679" s="70">
        <f t="shared" ref="H679:I679" si="182">H680</f>
        <v>0</v>
      </c>
      <c r="I679" s="70">
        <f t="shared" si="182"/>
        <v>0</v>
      </c>
      <c r="J679" s="177"/>
      <c r="K679" s="186"/>
      <c r="L679" s="186"/>
      <c r="M679" s="186"/>
      <c r="N679" s="186"/>
      <c r="O679" s="186"/>
      <c r="P679" s="186"/>
      <c r="Q679" s="186"/>
      <c r="R679" s="186"/>
      <c r="S679" s="1"/>
      <c r="T679" s="1"/>
    </row>
    <row r="680" spans="1:20" ht="42.75" hidden="1" customHeight="1">
      <c r="A680" s="16" t="s">
        <v>38</v>
      </c>
      <c r="B680" s="15" t="s">
        <v>94</v>
      </c>
      <c r="C680" s="15" t="s">
        <v>26</v>
      </c>
      <c r="D680" s="15" t="s">
        <v>123</v>
      </c>
      <c r="E680" s="15" t="s">
        <v>964</v>
      </c>
      <c r="F680" s="15" t="s">
        <v>39</v>
      </c>
      <c r="G680" s="87">
        <f>'прил 5,'!G996</f>
        <v>0</v>
      </c>
      <c r="H680" s="70">
        <v>0</v>
      </c>
      <c r="I680" s="70">
        <v>0</v>
      </c>
      <c r="J680" s="177"/>
      <c r="K680" s="186"/>
      <c r="L680" s="186"/>
      <c r="M680" s="186"/>
      <c r="N680" s="186"/>
      <c r="O680" s="186"/>
      <c r="P680" s="186"/>
      <c r="Q680" s="186"/>
      <c r="R680" s="186"/>
      <c r="S680" s="1"/>
      <c r="T680" s="1"/>
    </row>
    <row r="681" spans="1:20" s="32" customFormat="1" ht="29.25" customHeight="1">
      <c r="A681" s="237" t="s">
        <v>468</v>
      </c>
      <c r="B681" s="35">
        <v>757</v>
      </c>
      <c r="C681" s="36" t="s">
        <v>44</v>
      </c>
      <c r="D681" s="36" t="s">
        <v>54</v>
      </c>
      <c r="E681" s="36" t="s">
        <v>202</v>
      </c>
      <c r="F681" s="36"/>
      <c r="G681" s="71">
        <f>G682+G687+G690+G698+G694</f>
        <v>911100</v>
      </c>
      <c r="H681" s="71">
        <f t="shared" ref="H681:I681" si="183">H682+H687+H690+H698</f>
        <v>161100</v>
      </c>
      <c r="I681" s="71">
        <f t="shared" si="183"/>
        <v>161100</v>
      </c>
      <c r="J681" s="31"/>
      <c r="P681" s="31"/>
      <c r="Q681" s="31"/>
      <c r="R681" s="31"/>
      <c r="S681" s="31"/>
      <c r="T681" s="31"/>
    </row>
    <row r="682" spans="1:20" s="32" customFormat="1" ht="27.75" customHeight="1">
      <c r="A682" s="30" t="s">
        <v>137</v>
      </c>
      <c r="B682" s="14">
        <v>757</v>
      </c>
      <c r="C682" s="15" t="s">
        <v>44</v>
      </c>
      <c r="D682" s="15" t="s">
        <v>19</v>
      </c>
      <c r="E682" s="15" t="s">
        <v>203</v>
      </c>
      <c r="F682" s="15"/>
      <c r="G682" s="87">
        <f>G685+G683</f>
        <v>161100</v>
      </c>
      <c r="H682" s="87">
        <f t="shared" ref="H682:I682" si="184">H685+H683</f>
        <v>161100</v>
      </c>
      <c r="I682" s="87">
        <f t="shared" si="184"/>
        <v>161100</v>
      </c>
      <c r="J682" s="31"/>
      <c r="P682" s="31"/>
      <c r="Q682" s="31"/>
      <c r="R682" s="31"/>
      <c r="S682" s="31"/>
      <c r="T682" s="31"/>
    </row>
    <row r="683" spans="1:20" ht="29.25" customHeight="1">
      <c r="A683" s="16" t="s">
        <v>36</v>
      </c>
      <c r="B683" s="14">
        <v>757</v>
      </c>
      <c r="C683" s="15" t="s">
        <v>54</v>
      </c>
      <c r="D683" s="15" t="s">
        <v>88</v>
      </c>
      <c r="E683" s="15" t="s">
        <v>203</v>
      </c>
      <c r="F683" s="84" t="s">
        <v>37</v>
      </c>
      <c r="G683" s="87">
        <f>G684</f>
        <v>0</v>
      </c>
      <c r="H683" s="70">
        <f t="shared" ref="H683:I683" si="185">H684</f>
        <v>75000</v>
      </c>
      <c r="I683" s="70">
        <f t="shared" si="185"/>
        <v>75000</v>
      </c>
      <c r="J683" s="1"/>
    </row>
    <row r="684" spans="1:20" ht="38.25" customHeight="1">
      <c r="A684" s="16" t="s">
        <v>38</v>
      </c>
      <c r="B684" s="14">
        <v>757</v>
      </c>
      <c r="C684" s="15" t="s">
        <v>54</v>
      </c>
      <c r="D684" s="15" t="s">
        <v>88</v>
      </c>
      <c r="E684" s="15" t="s">
        <v>203</v>
      </c>
      <c r="F684" s="84" t="s">
        <v>39</v>
      </c>
      <c r="G684" s="8">
        <f>'прил 5,'!G24</f>
        <v>0</v>
      </c>
      <c r="H684" s="8">
        <f>'прил 5,'!H24</f>
        <v>75000</v>
      </c>
      <c r="I684" s="8">
        <f>'прил 5,'!I24</f>
        <v>75000</v>
      </c>
      <c r="J684" s="1"/>
    </row>
    <row r="685" spans="1:20" ht="32.25" customHeight="1">
      <c r="A685" s="16" t="s">
        <v>30</v>
      </c>
      <c r="B685" s="14">
        <v>757</v>
      </c>
      <c r="C685" s="15" t="s">
        <v>44</v>
      </c>
      <c r="D685" s="15" t="s">
        <v>19</v>
      </c>
      <c r="E685" s="15" t="s">
        <v>203</v>
      </c>
      <c r="F685" s="15" t="s">
        <v>31</v>
      </c>
      <c r="G685" s="85">
        <f t="shared" ref="G685:I685" si="186">G686</f>
        <v>161100</v>
      </c>
      <c r="H685" s="85">
        <f t="shared" si="186"/>
        <v>86100</v>
      </c>
      <c r="I685" s="85">
        <f t="shared" si="186"/>
        <v>86100</v>
      </c>
    </row>
    <row r="686" spans="1:20">
      <c r="A686" s="16" t="s">
        <v>32</v>
      </c>
      <c r="B686" s="14">
        <v>757</v>
      </c>
      <c r="C686" s="15" t="s">
        <v>44</v>
      </c>
      <c r="D686" s="15" t="s">
        <v>19</v>
      </c>
      <c r="E686" s="15" t="s">
        <v>203</v>
      </c>
      <c r="F686" s="15" t="s">
        <v>33</v>
      </c>
      <c r="G686" s="85">
        <f>'прил 5,'!G26</f>
        <v>161100</v>
      </c>
      <c r="H686" s="85">
        <f>'прил 5,'!H26</f>
        <v>86100</v>
      </c>
      <c r="I686" s="85">
        <f>'прил 5,'!I26</f>
        <v>86100</v>
      </c>
      <c r="J686" s="2">
        <v>50000</v>
      </c>
    </row>
    <row r="687" spans="1:20" ht="15" hidden="1" customHeight="1">
      <c r="A687" s="145" t="s">
        <v>502</v>
      </c>
      <c r="B687" s="14">
        <v>757</v>
      </c>
      <c r="C687" s="15" t="s">
        <v>54</v>
      </c>
      <c r="D687" s="15" t="s">
        <v>88</v>
      </c>
      <c r="E687" s="84" t="s">
        <v>501</v>
      </c>
      <c r="F687" s="84"/>
      <c r="G687" s="87">
        <f>G688</f>
        <v>0</v>
      </c>
      <c r="H687" s="87">
        <f t="shared" ref="H687:I688" si="187">H688</f>
        <v>0</v>
      </c>
      <c r="I687" s="87">
        <f t="shared" si="187"/>
        <v>0</v>
      </c>
      <c r="J687" s="1"/>
    </row>
    <row r="688" spans="1:20" ht="27.75" hidden="1" customHeight="1">
      <c r="A688" s="16" t="s">
        <v>36</v>
      </c>
      <c r="B688" s="14">
        <v>757</v>
      </c>
      <c r="C688" s="15" t="s">
        <v>54</v>
      </c>
      <c r="D688" s="15" t="s">
        <v>88</v>
      </c>
      <c r="E688" s="84" t="s">
        <v>501</v>
      </c>
      <c r="F688" s="84" t="s">
        <v>37</v>
      </c>
      <c r="G688" s="87">
        <f>G689</f>
        <v>0</v>
      </c>
      <c r="H688" s="87">
        <f t="shared" si="187"/>
        <v>0</v>
      </c>
      <c r="I688" s="87">
        <f t="shared" si="187"/>
        <v>0</v>
      </c>
      <c r="J688" s="1"/>
    </row>
    <row r="689" spans="1:20" ht="30.75" hidden="1" customHeight="1">
      <c r="A689" s="16" t="s">
        <v>38</v>
      </c>
      <c r="B689" s="14">
        <v>757</v>
      </c>
      <c r="C689" s="15" t="s">
        <v>54</v>
      </c>
      <c r="D689" s="15" t="s">
        <v>88</v>
      </c>
      <c r="E689" s="84" t="s">
        <v>501</v>
      </c>
      <c r="F689" s="84" t="s">
        <v>39</v>
      </c>
      <c r="G689" s="87">
        <f>'прил 5,'!G29</f>
        <v>0</v>
      </c>
      <c r="H689" s="87">
        <v>0</v>
      </c>
      <c r="I689" s="87">
        <v>0</v>
      </c>
      <c r="J689" s="1"/>
    </row>
    <row r="690" spans="1:20" s="18" customFormat="1" ht="32.25" hidden="1" customHeight="1">
      <c r="A690" s="16" t="s">
        <v>113</v>
      </c>
      <c r="B690" s="49">
        <v>795</v>
      </c>
      <c r="C690" s="15" t="s">
        <v>54</v>
      </c>
      <c r="D690" s="15" t="s">
        <v>123</v>
      </c>
      <c r="E690" s="15" t="s">
        <v>202</v>
      </c>
      <c r="F690" s="15"/>
      <c r="G690" s="70">
        <f t="shared" ref="G690:I692" si="188">G691</f>
        <v>0</v>
      </c>
      <c r="H690" s="70">
        <f t="shared" si="188"/>
        <v>0</v>
      </c>
      <c r="I690" s="70">
        <f t="shared" si="188"/>
        <v>0</v>
      </c>
      <c r="P690" s="17"/>
      <c r="Q690" s="17"/>
      <c r="R690" s="17"/>
      <c r="S690" s="17"/>
      <c r="T690" s="17"/>
    </row>
    <row r="691" spans="1:20" s="18" customFormat="1" ht="62.25" hidden="1" customHeight="1">
      <c r="A691" s="16" t="s">
        <v>794</v>
      </c>
      <c r="B691" s="49">
        <v>795</v>
      </c>
      <c r="C691" s="15" t="s">
        <v>54</v>
      </c>
      <c r="D691" s="15" t="s">
        <v>123</v>
      </c>
      <c r="E691" s="15" t="s">
        <v>419</v>
      </c>
      <c r="F691" s="15"/>
      <c r="G691" s="70">
        <f t="shared" si="188"/>
        <v>0</v>
      </c>
      <c r="H691" s="70">
        <f t="shared" si="188"/>
        <v>0</v>
      </c>
      <c r="I691" s="70">
        <f t="shared" si="188"/>
        <v>0</v>
      </c>
      <c r="P691" s="17"/>
      <c r="Q691" s="17"/>
      <c r="R691" s="17"/>
      <c r="S691" s="17"/>
      <c r="T691" s="17"/>
    </row>
    <row r="692" spans="1:20" s="18" customFormat="1" ht="39" hidden="1" customHeight="1">
      <c r="A692" s="16" t="s">
        <v>96</v>
      </c>
      <c r="B692" s="49">
        <v>795</v>
      </c>
      <c r="C692" s="15" t="s">
        <v>54</v>
      </c>
      <c r="D692" s="15" t="s">
        <v>123</v>
      </c>
      <c r="E692" s="15" t="s">
        <v>419</v>
      </c>
      <c r="F692" s="15" t="s">
        <v>349</v>
      </c>
      <c r="G692" s="70">
        <f t="shared" si="188"/>
        <v>0</v>
      </c>
      <c r="H692" s="70">
        <f t="shared" si="188"/>
        <v>0</v>
      </c>
      <c r="I692" s="70">
        <f t="shared" si="188"/>
        <v>0</v>
      </c>
      <c r="P692" s="17"/>
      <c r="Q692" s="17"/>
      <c r="R692" s="17"/>
      <c r="S692" s="17"/>
      <c r="T692" s="17"/>
    </row>
    <row r="693" spans="1:20" s="18" customFormat="1" ht="15.75" hidden="1" customHeight="1">
      <c r="A693" s="16" t="s">
        <v>350</v>
      </c>
      <c r="B693" s="49">
        <v>795</v>
      </c>
      <c r="C693" s="15" t="s">
        <v>54</v>
      </c>
      <c r="D693" s="15" t="s">
        <v>123</v>
      </c>
      <c r="E693" s="15" t="s">
        <v>419</v>
      </c>
      <c r="F693" s="15" t="s">
        <v>351</v>
      </c>
      <c r="G693" s="70">
        <f>'прил 5,'!G1878</f>
        <v>0</v>
      </c>
      <c r="H693" s="70">
        <v>0</v>
      </c>
      <c r="I693" s="70">
        <v>0</v>
      </c>
      <c r="P693" s="17"/>
      <c r="Q693" s="17"/>
      <c r="R693" s="17"/>
      <c r="S693" s="17"/>
      <c r="T693" s="17"/>
    </row>
    <row r="694" spans="1:20" s="18" customFormat="1" ht="70.5" customHeight="1">
      <c r="A694" s="16" t="s">
        <v>794</v>
      </c>
      <c r="B694" s="14">
        <v>793</v>
      </c>
      <c r="C694" s="15" t="s">
        <v>54</v>
      </c>
      <c r="D694" s="15" t="s">
        <v>123</v>
      </c>
      <c r="E694" s="15" t="s">
        <v>419</v>
      </c>
      <c r="F694" s="15"/>
      <c r="G694" s="70">
        <f t="shared" ref="G694:I695" si="189">G695</f>
        <v>750000</v>
      </c>
      <c r="H694" s="70">
        <f t="shared" si="189"/>
        <v>0</v>
      </c>
      <c r="I694" s="70">
        <f t="shared" si="189"/>
        <v>0</v>
      </c>
      <c r="J694" s="177"/>
      <c r="K694" s="200"/>
      <c r="L694" s="200"/>
      <c r="M694" s="200"/>
      <c r="N694" s="200"/>
      <c r="O694" s="200"/>
      <c r="P694" s="200"/>
      <c r="Q694" s="200"/>
      <c r="R694" s="200"/>
    </row>
    <row r="695" spans="1:20" s="18" customFormat="1" ht="39" customHeight="1">
      <c r="A695" s="16" t="s">
        <v>96</v>
      </c>
      <c r="B695" s="14">
        <v>793</v>
      </c>
      <c r="C695" s="15" t="s">
        <v>54</v>
      </c>
      <c r="D695" s="15" t="s">
        <v>123</v>
      </c>
      <c r="E695" s="15" t="s">
        <v>419</v>
      </c>
      <c r="F695" s="15" t="s">
        <v>349</v>
      </c>
      <c r="G695" s="70">
        <f t="shared" si="189"/>
        <v>750000</v>
      </c>
      <c r="H695" s="70">
        <f t="shared" si="189"/>
        <v>0</v>
      </c>
      <c r="I695" s="70">
        <f t="shared" si="189"/>
        <v>0</v>
      </c>
      <c r="J695" s="177"/>
      <c r="K695" s="200"/>
      <c r="L695" s="200"/>
      <c r="M695" s="200"/>
      <c r="N695" s="200"/>
      <c r="O695" s="200"/>
      <c r="P695" s="200"/>
      <c r="Q695" s="200"/>
      <c r="R695" s="200"/>
    </row>
    <row r="696" spans="1:20" s="18" customFormat="1" ht="15.75" customHeight="1">
      <c r="A696" s="16" t="s">
        <v>350</v>
      </c>
      <c r="B696" s="14">
        <v>793</v>
      </c>
      <c r="C696" s="15" t="s">
        <v>54</v>
      </c>
      <c r="D696" s="15" t="s">
        <v>123</v>
      </c>
      <c r="E696" s="15" t="s">
        <v>419</v>
      </c>
      <c r="F696" s="15" t="s">
        <v>351</v>
      </c>
      <c r="G696" s="70">
        <v>750000</v>
      </c>
      <c r="H696" s="70">
        <v>0</v>
      </c>
      <c r="I696" s="70">
        <v>0</v>
      </c>
      <c r="J696" s="177"/>
      <c r="K696" s="200"/>
      <c r="L696" s="200"/>
      <c r="M696" s="200"/>
      <c r="N696" s="200"/>
      <c r="O696" s="200"/>
      <c r="P696" s="200"/>
      <c r="Q696" s="200"/>
      <c r="R696" s="200"/>
    </row>
    <row r="697" spans="1:20" s="18" customFormat="1" ht="32.25" hidden="1" customHeight="1">
      <c r="A697" s="16" t="s">
        <v>949</v>
      </c>
      <c r="B697" s="14">
        <v>793</v>
      </c>
      <c r="C697" s="15" t="s">
        <v>54</v>
      </c>
      <c r="D697" s="15" t="s">
        <v>123</v>
      </c>
      <c r="E697" s="15" t="s">
        <v>948</v>
      </c>
      <c r="F697" s="15"/>
      <c r="G697" s="70">
        <f>G698</f>
        <v>0</v>
      </c>
      <c r="H697" s="70">
        <f t="shared" ref="H697:I697" si="190">H698</f>
        <v>0</v>
      </c>
      <c r="I697" s="70">
        <f t="shared" si="190"/>
        <v>0</v>
      </c>
      <c r="J697" s="177"/>
      <c r="K697" s="200"/>
      <c r="L697" s="200"/>
      <c r="M697" s="200"/>
      <c r="N697" s="200"/>
      <c r="O697" s="200"/>
      <c r="P697" s="200"/>
      <c r="Q697" s="200"/>
      <c r="R697" s="200"/>
    </row>
    <row r="698" spans="1:20" s="18" customFormat="1" ht="87" hidden="1" customHeight="1">
      <c r="A698" s="16" t="s">
        <v>950</v>
      </c>
      <c r="B698" s="49">
        <v>795</v>
      </c>
      <c r="C698" s="15" t="s">
        <v>54</v>
      </c>
      <c r="D698" s="15" t="s">
        <v>123</v>
      </c>
      <c r="E698" s="15" t="s">
        <v>951</v>
      </c>
      <c r="F698" s="15"/>
      <c r="G698" s="70">
        <f t="shared" ref="G698:I699" si="191">G699</f>
        <v>0</v>
      </c>
      <c r="H698" s="70">
        <f t="shared" si="191"/>
        <v>0</v>
      </c>
      <c r="I698" s="70">
        <f t="shared" si="191"/>
        <v>0</v>
      </c>
      <c r="P698" s="17"/>
      <c r="Q698" s="17"/>
      <c r="R698" s="17"/>
      <c r="S698" s="17"/>
      <c r="T698" s="17"/>
    </row>
    <row r="699" spans="1:20" s="18" customFormat="1" ht="39" hidden="1" customHeight="1">
      <c r="A699" s="16" t="s">
        <v>96</v>
      </c>
      <c r="B699" s="49">
        <v>795</v>
      </c>
      <c r="C699" s="15" t="s">
        <v>54</v>
      </c>
      <c r="D699" s="15" t="s">
        <v>123</v>
      </c>
      <c r="E699" s="15" t="s">
        <v>951</v>
      </c>
      <c r="F699" s="15" t="s">
        <v>349</v>
      </c>
      <c r="G699" s="70">
        <f t="shared" si="191"/>
        <v>0</v>
      </c>
      <c r="H699" s="70">
        <f t="shared" si="191"/>
        <v>0</v>
      </c>
      <c r="I699" s="70">
        <f t="shared" si="191"/>
        <v>0</v>
      </c>
      <c r="P699" s="17"/>
      <c r="Q699" s="17"/>
      <c r="R699" s="17"/>
      <c r="S699" s="17"/>
      <c r="T699" s="17"/>
    </row>
    <row r="700" spans="1:20" s="18" customFormat="1" ht="15.75" hidden="1" customHeight="1">
      <c r="A700" s="16" t="s">
        <v>350</v>
      </c>
      <c r="B700" s="49">
        <v>795</v>
      </c>
      <c r="C700" s="15" t="s">
        <v>54</v>
      </c>
      <c r="D700" s="15" t="s">
        <v>123</v>
      </c>
      <c r="E700" s="15" t="s">
        <v>951</v>
      </c>
      <c r="F700" s="15" t="s">
        <v>351</v>
      </c>
      <c r="G700" s="70">
        <f>'прил 5,'!G1409</f>
        <v>0</v>
      </c>
      <c r="H700" s="70">
        <f>'прил 5,'!H1409</f>
        <v>0</v>
      </c>
      <c r="I700" s="70">
        <f>'прил 5,'!I1409</f>
        <v>0</v>
      </c>
      <c r="P700" s="17"/>
      <c r="Q700" s="17"/>
      <c r="R700" s="17"/>
      <c r="S700" s="17"/>
      <c r="T700" s="17"/>
    </row>
    <row r="701" spans="1:20" s="22" customFormat="1" ht="54" customHeight="1">
      <c r="A701" s="34" t="s">
        <v>479</v>
      </c>
      <c r="B701" s="19">
        <v>795</v>
      </c>
      <c r="C701" s="36" t="s">
        <v>161</v>
      </c>
      <c r="D701" s="36" t="s">
        <v>173</v>
      </c>
      <c r="E701" s="36" t="s">
        <v>262</v>
      </c>
      <c r="F701" s="36"/>
      <c r="G701" s="71">
        <f>G705+G714+G718+G721+G730+G733+G736+G739+G744+G747+G753+G751+G738+G750+G756+G706+G759+G725+G762+G722+G709</f>
        <v>11291469.26</v>
      </c>
      <c r="H701" s="71">
        <f t="shared" ref="H701:I701" si="192">H705+H714+H718+H721+H730+H733+H736+H739+H744+H747+H753+H751+H738+H750+H756+H706+H759</f>
        <v>2050000</v>
      </c>
      <c r="I701" s="71">
        <f t="shared" si="192"/>
        <v>2050000</v>
      </c>
      <c r="J701" s="21">
        <v>300000</v>
      </c>
      <c r="P701" s="21"/>
      <c r="Q701" s="21"/>
      <c r="R701" s="21"/>
      <c r="S701" s="21"/>
      <c r="T701" s="21"/>
    </row>
    <row r="702" spans="1:20" s="3" customFormat="1" ht="38.25" hidden="1" customHeight="1">
      <c r="A702" s="16" t="s">
        <v>533</v>
      </c>
      <c r="B702" s="49">
        <v>795</v>
      </c>
      <c r="C702" s="15" t="s">
        <v>161</v>
      </c>
      <c r="D702" s="15" t="s">
        <v>173</v>
      </c>
      <c r="E702" s="15" t="s">
        <v>534</v>
      </c>
      <c r="F702" s="15"/>
      <c r="G702" s="70">
        <f>G704</f>
        <v>0</v>
      </c>
      <c r="H702" s="25">
        <v>0</v>
      </c>
      <c r="I702" s="25">
        <v>0</v>
      </c>
      <c r="P702" s="111"/>
      <c r="Q702" s="111"/>
      <c r="R702" s="111"/>
      <c r="S702" s="111"/>
      <c r="T702" s="111"/>
    </row>
    <row r="703" spans="1:20" s="3" customFormat="1" ht="38.25" hidden="1" customHeight="1">
      <c r="A703" s="16"/>
      <c r="B703" s="49"/>
      <c r="C703" s="15"/>
      <c r="D703" s="15"/>
      <c r="E703" s="15"/>
      <c r="F703" s="15"/>
      <c r="G703" s="70"/>
      <c r="H703" s="117"/>
      <c r="I703" s="118"/>
      <c r="P703" s="111"/>
      <c r="Q703" s="111"/>
      <c r="R703" s="111"/>
      <c r="S703" s="111"/>
      <c r="T703" s="111"/>
    </row>
    <row r="704" spans="1:20" s="3" customFormat="1" ht="38.25" hidden="1" customHeight="1">
      <c r="A704" s="16" t="s">
        <v>36</v>
      </c>
      <c r="B704" s="49">
        <v>795</v>
      </c>
      <c r="C704" s="15" t="s">
        <v>161</v>
      </c>
      <c r="D704" s="15" t="s">
        <v>173</v>
      </c>
      <c r="E704" s="15" t="s">
        <v>534</v>
      </c>
      <c r="F704" s="15" t="s">
        <v>37</v>
      </c>
      <c r="G704" s="70">
        <f>G705</f>
        <v>0</v>
      </c>
      <c r="H704" s="25">
        <v>0</v>
      </c>
      <c r="I704" s="25">
        <v>0</v>
      </c>
      <c r="P704" s="111"/>
      <c r="Q704" s="111"/>
      <c r="R704" s="111"/>
      <c r="S704" s="111"/>
      <c r="T704" s="111"/>
    </row>
    <row r="705" spans="1:20" s="3" customFormat="1" ht="38.25" hidden="1" customHeight="1">
      <c r="A705" s="16" t="s">
        <v>38</v>
      </c>
      <c r="B705" s="49">
        <v>795</v>
      </c>
      <c r="C705" s="15" t="s">
        <v>161</v>
      </c>
      <c r="D705" s="15" t="s">
        <v>173</v>
      </c>
      <c r="E705" s="15" t="s">
        <v>534</v>
      </c>
      <c r="F705" s="15" t="s">
        <v>39</v>
      </c>
      <c r="G705" s="70">
        <f>'прил 5,'!G2063</f>
        <v>0</v>
      </c>
      <c r="H705" s="25">
        <v>0</v>
      </c>
      <c r="I705" s="25">
        <v>0</v>
      </c>
      <c r="P705" s="111"/>
      <c r="Q705" s="111"/>
      <c r="R705" s="111"/>
      <c r="S705" s="111"/>
      <c r="T705" s="111"/>
    </row>
    <row r="706" spans="1:20" s="3" customFormat="1" ht="38.25" hidden="1" customHeight="1">
      <c r="A706" s="16" t="s">
        <v>761</v>
      </c>
      <c r="B706" s="49">
        <v>795</v>
      </c>
      <c r="C706" s="15" t="s">
        <v>161</v>
      </c>
      <c r="D706" s="15" t="s">
        <v>173</v>
      </c>
      <c r="E706" s="15" t="s">
        <v>760</v>
      </c>
      <c r="F706" s="15"/>
      <c r="G706" s="70">
        <f t="shared" ref="G706:I707" si="193">G707</f>
        <v>0</v>
      </c>
      <c r="H706" s="70">
        <f t="shared" si="193"/>
        <v>0</v>
      </c>
      <c r="I706" s="70">
        <f t="shared" si="193"/>
        <v>0</v>
      </c>
      <c r="P706" s="111"/>
      <c r="Q706" s="111"/>
      <c r="R706" s="111"/>
      <c r="S706" s="111"/>
      <c r="T706" s="111"/>
    </row>
    <row r="707" spans="1:20" s="3" customFormat="1" ht="38.25" hidden="1" customHeight="1">
      <c r="A707" s="16" t="s">
        <v>36</v>
      </c>
      <c r="B707" s="49">
        <v>795</v>
      </c>
      <c r="C707" s="15" t="s">
        <v>161</v>
      </c>
      <c r="D707" s="15" t="s">
        <v>173</v>
      </c>
      <c r="E707" s="15" t="s">
        <v>760</v>
      </c>
      <c r="F707" s="15" t="s">
        <v>37</v>
      </c>
      <c r="G707" s="70">
        <f t="shared" si="193"/>
        <v>0</v>
      </c>
      <c r="H707" s="70">
        <f t="shared" si="193"/>
        <v>0</v>
      </c>
      <c r="I707" s="70">
        <f t="shared" si="193"/>
        <v>0</v>
      </c>
      <c r="P707" s="111"/>
      <c r="Q707" s="111"/>
      <c r="R707" s="111"/>
      <c r="S707" s="111"/>
      <c r="T707" s="111"/>
    </row>
    <row r="708" spans="1:20" s="3" customFormat="1" ht="38.25" hidden="1" customHeight="1">
      <c r="A708" s="16" t="s">
        <v>38</v>
      </c>
      <c r="B708" s="49">
        <v>795</v>
      </c>
      <c r="C708" s="15" t="s">
        <v>161</v>
      </c>
      <c r="D708" s="15" t="s">
        <v>173</v>
      </c>
      <c r="E708" s="15" t="s">
        <v>760</v>
      </c>
      <c r="F708" s="15" t="s">
        <v>39</v>
      </c>
      <c r="G708" s="70">
        <f>'прил 5,'!G2066</f>
        <v>0</v>
      </c>
      <c r="H708" s="70"/>
      <c r="I708" s="70"/>
      <c r="P708" s="111"/>
      <c r="Q708" s="111"/>
      <c r="R708" s="111"/>
      <c r="S708" s="111"/>
      <c r="T708" s="111"/>
    </row>
    <row r="709" spans="1:20" s="3" customFormat="1" ht="46.5" customHeight="1">
      <c r="A709" s="82" t="s">
        <v>1088</v>
      </c>
      <c r="B709" s="83">
        <v>793</v>
      </c>
      <c r="C709" s="84" t="s">
        <v>161</v>
      </c>
      <c r="D709" s="84" t="s">
        <v>173</v>
      </c>
      <c r="E709" s="84" t="s">
        <v>1087</v>
      </c>
      <c r="F709" s="84"/>
      <c r="G709" s="87">
        <f t="shared" ref="G709:I710" si="194">G710</f>
        <v>8931011.5999999996</v>
      </c>
      <c r="H709" s="87">
        <f t="shared" si="194"/>
        <v>0</v>
      </c>
      <c r="I709" s="87">
        <f t="shared" si="194"/>
        <v>0</v>
      </c>
      <c r="J709" s="177"/>
      <c r="K709" s="199"/>
      <c r="L709" s="199"/>
      <c r="M709" s="199"/>
      <c r="N709" s="199"/>
      <c r="O709" s="199"/>
      <c r="P709" s="199"/>
      <c r="Q709" s="199"/>
      <c r="R709" s="199"/>
    </row>
    <row r="710" spans="1:20" s="3" customFormat="1" ht="38.25" customHeight="1">
      <c r="A710" s="82" t="s">
        <v>36</v>
      </c>
      <c r="B710" s="83">
        <v>793</v>
      </c>
      <c r="C710" s="84" t="s">
        <v>161</v>
      </c>
      <c r="D710" s="84" t="s">
        <v>173</v>
      </c>
      <c r="E710" s="84" t="s">
        <v>1087</v>
      </c>
      <c r="F710" s="84" t="s">
        <v>37</v>
      </c>
      <c r="G710" s="87">
        <f t="shared" si="194"/>
        <v>8931011.5999999996</v>
      </c>
      <c r="H710" s="87">
        <f t="shared" si="194"/>
        <v>0</v>
      </c>
      <c r="I710" s="87">
        <f t="shared" si="194"/>
        <v>0</v>
      </c>
      <c r="J710" s="177"/>
      <c r="K710" s="199"/>
      <c r="L710" s="199"/>
      <c r="M710" s="199"/>
      <c r="N710" s="199"/>
      <c r="O710" s="199"/>
      <c r="P710" s="199"/>
      <c r="Q710" s="199"/>
      <c r="R710" s="199"/>
    </row>
    <row r="711" spans="1:20" s="3" customFormat="1" ht="38.25" customHeight="1">
      <c r="A711" s="82" t="s">
        <v>38</v>
      </c>
      <c r="B711" s="83">
        <v>793</v>
      </c>
      <c r="C711" s="84" t="s">
        <v>161</v>
      </c>
      <c r="D711" s="84" t="s">
        <v>173</v>
      </c>
      <c r="E711" s="84" t="s">
        <v>1087</v>
      </c>
      <c r="F711" s="84" t="s">
        <v>39</v>
      </c>
      <c r="G711" s="87">
        <f>'прил 5,'!G1621</f>
        <v>8931011.5999999996</v>
      </c>
      <c r="H711" s="87"/>
      <c r="I711" s="87"/>
      <c r="J711" s="177"/>
      <c r="K711" s="199"/>
      <c r="L711" s="199"/>
      <c r="M711" s="199"/>
      <c r="N711" s="199"/>
      <c r="O711" s="199"/>
      <c r="P711" s="199"/>
      <c r="Q711" s="199"/>
      <c r="R711" s="199"/>
    </row>
    <row r="712" spans="1:20" s="3" customFormat="1" ht="24.75" customHeight="1">
      <c r="A712" s="16" t="s">
        <v>128</v>
      </c>
      <c r="B712" s="49">
        <v>795</v>
      </c>
      <c r="C712" s="15" t="s">
        <v>161</v>
      </c>
      <c r="D712" s="15" t="s">
        <v>173</v>
      </c>
      <c r="E712" s="15" t="s">
        <v>286</v>
      </c>
      <c r="F712" s="15"/>
      <c r="G712" s="70">
        <f>G714</f>
        <v>50000</v>
      </c>
      <c r="H712" s="87">
        <f>H714</f>
        <v>50000</v>
      </c>
      <c r="I712" s="87">
        <f>I714</f>
        <v>50000</v>
      </c>
      <c r="J712" s="111">
        <v>700000</v>
      </c>
      <c r="P712" s="111"/>
      <c r="Q712" s="111"/>
      <c r="R712" s="111"/>
      <c r="S712" s="111"/>
      <c r="T712" s="111"/>
    </row>
    <row r="713" spans="1:20" s="3" customFormat="1" ht="28.5" customHeight="1">
      <c r="A713" s="16" t="s">
        <v>36</v>
      </c>
      <c r="B713" s="49">
        <v>795</v>
      </c>
      <c r="C713" s="15" t="s">
        <v>161</v>
      </c>
      <c r="D713" s="15" t="s">
        <v>173</v>
      </c>
      <c r="E713" s="15" t="s">
        <v>286</v>
      </c>
      <c r="F713" s="15" t="s">
        <v>37</v>
      </c>
      <c r="G713" s="70">
        <f>G714</f>
        <v>50000</v>
      </c>
      <c r="H713" s="87">
        <f>H714</f>
        <v>50000</v>
      </c>
      <c r="I713" s="87">
        <f>I714</f>
        <v>50000</v>
      </c>
      <c r="J713" s="111">
        <v>30000</v>
      </c>
      <c r="P713" s="111"/>
      <c r="Q713" s="111"/>
      <c r="R713" s="111"/>
      <c r="S713" s="111"/>
      <c r="T713" s="111"/>
    </row>
    <row r="714" spans="1:20" s="3" customFormat="1" ht="29.25" customHeight="1">
      <c r="A714" s="16" t="s">
        <v>38</v>
      </c>
      <c r="B714" s="49">
        <v>795</v>
      </c>
      <c r="C714" s="15" t="s">
        <v>161</v>
      </c>
      <c r="D714" s="15" t="s">
        <v>173</v>
      </c>
      <c r="E714" s="15" t="s">
        <v>286</v>
      </c>
      <c r="F714" s="15" t="s">
        <v>39</v>
      </c>
      <c r="G714" s="70">
        <f>'прил 5,'!G1633</f>
        <v>50000</v>
      </c>
      <c r="H714" s="70">
        <f>'прил 5,'!H1633</f>
        <v>50000</v>
      </c>
      <c r="I714" s="70">
        <f>'прил 5,'!I1633</f>
        <v>50000</v>
      </c>
      <c r="J714" s="111">
        <f>SUM(J701:J713)</f>
        <v>1030000</v>
      </c>
      <c r="P714" s="111"/>
      <c r="Q714" s="111"/>
      <c r="R714" s="111"/>
      <c r="S714" s="111"/>
      <c r="T714" s="111"/>
    </row>
    <row r="715" spans="1:20" s="3" customFormat="1" ht="38.25" customHeight="1">
      <c r="A715" s="16" t="s">
        <v>489</v>
      </c>
      <c r="B715" s="49">
        <v>795</v>
      </c>
      <c r="C715" s="15" t="s">
        <v>161</v>
      </c>
      <c r="D715" s="15" t="s">
        <v>173</v>
      </c>
      <c r="E715" s="15" t="s">
        <v>377</v>
      </c>
      <c r="F715" s="15"/>
      <c r="G715" s="70">
        <f>G717</f>
        <v>426048.26</v>
      </c>
      <c r="H715" s="87">
        <f>H717</f>
        <v>500000</v>
      </c>
      <c r="I715" s="87">
        <f>I717</f>
        <v>500000</v>
      </c>
      <c r="J715" s="111"/>
      <c r="P715" s="111"/>
      <c r="Q715" s="111"/>
      <c r="R715" s="111"/>
      <c r="S715" s="111"/>
      <c r="T715" s="111"/>
    </row>
    <row r="716" spans="1:20" s="3" customFormat="1" ht="38.25" hidden="1" customHeight="1">
      <c r="A716" s="16"/>
      <c r="B716" s="49"/>
      <c r="C716" s="15"/>
      <c r="D716" s="15"/>
      <c r="E716" s="15"/>
      <c r="F716" s="15"/>
      <c r="G716" s="70"/>
      <c r="H716" s="87"/>
      <c r="I716" s="87"/>
      <c r="J716" s="111"/>
      <c r="P716" s="111"/>
      <c r="Q716" s="111"/>
      <c r="R716" s="111"/>
      <c r="S716" s="111"/>
      <c r="T716" s="111"/>
    </row>
    <row r="717" spans="1:20" s="3" customFormat="1" ht="38.25" customHeight="1">
      <c r="A717" s="16" t="s">
        <v>36</v>
      </c>
      <c r="B717" s="49">
        <v>795</v>
      </c>
      <c r="C717" s="15" t="s">
        <v>161</v>
      </c>
      <c r="D717" s="15" t="s">
        <v>173</v>
      </c>
      <c r="E717" s="15" t="s">
        <v>377</v>
      </c>
      <c r="F717" s="15" t="s">
        <v>37</v>
      </c>
      <c r="G717" s="70">
        <f>G718</f>
        <v>426048.26</v>
      </c>
      <c r="H717" s="87">
        <f>H718</f>
        <v>500000</v>
      </c>
      <c r="I717" s="87">
        <f>I718</f>
        <v>500000</v>
      </c>
      <c r="J717" s="111"/>
      <c r="P717" s="111"/>
      <c r="Q717" s="111"/>
      <c r="R717" s="111"/>
      <c r="S717" s="111"/>
      <c r="T717" s="111"/>
    </row>
    <row r="718" spans="1:20" s="3" customFormat="1" ht="38.25" customHeight="1">
      <c r="A718" s="16" t="s">
        <v>38</v>
      </c>
      <c r="B718" s="49">
        <v>795</v>
      </c>
      <c r="C718" s="15" t="s">
        <v>161</v>
      </c>
      <c r="D718" s="15" t="s">
        <v>173</v>
      </c>
      <c r="E718" s="15" t="s">
        <v>377</v>
      </c>
      <c r="F718" s="15" t="s">
        <v>39</v>
      </c>
      <c r="G718" s="70">
        <f>'прил 5,'!G1624</f>
        <v>426048.26</v>
      </c>
      <c r="H718" s="70">
        <f>'прил 5,'!H1624</f>
        <v>500000</v>
      </c>
      <c r="I718" s="70">
        <f>'прил 5,'!I1624</f>
        <v>500000</v>
      </c>
      <c r="J718" s="111"/>
      <c r="P718" s="111"/>
      <c r="Q718" s="111"/>
      <c r="R718" s="111"/>
      <c r="S718" s="111"/>
      <c r="T718" s="111"/>
    </row>
    <row r="719" spans="1:20" s="3" customFormat="1" ht="38.25" customHeight="1">
      <c r="A719" s="16" t="s">
        <v>380</v>
      </c>
      <c r="B719" s="49">
        <v>795</v>
      </c>
      <c r="C719" s="15" t="s">
        <v>161</v>
      </c>
      <c r="D719" s="15" t="s">
        <v>173</v>
      </c>
      <c r="E719" s="15" t="s">
        <v>378</v>
      </c>
      <c r="F719" s="15"/>
      <c r="G719" s="70">
        <f t="shared" ref="G719:I720" si="195">G720</f>
        <v>84300</v>
      </c>
      <c r="H719" s="87">
        <f t="shared" si="195"/>
        <v>1000000</v>
      </c>
      <c r="I719" s="87">
        <f t="shared" si="195"/>
        <v>1000000</v>
      </c>
      <c r="J719" s="111"/>
      <c r="P719" s="111"/>
      <c r="Q719" s="111"/>
      <c r="R719" s="111"/>
      <c r="S719" s="111"/>
      <c r="T719" s="111"/>
    </row>
    <row r="720" spans="1:20" s="3" customFormat="1" ht="38.25" customHeight="1">
      <c r="A720" s="16" t="s">
        <v>36</v>
      </c>
      <c r="B720" s="49">
        <v>795</v>
      </c>
      <c r="C720" s="15" t="s">
        <v>161</v>
      </c>
      <c r="D720" s="15" t="s">
        <v>173</v>
      </c>
      <c r="E720" s="15" t="s">
        <v>378</v>
      </c>
      <c r="F720" s="15" t="s">
        <v>37</v>
      </c>
      <c r="G720" s="70">
        <f t="shared" si="195"/>
        <v>84300</v>
      </c>
      <c r="H720" s="87">
        <f t="shared" si="195"/>
        <v>1000000</v>
      </c>
      <c r="I720" s="87">
        <f t="shared" si="195"/>
        <v>1000000</v>
      </c>
      <c r="J720" s="111"/>
      <c r="P720" s="111"/>
      <c r="Q720" s="111"/>
      <c r="R720" s="111"/>
      <c r="S720" s="111"/>
      <c r="T720" s="111"/>
    </row>
    <row r="721" spans="1:20" s="3" customFormat="1" ht="38.25" customHeight="1">
      <c r="A721" s="16" t="s">
        <v>38</v>
      </c>
      <c r="B721" s="49">
        <v>795</v>
      </c>
      <c r="C721" s="15" t="s">
        <v>161</v>
      </c>
      <c r="D721" s="15" t="s">
        <v>173</v>
      </c>
      <c r="E721" s="15" t="s">
        <v>378</v>
      </c>
      <c r="F721" s="15" t="s">
        <v>39</v>
      </c>
      <c r="G721" s="70">
        <f>'прил 5,'!G1627</f>
        <v>84300</v>
      </c>
      <c r="H721" s="70">
        <f>'прил 5,'!H1627</f>
        <v>1000000</v>
      </c>
      <c r="I721" s="70">
        <f>'прил 5,'!I1627</f>
        <v>1000000</v>
      </c>
      <c r="J721" s="111"/>
      <c r="P721" s="111"/>
      <c r="Q721" s="111"/>
      <c r="R721" s="111"/>
      <c r="S721" s="111"/>
      <c r="T721" s="111"/>
    </row>
    <row r="722" spans="1:20" s="3" customFormat="1" ht="38.25" customHeight="1">
      <c r="A722" s="16" t="s">
        <v>1071</v>
      </c>
      <c r="B722" s="49">
        <v>793</v>
      </c>
      <c r="C722" s="15" t="s">
        <v>161</v>
      </c>
      <c r="D722" s="15" t="s">
        <v>173</v>
      </c>
      <c r="E722" s="15" t="s">
        <v>1070</v>
      </c>
      <c r="F722" s="15"/>
      <c r="G722" s="70">
        <f t="shared" ref="G722:I723" si="196">G723</f>
        <v>1000000</v>
      </c>
      <c r="H722" s="70">
        <f t="shared" si="196"/>
        <v>0</v>
      </c>
      <c r="I722" s="70">
        <f t="shared" si="196"/>
        <v>0</v>
      </c>
      <c r="J722" s="177"/>
      <c r="K722" s="199"/>
      <c r="L722" s="199"/>
      <c r="M722" s="199"/>
      <c r="N722" s="199"/>
      <c r="O722" s="199"/>
      <c r="P722" s="199"/>
      <c r="Q722" s="199"/>
      <c r="R722" s="199"/>
    </row>
    <row r="723" spans="1:20" s="3" customFormat="1" ht="38.25" customHeight="1">
      <c r="A723" s="16" t="s">
        <v>36</v>
      </c>
      <c r="B723" s="49">
        <v>793</v>
      </c>
      <c r="C723" s="15" t="s">
        <v>161</v>
      </c>
      <c r="D723" s="15" t="s">
        <v>173</v>
      </c>
      <c r="E723" s="15" t="s">
        <v>1070</v>
      </c>
      <c r="F723" s="15" t="s">
        <v>37</v>
      </c>
      <c r="G723" s="70">
        <f t="shared" si="196"/>
        <v>1000000</v>
      </c>
      <c r="H723" s="70">
        <f t="shared" si="196"/>
        <v>0</v>
      </c>
      <c r="I723" s="70">
        <f t="shared" si="196"/>
        <v>0</v>
      </c>
      <c r="J723" s="177"/>
      <c r="K723" s="199"/>
      <c r="L723" s="199"/>
      <c r="M723" s="199"/>
      <c r="N723" s="199"/>
      <c r="O723" s="199"/>
      <c r="P723" s="199"/>
      <c r="Q723" s="199"/>
      <c r="R723" s="199"/>
    </row>
    <row r="724" spans="1:20" s="3" customFormat="1" ht="39.75" customHeight="1">
      <c r="A724" s="16" t="s">
        <v>38</v>
      </c>
      <c r="B724" s="49">
        <v>793</v>
      </c>
      <c r="C724" s="15" t="s">
        <v>161</v>
      </c>
      <c r="D724" s="15" t="s">
        <v>173</v>
      </c>
      <c r="E724" s="15" t="s">
        <v>1070</v>
      </c>
      <c r="F724" s="15" t="s">
        <v>39</v>
      </c>
      <c r="G724" s="70">
        <f>'прил 5,'!G1630</f>
        <v>1000000</v>
      </c>
      <c r="H724" s="70"/>
      <c r="I724" s="70"/>
      <c r="J724" s="177"/>
      <c r="K724" s="199"/>
      <c r="L724" s="199"/>
      <c r="M724" s="199"/>
      <c r="N724" s="199"/>
      <c r="O724" s="199"/>
      <c r="P724" s="199"/>
      <c r="Q724" s="199"/>
      <c r="R724" s="199"/>
    </row>
    <row r="725" spans="1:20" s="3" customFormat="1" ht="129.75" hidden="1" customHeight="1">
      <c r="A725" s="16" t="s">
        <v>1021</v>
      </c>
      <c r="B725" s="49">
        <v>793</v>
      </c>
      <c r="C725" s="15" t="s">
        <v>161</v>
      </c>
      <c r="D725" s="15" t="s">
        <v>173</v>
      </c>
      <c r="E725" s="15" t="s">
        <v>1020</v>
      </c>
      <c r="F725" s="15"/>
      <c r="G725" s="70">
        <f>G726</f>
        <v>0</v>
      </c>
      <c r="H725" s="70">
        <f t="shared" ref="H725:I726" si="197">H726</f>
        <v>0</v>
      </c>
      <c r="I725" s="70">
        <f t="shared" si="197"/>
        <v>0</v>
      </c>
      <c r="J725" s="178"/>
      <c r="K725" s="199"/>
      <c r="L725" s="199"/>
      <c r="M725" s="199"/>
      <c r="N725" s="199"/>
      <c r="O725" s="199"/>
      <c r="P725" s="199"/>
      <c r="Q725" s="199"/>
      <c r="R725" s="199"/>
    </row>
    <row r="726" spans="1:20" s="3" customFormat="1" ht="38.25" hidden="1" customHeight="1">
      <c r="A726" s="16" t="s">
        <v>36</v>
      </c>
      <c r="B726" s="49">
        <v>793</v>
      </c>
      <c r="C726" s="15" t="s">
        <v>161</v>
      </c>
      <c r="D726" s="15" t="s">
        <v>173</v>
      </c>
      <c r="E726" s="15" t="s">
        <v>1020</v>
      </c>
      <c r="F726" s="15" t="s">
        <v>157</v>
      </c>
      <c r="G726" s="70">
        <f>G727</f>
        <v>0</v>
      </c>
      <c r="H726" s="70">
        <f t="shared" si="197"/>
        <v>0</v>
      </c>
      <c r="I726" s="70">
        <f t="shared" si="197"/>
        <v>0</v>
      </c>
      <c r="J726" s="178"/>
      <c r="K726" s="199"/>
      <c r="L726" s="199"/>
      <c r="M726" s="199"/>
      <c r="N726" s="199"/>
      <c r="O726" s="199"/>
      <c r="P726" s="199"/>
      <c r="Q726" s="199"/>
      <c r="R726" s="199"/>
    </row>
    <row r="727" spans="1:20" s="3" customFormat="1" ht="38.25" hidden="1" customHeight="1">
      <c r="A727" s="16" t="s">
        <v>38</v>
      </c>
      <c r="B727" s="49">
        <v>793</v>
      </c>
      <c r="C727" s="15" t="s">
        <v>161</v>
      </c>
      <c r="D727" s="15" t="s">
        <v>173</v>
      </c>
      <c r="E727" s="15" t="s">
        <v>1020</v>
      </c>
      <c r="F727" s="15" t="s">
        <v>179</v>
      </c>
      <c r="G727" s="70"/>
      <c r="H727" s="70"/>
      <c r="I727" s="70"/>
      <c r="J727" s="177"/>
      <c r="K727" s="199"/>
      <c r="L727" s="199"/>
      <c r="M727" s="199"/>
      <c r="N727" s="199"/>
      <c r="O727" s="199"/>
      <c r="P727" s="199"/>
      <c r="Q727" s="199"/>
      <c r="R727" s="199"/>
    </row>
    <row r="728" spans="1:20" s="3" customFormat="1" ht="38.25" customHeight="1">
      <c r="A728" s="16" t="s">
        <v>533</v>
      </c>
      <c r="B728" s="49">
        <v>795</v>
      </c>
      <c r="C728" s="15" t="s">
        <v>161</v>
      </c>
      <c r="D728" s="15" t="s">
        <v>173</v>
      </c>
      <c r="E728" s="15" t="s">
        <v>534</v>
      </c>
      <c r="F728" s="15"/>
      <c r="G728" s="70">
        <f>G729</f>
        <v>528332.4</v>
      </c>
      <c r="H728" s="70">
        <f t="shared" ref="H728:I729" si="198">H729</f>
        <v>500000</v>
      </c>
      <c r="I728" s="70">
        <f t="shared" si="198"/>
        <v>500000</v>
      </c>
      <c r="J728" s="111"/>
      <c r="P728" s="111"/>
      <c r="Q728" s="111"/>
      <c r="R728" s="111"/>
      <c r="S728" s="111"/>
      <c r="T728" s="111"/>
    </row>
    <row r="729" spans="1:20" s="3" customFormat="1" ht="38.25" customHeight="1">
      <c r="A729" s="16" t="s">
        <v>36</v>
      </c>
      <c r="B729" s="49">
        <v>795</v>
      </c>
      <c r="C729" s="15" t="s">
        <v>161</v>
      </c>
      <c r="D729" s="15" t="s">
        <v>173</v>
      </c>
      <c r="E729" s="15" t="s">
        <v>534</v>
      </c>
      <c r="F729" s="15" t="s">
        <v>37</v>
      </c>
      <c r="G729" s="70">
        <f>G730</f>
        <v>528332.4</v>
      </c>
      <c r="H729" s="70">
        <f t="shared" si="198"/>
        <v>500000</v>
      </c>
      <c r="I729" s="70">
        <f t="shared" si="198"/>
        <v>500000</v>
      </c>
      <c r="J729" s="111"/>
      <c r="P729" s="111"/>
      <c r="Q729" s="111"/>
      <c r="R729" s="111"/>
      <c r="S729" s="111"/>
      <c r="T729" s="111"/>
    </row>
    <row r="730" spans="1:20" s="3" customFormat="1" ht="38.25" customHeight="1">
      <c r="A730" s="16" t="s">
        <v>38</v>
      </c>
      <c r="B730" s="49">
        <v>795</v>
      </c>
      <c r="C730" s="15" t="s">
        <v>161</v>
      </c>
      <c r="D730" s="15" t="s">
        <v>173</v>
      </c>
      <c r="E730" s="15" t="s">
        <v>534</v>
      </c>
      <c r="F730" s="15" t="s">
        <v>39</v>
      </c>
      <c r="G730" s="70">
        <f>'прил 5,'!G1618+'прил 5,'!G2206</f>
        <v>528332.4</v>
      </c>
      <c r="H730" s="70">
        <f>'прил 5,'!H1618</f>
        <v>500000</v>
      </c>
      <c r="I730" s="70">
        <f>'прил 5,'!I1618</f>
        <v>500000</v>
      </c>
      <c r="J730" s="111"/>
      <c r="P730" s="111"/>
      <c r="Q730" s="111"/>
      <c r="R730" s="111"/>
      <c r="S730" s="111"/>
      <c r="T730" s="111"/>
    </row>
    <row r="731" spans="1:20" s="3" customFormat="1" ht="38.25" hidden="1" customHeight="1">
      <c r="A731" s="16" t="s">
        <v>461</v>
      </c>
      <c r="B731" s="49">
        <v>795</v>
      </c>
      <c r="C731" s="15" t="s">
        <v>161</v>
      </c>
      <c r="D731" s="15" t="s">
        <v>173</v>
      </c>
      <c r="E731" s="15" t="s">
        <v>462</v>
      </c>
      <c r="F731" s="15"/>
      <c r="G731" s="70">
        <f>G732</f>
        <v>0</v>
      </c>
      <c r="H731" s="70">
        <f t="shared" ref="H731:I732" si="199">H732</f>
        <v>0</v>
      </c>
      <c r="I731" s="70">
        <f t="shared" si="199"/>
        <v>0</v>
      </c>
      <c r="J731" s="111"/>
      <c r="P731" s="111"/>
      <c r="Q731" s="111"/>
      <c r="R731" s="111"/>
      <c r="S731" s="111"/>
      <c r="T731" s="111"/>
    </row>
    <row r="732" spans="1:20" s="3" customFormat="1" ht="38.25" hidden="1" customHeight="1">
      <c r="A732" s="16" t="s">
        <v>36</v>
      </c>
      <c r="B732" s="49">
        <v>795</v>
      </c>
      <c r="C732" s="15" t="s">
        <v>161</v>
      </c>
      <c r="D732" s="15" t="s">
        <v>173</v>
      </c>
      <c r="E732" s="15" t="s">
        <v>462</v>
      </c>
      <c r="F732" s="15" t="s">
        <v>37</v>
      </c>
      <c r="G732" s="70">
        <f>G733</f>
        <v>0</v>
      </c>
      <c r="H732" s="70">
        <f t="shared" si="199"/>
        <v>0</v>
      </c>
      <c r="I732" s="70">
        <f t="shared" si="199"/>
        <v>0</v>
      </c>
      <c r="J732" s="111"/>
      <c r="P732" s="111"/>
      <c r="Q732" s="111"/>
      <c r="R732" s="111"/>
      <c r="S732" s="111"/>
      <c r="T732" s="111"/>
    </row>
    <row r="733" spans="1:20" s="3" customFormat="1" ht="38.25" hidden="1" customHeight="1">
      <c r="A733" s="16" t="s">
        <v>38</v>
      </c>
      <c r="B733" s="49">
        <v>795</v>
      </c>
      <c r="C733" s="15" t="s">
        <v>161</v>
      </c>
      <c r="D733" s="15" t="s">
        <v>173</v>
      </c>
      <c r="E733" s="15" t="s">
        <v>462</v>
      </c>
      <c r="F733" s="15" t="s">
        <v>39</v>
      </c>
      <c r="G733" s="70">
        <f>'прил 5,'!G2088</f>
        <v>0</v>
      </c>
      <c r="H733" s="70">
        <f>'прил 5,'!H2093</f>
        <v>0</v>
      </c>
      <c r="I733" s="70">
        <f>'прил 5,'!I2093</f>
        <v>0</v>
      </c>
      <c r="J733" s="111"/>
      <c r="P733" s="111"/>
      <c r="Q733" s="111"/>
      <c r="R733" s="111"/>
      <c r="S733" s="111"/>
      <c r="T733" s="111"/>
    </row>
    <row r="734" spans="1:20" s="3" customFormat="1" ht="38.25" hidden="1" customHeight="1">
      <c r="A734" s="16" t="s">
        <v>533</v>
      </c>
      <c r="B734" s="49">
        <v>795</v>
      </c>
      <c r="C734" s="15" t="s">
        <v>161</v>
      </c>
      <c r="D734" s="15" t="s">
        <v>173</v>
      </c>
      <c r="E734" s="15" t="s">
        <v>562</v>
      </c>
      <c r="F734" s="15"/>
      <c r="G734" s="70">
        <f>G735+G737</f>
        <v>0</v>
      </c>
      <c r="H734" s="70">
        <f t="shared" ref="H734:I735" si="200">H735</f>
        <v>0</v>
      </c>
      <c r="I734" s="70">
        <f t="shared" si="200"/>
        <v>0</v>
      </c>
      <c r="P734" s="111"/>
      <c r="Q734" s="111"/>
      <c r="R734" s="111"/>
      <c r="S734" s="111"/>
      <c r="T734" s="111"/>
    </row>
    <row r="735" spans="1:20" s="3" customFormat="1" ht="38.25" hidden="1" customHeight="1">
      <c r="A735" s="16" t="s">
        <v>36</v>
      </c>
      <c r="B735" s="49">
        <v>795</v>
      </c>
      <c r="C735" s="15" t="s">
        <v>161</v>
      </c>
      <c r="D735" s="15" t="s">
        <v>173</v>
      </c>
      <c r="E735" s="15" t="s">
        <v>562</v>
      </c>
      <c r="F735" s="15" t="s">
        <v>37</v>
      </c>
      <c r="G735" s="70">
        <f>G736</f>
        <v>0</v>
      </c>
      <c r="H735" s="70">
        <f t="shared" si="200"/>
        <v>0</v>
      </c>
      <c r="I735" s="70">
        <f t="shared" si="200"/>
        <v>0</v>
      </c>
      <c r="P735" s="111"/>
      <c r="Q735" s="111"/>
      <c r="R735" s="111"/>
      <c r="S735" s="111"/>
      <c r="T735" s="111"/>
    </row>
    <row r="736" spans="1:20" s="3" customFormat="1" ht="38.25" hidden="1" customHeight="1">
      <c r="A736" s="16" t="s">
        <v>38</v>
      </c>
      <c r="B736" s="49">
        <v>795</v>
      </c>
      <c r="C736" s="15" t="s">
        <v>161</v>
      </c>
      <c r="D736" s="15" t="s">
        <v>173</v>
      </c>
      <c r="E736" s="15" t="s">
        <v>562</v>
      </c>
      <c r="F736" s="15" t="s">
        <v>39</v>
      </c>
      <c r="G736" s="70">
        <f>'прил 5,'!G2081</f>
        <v>0</v>
      </c>
      <c r="H736" s="70">
        <v>0</v>
      </c>
      <c r="I736" s="70">
        <v>0</v>
      </c>
      <c r="P736" s="111"/>
      <c r="Q736" s="111"/>
      <c r="R736" s="111"/>
      <c r="S736" s="111"/>
      <c r="T736" s="111"/>
    </row>
    <row r="737" spans="1:20" s="3" customFormat="1" ht="24.75" hidden="1" customHeight="1">
      <c r="A737" s="16" t="s">
        <v>156</v>
      </c>
      <c r="B737" s="49">
        <v>795</v>
      </c>
      <c r="C737" s="15" t="s">
        <v>161</v>
      </c>
      <c r="D737" s="15" t="s">
        <v>173</v>
      </c>
      <c r="E737" s="15" t="s">
        <v>562</v>
      </c>
      <c r="F737" s="15" t="s">
        <v>157</v>
      </c>
      <c r="G737" s="70">
        <f>G738</f>
        <v>0</v>
      </c>
      <c r="H737" s="70">
        <v>0</v>
      </c>
      <c r="I737" s="70">
        <v>0</v>
      </c>
      <c r="P737" s="111"/>
      <c r="Q737" s="111"/>
      <c r="R737" s="111"/>
      <c r="S737" s="111"/>
      <c r="T737" s="111"/>
    </row>
    <row r="738" spans="1:20" s="3" customFormat="1" ht="21.75" hidden="1" customHeight="1">
      <c r="A738" s="16" t="s">
        <v>170</v>
      </c>
      <c r="B738" s="49">
        <v>795</v>
      </c>
      <c r="C738" s="15" t="s">
        <v>161</v>
      </c>
      <c r="D738" s="15" t="s">
        <v>173</v>
      </c>
      <c r="E738" s="15" t="s">
        <v>562</v>
      </c>
      <c r="F738" s="15" t="s">
        <v>171</v>
      </c>
      <c r="G738" s="70">
        <f>'прил 5,'!G2083</f>
        <v>0</v>
      </c>
      <c r="H738" s="70">
        <v>0</v>
      </c>
      <c r="I738" s="70">
        <v>0</v>
      </c>
      <c r="P738" s="111"/>
      <c r="Q738" s="111"/>
      <c r="R738" s="111"/>
      <c r="S738" s="111"/>
      <c r="T738" s="111"/>
    </row>
    <row r="739" spans="1:20" s="3" customFormat="1" ht="38.25" hidden="1" customHeight="1">
      <c r="A739" s="16" t="s">
        <v>564</v>
      </c>
      <c r="B739" s="49">
        <v>795</v>
      </c>
      <c r="C739" s="15" t="s">
        <v>161</v>
      </c>
      <c r="D739" s="15" t="s">
        <v>173</v>
      </c>
      <c r="E739" s="15" t="s">
        <v>563</v>
      </c>
      <c r="F739" s="15"/>
      <c r="G739" s="70">
        <f>G740</f>
        <v>0</v>
      </c>
      <c r="H739" s="70">
        <f t="shared" ref="H739:I740" si="201">H740</f>
        <v>0</v>
      </c>
      <c r="I739" s="70">
        <f t="shared" si="201"/>
        <v>0</v>
      </c>
      <c r="P739" s="111"/>
      <c r="Q739" s="111"/>
      <c r="R739" s="111"/>
      <c r="S739" s="111"/>
      <c r="T739" s="111"/>
    </row>
    <row r="740" spans="1:20" s="3" customFormat="1" ht="38.25" hidden="1" customHeight="1">
      <c r="A740" s="16" t="s">
        <v>36</v>
      </c>
      <c r="B740" s="49">
        <v>795</v>
      </c>
      <c r="C740" s="15" t="s">
        <v>161</v>
      </c>
      <c r="D740" s="15" t="s">
        <v>173</v>
      </c>
      <c r="E740" s="15" t="s">
        <v>563</v>
      </c>
      <c r="F740" s="15" t="s">
        <v>37</v>
      </c>
      <c r="G740" s="70">
        <f>G741</f>
        <v>0</v>
      </c>
      <c r="H740" s="70">
        <f t="shared" si="201"/>
        <v>0</v>
      </c>
      <c r="I740" s="70">
        <f t="shared" si="201"/>
        <v>0</v>
      </c>
      <c r="P740" s="111"/>
      <c r="Q740" s="111"/>
      <c r="R740" s="111"/>
      <c r="S740" s="111"/>
      <c r="T740" s="111"/>
    </row>
    <row r="741" spans="1:20" s="3" customFormat="1" ht="38.25" hidden="1" customHeight="1">
      <c r="A741" s="16" t="s">
        <v>38</v>
      </c>
      <c r="B741" s="49">
        <v>795</v>
      </c>
      <c r="C741" s="15" t="s">
        <v>161</v>
      </c>
      <c r="D741" s="15" t="s">
        <v>173</v>
      </c>
      <c r="E741" s="15" t="s">
        <v>563</v>
      </c>
      <c r="F741" s="15" t="s">
        <v>39</v>
      </c>
      <c r="G741" s="70">
        <f>'прил 5,'!G2086</f>
        <v>0</v>
      </c>
      <c r="H741" s="70">
        <v>0</v>
      </c>
      <c r="I741" s="70">
        <v>0</v>
      </c>
      <c r="P741" s="111"/>
      <c r="Q741" s="111"/>
      <c r="R741" s="111"/>
      <c r="S741" s="111"/>
      <c r="T741" s="111"/>
    </row>
    <row r="742" spans="1:20" s="3" customFormat="1" ht="38.25" hidden="1" customHeight="1">
      <c r="A742" s="16" t="s">
        <v>561</v>
      </c>
      <c r="B742" s="49">
        <v>795</v>
      </c>
      <c r="C742" s="15" t="s">
        <v>161</v>
      </c>
      <c r="D742" s="15" t="s">
        <v>173</v>
      </c>
      <c r="E742" s="15" t="s">
        <v>560</v>
      </c>
      <c r="F742" s="15"/>
      <c r="G742" s="70">
        <f>G743</f>
        <v>0</v>
      </c>
      <c r="H742" s="70">
        <f t="shared" ref="H742:I743" si="202">H743</f>
        <v>0</v>
      </c>
      <c r="I742" s="70">
        <f t="shared" si="202"/>
        <v>0</v>
      </c>
      <c r="P742" s="111"/>
      <c r="Q742" s="111"/>
      <c r="R742" s="111"/>
      <c r="S742" s="111"/>
      <c r="T742" s="111"/>
    </row>
    <row r="743" spans="1:20" s="3" customFormat="1" ht="38.25" hidden="1" customHeight="1">
      <c r="A743" s="16" t="s">
        <v>36</v>
      </c>
      <c r="B743" s="49">
        <v>795</v>
      </c>
      <c r="C743" s="15" t="s">
        <v>161</v>
      </c>
      <c r="D743" s="15" t="s">
        <v>173</v>
      </c>
      <c r="E743" s="15" t="s">
        <v>560</v>
      </c>
      <c r="F743" s="15" t="s">
        <v>37</v>
      </c>
      <c r="G743" s="70">
        <f>G744</f>
        <v>0</v>
      </c>
      <c r="H743" s="70">
        <f t="shared" si="202"/>
        <v>0</v>
      </c>
      <c r="I743" s="70">
        <f t="shared" si="202"/>
        <v>0</v>
      </c>
      <c r="P743" s="111"/>
      <c r="Q743" s="111"/>
      <c r="R743" s="111"/>
      <c r="S743" s="111"/>
      <c r="T743" s="111"/>
    </row>
    <row r="744" spans="1:20" s="3" customFormat="1" ht="38.25" hidden="1" customHeight="1">
      <c r="A744" s="16" t="s">
        <v>38</v>
      </c>
      <c r="B744" s="49">
        <v>795</v>
      </c>
      <c r="C744" s="15" t="s">
        <v>161</v>
      </c>
      <c r="D744" s="15" t="s">
        <v>173</v>
      </c>
      <c r="E744" s="15" t="s">
        <v>560</v>
      </c>
      <c r="F744" s="15" t="s">
        <v>39</v>
      </c>
      <c r="G744" s="70">
        <f>'прил 5,'!G2092</f>
        <v>0</v>
      </c>
      <c r="H744" s="70">
        <v>0</v>
      </c>
      <c r="I744" s="70">
        <v>0</v>
      </c>
      <c r="P744" s="111"/>
      <c r="Q744" s="111"/>
      <c r="R744" s="111"/>
      <c r="S744" s="111"/>
      <c r="T744" s="111"/>
    </row>
    <row r="745" spans="1:20" s="3" customFormat="1" ht="38.25" hidden="1" customHeight="1">
      <c r="A745" s="16" t="s">
        <v>559</v>
      </c>
      <c r="B745" s="49">
        <v>795</v>
      </c>
      <c r="C745" s="15" t="s">
        <v>161</v>
      </c>
      <c r="D745" s="15" t="s">
        <v>173</v>
      </c>
      <c r="E745" s="15" t="s">
        <v>558</v>
      </c>
      <c r="F745" s="15"/>
      <c r="G745" s="70">
        <f>G746</f>
        <v>0</v>
      </c>
      <c r="H745" s="70">
        <f t="shared" ref="H745:I746" si="203">H746</f>
        <v>0</v>
      </c>
      <c r="I745" s="70">
        <f t="shared" si="203"/>
        <v>0</v>
      </c>
      <c r="P745" s="111"/>
      <c r="Q745" s="111"/>
      <c r="R745" s="111"/>
      <c r="S745" s="111"/>
      <c r="T745" s="111"/>
    </row>
    <row r="746" spans="1:20" s="3" customFormat="1" ht="38.25" hidden="1" customHeight="1">
      <c r="A746" s="16" t="s">
        <v>36</v>
      </c>
      <c r="B746" s="49">
        <v>795</v>
      </c>
      <c r="C746" s="15" t="s">
        <v>161</v>
      </c>
      <c r="D746" s="15" t="s">
        <v>173</v>
      </c>
      <c r="E746" s="15" t="s">
        <v>558</v>
      </c>
      <c r="F746" s="15" t="s">
        <v>37</v>
      </c>
      <c r="G746" s="70">
        <f>G747</f>
        <v>0</v>
      </c>
      <c r="H746" s="70">
        <f t="shared" si="203"/>
        <v>0</v>
      </c>
      <c r="I746" s="70">
        <f t="shared" si="203"/>
        <v>0</v>
      </c>
      <c r="P746" s="111"/>
      <c r="Q746" s="111"/>
      <c r="R746" s="111"/>
      <c r="S746" s="111"/>
      <c r="T746" s="111"/>
    </row>
    <row r="747" spans="1:20" s="3" customFormat="1" ht="38.25" hidden="1" customHeight="1">
      <c r="A747" s="16" t="s">
        <v>38</v>
      </c>
      <c r="B747" s="49">
        <v>795</v>
      </c>
      <c r="C747" s="15" t="s">
        <v>161</v>
      </c>
      <c r="D747" s="15" t="s">
        <v>173</v>
      </c>
      <c r="E747" s="15" t="s">
        <v>558</v>
      </c>
      <c r="F747" s="15" t="s">
        <v>39</v>
      </c>
      <c r="G747" s="70">
        <f>'прил 5,'!G2095</f>
        <v>0</v>
      </c>
      <c r="H747" s="70">
        <v>0</v>
      </c>
      <c r="I747" s="70">
        <v>0</v>
      </c>
      <c r="P747" s="111"/>
      <c r="Q747" s="111"/>
      <c r="R747" s="111"/>
      <c r="S747" s="111"/>
      <c r="T747" s="111"/>
    </row>
    <row r="748" spans="1:20" s="3" customFormat="1" ht="38.25" hidden="1" customHeight="1">
      <c r="A748" s="16" t="s">
        <v>557</v>
      </c>
      <c r="B748" s="49">
        <v>795</v>
      </c>
      <c r="C748" s="15" t="s">
        <v>161</v>
      </c>
      <c r="D748" s="15" t="s">
        <v>173</v>
      </c>
      <c r="E748" s="15" t="s">
        <v>556</v>
      </c>
      <c r="F748" s="15"/>
      <c r="G748" s="70">
        <f>G749</f>
        <v>0</v>
      </c>
      <c r="H748" s="70">
        <f t="shared" ref="H748:I748" si="204">H749</f>
        <v>0</v>
      </c>
      <c r="I748" s="70">
        <f t="shared" si="204"/>
        <v>0</v>
      </c>
      <c r="P748" s="111"/>
      <c r="Q748" s="111"/>
      <c r="R748" s="111"/>
      <c r="S748" s="111"/>
      <c r="T748" s="111"/>
    </row>
    <row r="749" spans="1:20" s="3" customFormat="1" ht="23.25" hidden="1" customHeight="1">
      <c r="A749" s="16" t="s">
        <v>156</v>
      </c>
      <c r="B749" s="49">
        <v>795</v>
      </c>
      <c r="C749" s="15" t="s">
        <v>161</v>
      </c>
      <c r="D749" s="15" t="s">
        <v>173</v>
      </c>
      <c r="E749" s="15" t="s">
        <v>556</v>
      </c>
      <c r="F749" s="15" t="s">
        <v>157</v>
      </c>
      <c r="G749" s="70">
        <f>G750</f>
        <v>0</v>
      </c>
      <c r="H749" s="70">
        <f t="shared" ref="H749:I749" si="205">H750</f>
        <v>0</v>
      </c>
      <c r="I749" s="70">
        <f t="shared" si="205"/>
        <v>0</v>
      </c>
      <c r="P749" s="111"/>
      <c r="Q749" s="111"/>
      <c r="R749" s="111"/>
      <c r="S749" s="111"/>
      <c r="T749" s="111"/>
    </row>
    <row r="750" spans="1:20" s="3" customFormat="1" ht="21.75" hidden="1" customHeight="1">
      <c r="A750" s="16" t="s">
        <v>170</v>
      </c>
      <c r="B750" s="49">
        <v>795</v>
      </c>
      <c r="C750" s="15" t="s">
        <v>161</v>
      </c>
      <c r="D750" s="15" t="s">
        <v>173</v>
      </c>
      <c r="E750" s="15" t="s">
        <v>556</v>
      </c>
      <c r="F750" s="15" t="s">
        <v>171</v>
      </c>
      <c r="G750" s="70"/>
      <c r="H750" s="70">
        <v>0</v>
      </c>
      <c r="I750" s="70">
        <v>0</v>
      </c>
      <c r="P750" s="111"/>
      <c r="Q750" s="111"/>
      <c r="R750" s="111"/>
      <c r="S750" s="111"/>
      <c r="T750" s="111"/>
    </row>
    <row r="751" spans="1:20" s="3" customFormat="1" ht="38.25" hidden="1" customHeight="1">
      <c r="A751" s="16" t="s">
        <v>555</v>
      </c>
      <c r="B751" s="49">
        <v>795</v>
      </c>
      <c r="C751" s="15" t="s">
        <v>161</v>
      </c>
      <c r="D751" s="15" t="s">
        <v>173</v>
      </c>
      <c r="E751" s="15" t="s">
        <v>554</v>
      </c>
      <c r="F751" s="15"/>
      <c r="G751" s="70">
        <f>G752+G754</f>
        <v>0</v>
      </c>
      <c r="H751" s="70">
        <f t="shared" ref="H751:I752" si="206">H752</f>
        <v>0</v>
      </c>
      <c r="I751" s="70">
        <f t="shared" si="206"/>
        <v>0</v>
      </c>
      <c r="P751" s="111"/>
      <c r="Q751" s="111"/>
      <c r="R751" s="111"/>
      <c r="S751" s="111"/>
      <c r="T751" s="111"/>
    </row>
    <row r="752" spans="1:20" s="3" customFormat="1" ht="38.25" hidden="1" customHeight="1">
      <c r="A752" s="16" t="s">
        <v>36</v>
      </c>
      <c r="B752" s="49">
        <v>795</v>
      </c>
      <c r="C752" s="15" t="s">
        <v>161</v>
      </c>
      <c r="D752" s="15" t="s">
        <v>173</v>
      </c>
      <c r="E752" s="15" t="s">
        <v>554</v>
      </c>
      <c r="F752" s="15" t="s">
        <v>37</v>
      </c>
      <c r="G752" s="70">
        <f>G753</f>
        <v>0</v>
      </c>
      <c r="H752" s="70">
        <f t="shared" si="206"/>
        <v>0</v>
      </c>
      <c r="I752" s="70">
        <f t="shared" si="206"/>
        <v>0</v>
      </c>
      <c r="P752" s="111"/>
      <c r="Q752" s="111"/>
      <c r="R752" s="111"/>
      <c r="S752" s="111"/>
      <c r="T752" s="111"/>
    </row>
    <row r="753" spans="1:20" s="3" customFormat="1" ht="38.25" hidden="1" customHeight="1">
      <c r="A753" s="16" t="s">
        <v>38</v>
      </c>
      <c r="B753" s="49">
        <v>795</v>
      </c>
      <c r="C753" s="15" t="s">
        <v>161</v>
      </c>
      <c r="D753" s="15" t="s">
        <v>173</v>
      </c>
      <c r="E753" s="15" t="s">
        <v>554</v>
      </c>
      <c r="F753" s="15" t="s">
        <v>39</v>
      </c>
      <c r="G753" s="70"/>
      <c r="H753" s="70">
        <v>0</v>
      </c>
      <c r="I753" s="70">
        <v>0</v>
      </c>
      <c r="P753" s="111"/>
      <c r="Q753" s="111"/>
      <c r="R753" s="111"/>
      <c r="S753" s="111"/>
      <c r="T753" s="111"/>
    </row>
    <row r="754" spans="1:20" s="3" customFormat="1" ht="26.25" hidden="1" customHeight="1">
      <c r="A754" s="16" t="s">
        <v>156</v>
      </c>
      <c r="B754" s="49">
        <v>795</v>
      </c>
      <c r="C754" s="15" t="s">
        <v>161</v>
      </c>
      <c r="D754" s="15" t="s">
        <v>173</v>
      </c>
      <c r="E754" s="15" t="s">
        <v>554</v>
      </c>
      <c r="F754" s="15" t="s">
        <v>157</v>
      </c>
      <c r="G754" s="70">
        <f>G755</f>
        <v>0</v>
      </c>
      <c r="H754" s="70">
        <f t="shared" ref="H754:I754" si="207">H755</f>
        <v>0</v>
      </c>
      <c r="I754" s="70">
        <f t="shared" si="207"/>
        <v>0</v>
      </c>
      <c r="P754" s="111"/>
      <c r="Q754" s="111"/>
      <c r="R754" s="111"/>
      <c r="S754" s="111"/>
      <c r="T754" s="111"/>
    </row>
    <row r="755" spans="1:20" s="3" customFormat="1" ht="19.5" hidden="1" customHeight="1">
      <c r="A755" s="16" t="s">
        <v>170</v>
      </c>
      <c r="B755" s="49">
        <v>795</v>
      </c>
      <c r="C755" s="15" t="s">
        <v>161</v>
      </c>
      <c r="D755" s="15" t="s">
        <v>173</v>
      </c>
      <c r="E755" s="15" t="s">
        <v>554</v>
      </c>
      <c r="F755" s="15" t="s">
        <v>171</v>
      </c>
      <c r="G755" s="70">
        <f>'прил 5,'!G2101</f>
        <v>0</v>
      </c>
      <c r="H755" s="70">
        <v>0</v>
      </c>
      <c r="I755" s="70">
        <v>0</v>
      </c>
      <c r="P755" s="111"/>
      <c r="Q755" s="111"/>
      <c r="R755" s="111"/>
      <c r="S755" s="111"/>
      <c r="T755" s="111"/>
    </row>
    <row r="756" spans="1:20" s="3" customFormat="1" ht="38.25" hidden="1" customHeight="1">
      <c r="A756" s="16" t="s">
        <v>707</v>
      </c>
      <c r="B756" s="49">
        <v>795</v>
      </c>
      <c r="C756" s="15" t="s">
        <v>161</v>
      </c>
      <c r="D756" s="15" t="s">
        <v>173</v>
      </c>
      <c r="E756" s="15" t="s">
        <v>706</v>
      </c>
      <c r="F756" s="15"/>
      <c r="G756" s="70">
        <f>G757</f>
        <v>0</v>
      </c>
      <c r="H756" s="70">
        <f t="shared" ref="H756:I757" si="208">H757</f>
        <v>0</v>
      </c>
      <c r="I756" s="70">
        <f t="shared" si="208"/>
        <v>0</v>
      </c>
      <c r="P756" s="111"/>
      <c r="Q756" s="111"/>
      <c r="R756" s="111"/>
      <c r="S756" s="111"/>
      <c r="T756" s="111"/>
    </row>
    <row r="757" spans="1:20" s="3" customFormat="1" ht="38.25" hidden="1" customHeight="1">
      <c r="A757" s="16" t="s">
        <v>36</v>
      </c>
      <c r="B757" s="49">
        <v>795</v>
      </c>
      <c r="C757" s="15" t="s">
        <v>161</v>
      </c>
      <c r="D757" s="15" t="s">
        <v>173</v>
      </c>
      <c r="E757" s="15" t="s">
        <v>706</v>
      </c>
      <c r="F757" s="15" t="s">
        <v>37</v>
      </c>
      <c r="G757" s="70">
        <f>G758</f>
        <v>0</v>
      </c>
      <c r="H757" s="70">
        <f t="shared" si="208"/>
        <v>0</v>
      </c>
      <c r="I757" s="70">
        <f t="shared" si="208"/>
        <v>0</v>
      </c>
      <c r="P757" s="111"/>
      <c r="Q757" s="111"/>
      <c r="R757" s="111"/>
      <c r="S757" s="111"/>
      <c r="T757" s="111"/>
    </row>
    <row r="758" spans="1:20" s="3" customFormat="1" ht="38.25" hidden="1" customHeight="1">
      <c r="A758" s="16" t="s">
        <v>38</v>
      </c>
      <c r="B758" s="49">
        <v>795</v>
      </c>
      <c r="C758" s="15" t="s">
        <v>161</v>
      </c>
      <c r="D758" s="15" t="s">
        <v>173</v>
      </c>
      <c r="E758" s="15" t="s">
        <v>706</v>
      </c>
      <c r="F758" s="15" t="s">
        <v>39</v>
      </c>
      <c r="G758" s="70"/>
      <c r="H758" s="70"/>
      <c r="I758" s="70"/>
      <c r="P758" s="111"/>
      <c r="Q758" s="111"/>
      <c r="R758" s="111"/>
      <c r="S758" s="111"/>
      <c r="T758" s="111"/>
    </row>
    <row r="759" spans="1:20" s="3" customFormat="1" ht="63" hidden="1" customHeight="1">
      <c r="A759" s="16" t="s">
        <v>782</v>
      </c>
      <c r="B759" s="49">
        <v>795</v>
      </c>
      <c r="C759" s="15" t="s">
        <v>161</v>
      </c>
      <c r="D759" s="15" t="s">
        <v>173</v>
      </c>
      <c r="E759" s="15" t="s">
        <v>781</v>
      </c>
      <c r="F759" s="15"/>
      <c r="G759" s="70">
        <f>G760</f>
        <v>0</v>
      </c>
      <c r="H759" s="70">
        <f t="shared" ref="H759:I760" si="209">H760</f>
        <v>0</v>
      </c>
      <c r="I759" s="70">
        <f t="shared" si="209"/>
        <v>0</v>
      </c>
      <c r="P759" s="111"/>
      <c r="Q759" s="111"/>
      <c r="R759" s="111"/>
      <c r="S759" s="111"/>
      <c r="T759" s="111"/>
    </row>
    <row r="760" spans="1:20" s="3" customFormat="1" ht="38.25" hidden="1" customHeight="1">
      <c r="A760" s="16" t="s">
        <v>36</v>
      </c>
      <c r="B760" s="49">
        <v>795</v>
      </c>
      <c r="C760" s="15" t="s">
        <v>161</v>
      </c>
      <c r="D760" s="15" t="s">
        <v>173</v>
      </c>
      <c r="E760" s="15" t="s">
        <v>781</v>
      </c>
      <c r="F760" s="15" t="s">
        <v>37</v>
      </c>
      <c r="G760" s="70">
        <f>G761</f>
        <v>0</v>
      </c>
      <c r="H760" s="70">
        <f t="shared" si="209"/>
        <v>0</v>
      </c>
      <c r="I760" s="70">
        <f t="shared" si="209"/>
        <v>0</v>
      </c>
      <c r="P760" s="111"/>
      <c r="Q760" s="111"/>
      <c r="R760" s="111"/>
      <c r="S760" s="111"/>
      <c r="T760" s="111"/>
    </row>
    <row r="761" spans="1:20" s="3" customFormat="1" ht="38.25" hidden="1" customHeight="1">
      <c r="A761" s="16" t="s">
        <v>38</v>
      </c>
      <c r="B761" s="49">
        <v>795</v>
      </c>
      <c r="C761" s="15" t="s">
        <v>161</v>
      </c>
      <c r="D761" s="15" t="s">
        <v>173</v>
      </c>
      <c r="E761" s="15" t="s">
        <v>781</v>
      </c>
      <c r="F761" s="15" t="s">
        <v>39</v>
      </c>
      <c r="G761" s="70"/>
      <c r="H761" s="70"/>
      <c r="I761" s="70"/>
      <c r="P761" s="111"/>
      <c r="Q761" s="111"/>
      <c r="R761" s="111"/>
      <c r="S761" s="111"/>
      <c r="T761" s="111"/>
    </row>
    <row r="762" spans="1:20" s="3" customFormat="1" ht="129.75" customHeight="1">
      <c r="A762" s="16" t="s">
        <v>1021</v>
      </c>
      <c r="B762" s="49">
        <v>793</v>
      </c>
      <c r="C762" s="15" t="s">
        <v>161</v>
      </c>
      <c r="D762" s="15" t="s">
        <v>173</v>
      </c>
      <c r="E762" s="15" t="s">
        <v>1020</v>
      </c>
      <c r="F762" s="15"/>
      <c r="G762" s="70">
        <f>G763</f>
        <v>271777</v>
      </c>
      <c r="H762" s="70">
        <f t="shared" ref="H762:I763" si="210">H763</f>
        <v>0</v>
      </c>
      <c r="I762" s="70">
        <f t="shared" si="210"/>
        <v>0</v>
      </c>
      <c r="J762" s="178"/>
      <c r="K762" s="199"/>
      <c r="L762" s="199"/>
      <c r="M762" s="199"/>
      <c r="N762" s="199"/>
      <c r="O762" s="199"/>
      <c r="P762" s="199"/>
      <c r="Q762" s="199"/>
      <c r="R762" s="199"/>
    </row>
    <row r="763" spans="1:20" s="3" customFormat="1" ht="38.25" customHeight="1">
      <c r="A763" s="82" t="s">
        <v>63</v>
      </c>
      <c r="B763" s="49">
        <v>793</v>
      </c>
      <c r="C763" s="15" t="s">
        <v>161</v>
      </c>
      <c r="D763" s="15" t="s">
        <v>173</v>
      </c>
      <c r="E763" s="15" t="s">
        <v>1020</v>
      </c>
      <c r="F763" s="15" t="s">
        <v>64</v>
      </c>
      <c r="G763" s="70">
        <f>G764</f>
        <v>271777</v>
      </c>
      <c r="H763" s="70">
        <f t="shared" si="210"/>
        <v>0</v>
      </c>
      <c r="I763" s="70">
        <f t="shared" si="210"/>
        <v>0</v>
      </c>
      <c r="J763" s="178"/>
      <c r="K763" s="199"/>
      <c r="L763" s="199"/>
      <c r="M763" s="199"/>
      <c r="N763" s="199"/>
      <c r="O763" s="199"/>
      <c r="P763" s="199"/>
      <c r="Q763" s="199"/>
      <c r="R763" s="199"/>
    </row>
    <row r="764" spans="1:20" s="3" customFormat="1" ht="38.25" customHeight="1">
      <c r="A764" s="82" t="s">
        <v>180</v>
      </c>
      <c r="B764" s="49">
        <v>793</v>
      </c>
      <c r="C764" s="15" t="s">
        <v>161</v>
      </c>
      <c r="D764" s="15" t="s">
        <v>173</v>
      </c>
      <c r="E764" s="15" t="s">
        <v>1020</v>
      </c>
      <c r="F764" s="15" t="s">
        <v>181</v>
      </c>
      <c r="G764" s="70">
        <v>271777</v>
      </c>
      <c r="H764" s="70"/>
      <c r="I764" s="70"/>
      <c r="J764" s="177"/>
      <c r="K764" s="199"/>
      <c r="L764" s="199"/>
      <c r="M764" s="199"/>
      <c r="N764" s="199"/>
      <c r="O764" s="199"/>
      <c r="P764" s="199"/>
      <c r="Q764" s="199"/>
      <c r="R764" s="199"/>
    </row>
    <row r="765" spans="1:20" s="22" customFormat="1" ht="35.25" customHeight="1">
      <c r="A765" s="34" t="s">
        <v>488</v>
      </c>
      <c r="B765" s="35">
        <v>757</v>
      </c>
      <c r="C765" s="36" t="s">
        <v>26</v>
      </c>
      <c r="D765" s="36" t="s">
        <v>28</v>
      </c>
      <c r="E765" s="36" t="s">
        <v>193</v>
      </c>
      <c r="F765" s="36"/>
      <c r="G765" s="71">
        <f>G766+G775+G784+G787+G790+G793+G796+G799+G805+G808+G811+G814+G817+G820+G823+G829+G835+G856+G859+G862+G870+G906+G921+G965++G974+G998+G903+G772+G900+G841+G844+G847+G850+G853+G826+G968+G802+G978+G891</f>
        <v>184554164.33000001</v>
      </c>
      <c r="H765" s="71">
        <f t="shared" ref="H765:I765" si="211">H766+H775+H784+H787+H790+H793+H796+H799+H805+H808+H811+H814+H817+H820+H823+H829+H835+H856+H859+H862+H870+H906+H921+H965++H974+H998+H903+H772+H900+H841+H844+H847+H850+H853+H826+H968+H802+H978+H891</f>
        <v>169918093.13</v>
      </c>
      <c r="I765" s="71">
        <f t="shared" si="211"/>
        <v>164711120.10999998</v>
      </c>
      <c r="J765" s="21">
        <v>24472950</v>
      </c>
      <c r="P765" s="21"/>
      <c r="Q765" s="238"/>
      <c r="R765" s="21"/>
      <c r="S765" s="21"/>
      <c r="T765" s="21"/>
    </row>
    <row r="766" spans="1:20" ht="37.5" customHeight="1">
      <c r="A766" s="16" t="s">
        <v>436</v>
      </c>
      <c r="B766" s="14">
        <v>757</v>
      </c>
      <c r="C766" s="15" t="s">
        <v>44</v>
      </c>
      <c r="D766" s="15" t="s">
        <v>19</v>
      </c>
      <c r="E766" s="15" t="s">
        <v>408</v>
      </c>
      <c r="F766" s="15"/>
      <c r="G766" s="85">
        <f t="shared" ref="G766:I767" si="212">G767</f>
        <v>128051.19999999998</v>
      </c>
      <c r="H766" s="8">
        <f>H767</f>
        <v>0</v>
      </c>
      <c r="I766" s="8">
        <f t="shared" si="212"/>
        <v>0</v>
      </c>
      <c r="J766" s="2">
        <v>25800</v>
      </c>
      <c r="K766" s="2" t="e">
        <f>G766+G769+G793+G796+G859+G862+G870+G876+#REF!+G906+G913+G915+G918+G921+G933+G945</f>
        <v>#REF!</v>
      </c>
      <c r="Q766" s="173"/>
    </row>
    <row r="767" spans="1:20" ht="25.5">
      <c r="A767" s="16" t="s">
        <v>30</v>
      </c>
      <c r="B767" s="14">
        <v>757</v>
      </c>
      <c r="C767" s="15" t="s">
        <v>44</v>
      </c>
      <c r="D767" s="15" t="s">
        <v>19</v>
      </c>
      <c r="E767" s="15" t="s">
        <v>408</v>
      </c>
      <c r="F767" s="15" t="s">
        <v>31</v>
      </c>
      <c r="G767" s="85">
        <f t="shared" si="212"/>
        <v>128051.19999999998</v>
      </c>
      <c r="H767" s="8">
        <f t="shared" si="212"/>
        <v>0</v>
      </c>
      <c r="I767" s="8">
        <f t="shared" si="212"/>
        <v>0</v>
      </c>
      <c r="J767" s="2">
        <v>60633148</v>
      </c>
    </row>
    <row r="768" spans="1:20">
      <c r="A768" s="16" t="s">
        <v>32</v>
      </c>
      <c r="B768" s="14">
        <v>757</v>
      </c>
      <c r="C768" s="15" t="s">
        <v>44</v>
      </c>
      <c r="D768" s="15" t="s">
        <v>19</v>
      </c>
      <c r="E768" s="15" t="s">
        <v>408</v>
      </c>
      <c r="F768" s="15" t="s">
        <v>33</v>
      </c>
      <c r="G768" s="85">
        <f>'прил 5,'!G231</f>
        <v>128051.19999999998</v>
      </c>
      <c r="H768" s="8">
        <f>'прил 5,'!H231</f>
        <v>0</v>
      </c>
      <c r="I768" s="8">
        <f>'прил 5,'!I231</f>
        <v>0</v>
      </c>
      <c r="J768" s="2">
        <v>7498067</v>
      </c>
    </row>
    <row r="769" spans="1:20" ht="93" hidden="1" customHeight="1">
      <c r="A769" s="16" t="s">
        <v>272</v>
      </c>
      <c r="B769" s="14">
        <v>757</v>
      </c>
      <c r="C769" s="15" t="s">
        <v>26</v>
      </c>
      <c r="D769" s="15" t="s">
        <v>70</v>
      </c>
      <c r="E769" s="15" t="s">
        <v>593</v>
      </c>
      <c r="F769" s="15"/>
      <c r="G769" s="87">
        <f>G771</f>
        <v>0</v>
      </c>
      <c r="H769" s="8">
        <v>0</v>
      </c>
      <c r="I769" s="8">
        <v>0</v>
      </c>
      <c r="J769" s="1"/>
    </row>
    <row r="770" spans="1:20" ht="36" hidden="1" customHeight="1">
      <c r="A770" s="16" t="s">
        <v>30</v>
      </c>
      <c r="B770" s="14">
        <v>757</v>
      </c>
      <c r="C770" s="15" t="s">
        <v>26</v>
      </c>
      <c r="D770" s="15" t="s">
        <v>70</v>
      </c>
      <c r="E770" s="15" t="s">
        <v>593</v>
      </c>
      <c r="F770" s="15" t="s">
        <v>31</v>
      </c>
      <c r="G770" s="87">
        <f>G771</f>
        <v>0</v>
      </c>
      <c r="H770" s="8">
        <v>0</v>
      </c>
      <c r="I770" s="8">
        <v>0</v>
      </c>
      <c r="J770" s="1"/>
    </row>
    <row r="771" spans="1:20" ht="19.5" hidden="1" customHeight="1">
      <c r="A771" s="16" t="s">
        <v>32</v>
      </c>
      <c r="B771" s="14">
        <v>757</v>
      </c>
      <c r="C771" s="15" t="s">
        <v>26</v>
      </c>
      <c r="D771" s="15" t="s">
        <v>70</v>
      </c>
      <c r="E771" s="15" t="s">
        <v>593</v>
      </c>
      <c r="F771" s="15" t="s">
        <v>33</v>
      </c>
      <c r="G771" s="87">
        <f>'прил 5,'!G59</f>
        <v>0</v>
      </c>
      <c r="H771" s="8">
        <v>0</v>
      </c>
      <c r="I771" s="8">
        <v>0</v>
      </c>
      <c r="J771" s="1"/>
    </row>
    <row r="772" spans="1:20" ht="69" customHeight="1">
      <c r="A772" s="16" t="s">
        <v>1054</v>
      </c>
      <c r="B772" s="14">
        <v>757</v>
      </c>
      <c r="C772" s="15" t="s">
        <v>44</v>
      </c>
      <c r="D772" s="15" t="s">
        <v>19</v>
      </c>
      <c r="E772" s="15" t="s">
        <v>1053</v>
      </c>
      <c r="F772" s="15"/>
      <c r="G772" s="8">
        <f t="shared" ref="G772:I773" si="213">G773</f>
        <v>0</v>
      </c>
      <c r="H772" s="8">
        <f t="shared" si="213"/>
        <v>100239.22</v>
      </c>
      <c r="I772" s="8">
        <f t="shared" si="213"/>
        <v>100239.22</v>
      </c>
      <c r="J772" s="178"/>
      <c r="K772" s="186"/>
      <c r="L772" s="186"/>
      <c r="M772" s="186"/>
      <c r="N772" s="186"/>
      <c r="O772" s="186"/>
      <c r="P772" s="186"/>
      <c r="Q772" s="186"/>
      <c r="R772" s="186"/>
      <c r="S772" s="1"/>
      <c r="T772" s="1"/>
    </row>
    <row r="773" spans="1:20" ht="25.5">
      <c r="A773" s="16" t="s">
        <v>30</v>
      </c>
      <c r="B773" s="14">
        <v>757</v>
      </c>
      <c r="C773" s="15" t="s">
        <v>44</v>
      </c>
      <c r="D773" s="15" t="s">
        <v>19</v>
      </c>
      <c r="E773" s="15" t="s">
        <v>1053</v>
      </c>
      <c r="F773" s="15" t="s">
        <v>31</v>
      </c>
      <c r="G773" s="8">
        <f t="shared" si="213"/>
        <v>0</v>
      </c>
      <c r="H773" s="8">
        <f t="shared" si="213"/>
        <v>100239.22</v>
      </c>
      <c r="I773" s="8">
        <f t="shared" si="213"/>
        <v>100239.22</v>
      </c>
      <c r="J773" s="178"/>
      <c r="K773" s="186"/>
      <c r="L773" s="186"/>
      <c r="M773" s="186"/>
      <c r="N773" s="186"/>
      <c r="O773" s="186"/>
      <c r="P773" s="186"/>
      <c r="Q773" s="186"/>
      <c r="R773" s="186"/>
      <c r="S773" s="1"/>
      <c r="T773" s="1"/>
    </row>
    <row r="774" spans="1:20">
      <c r="A774" s="16" t="s">
        <v>32</v>
      </c>
      <c r="B774" s="14">
        <v>757</v>
      </c>
      <c r="C774" s="15" t="s">
        <v>44</v>
      </c>
      <c r="D774" s="15" t="s">
        <v>19</v>
      </c>
      <c r="E774" s="15" t="s">
        <v>1053</v>
      </c>
      <c r="F774" s="15" t="s">
        <v>33</v>
      </c>
      <c r="G774" s="8"/>
      <c r="H774" s="8">
        <v>100239.22</v>
      </c>
      <c r="I774" s="8">
        <v>100239.22</v>
      </c>
      <c r="J774" s="178"/>
      <c r="K774" s="186"/>
      <c r="L774" s="186"/>
      <c r="M774" s="186"/>
      <c r="N774" s="186"/>
      <c r="O774" s="186"/>
      <c r="P774" s="186"/>
      <c r="Q774" s="186"/>
      <c r="R774" s="186"/>
      <c r="S774" s="1"/>
      <c r="T774" s="1"/>
    </row>
    <row r="775" spans="1:20" ht="59.25" customHeight="1">
      <c r="A775" s="50" t="s">
        <v>936</v>
      </c>
      <c r="B775" s="15" t="s">
        <v>51</v>
      </c>
      <c r="C775" s="15" t="s">
        <v>44</v>
      </c>
      <c r="D775" s="15" t="s">
        <v>19</v>
      </c>
      <c r="E775" s="15" t="s">
        <v>935</v>
      </c>
      <c r="F775" s="15"/>
      <c r="G775" s="85">
        <f>G776</f>
        <v>519291.86</v>
      </c>
      <c r="H775" s="85">
        <f t="shared" ref="H775:I775" si="214">H776</f>
        <v>519291.86</v>
      </c>
      <c r="I775" s="85">
        <f t="shared" si="214"/>
        <v>519291.86</v>
      </c>
      <c r="J775" s="177"/>
      <c r="K775" s="186"/>
      <c r="L775" s="186"/>
      <c r="M775" s="186"/>
      <c r="N775" s="186"/>
      <c r="O775" s="186"/>
      <c r="P775" s="186"/>
      <c r="Q775" s="186"/>
      <c r="R775" s="186"/>
      <c r="S775" s="1"/>
      <c r="T775" s="1"/>
    </row>
    <row r="776" spans="1:20" ht="39.75" customHeight="1">
      <c r="A776" s="16" t="s">
        <v>30</v>
      </c>
      <c r="B776" s="15" t="s">
        <v>51</v>
      </c>
      <c r="C776" s="15" t="s">
        <v>44</v>
      </c>
      <c r="D776" s="15" t="s">
        <v>19</v>
      </c>
      <c r="E776" s="15" t="s">
        <v>935</v>
      </c>
      <c r="F776" s="15" t="s">
        <v>31</v>
      </c>
      <c r="G776" s="85">
        <f>G777</f>
        <v>519291.86</v>
      </c>
      <c r="H776" s="85">
        <f t="shared" ref="H776:I776" si="215">H777</f>
        <v>519291.86</v>
      </c>
      <c r="I776" s="85">
        <f t="shared" si="215"/>
        <v>519291.86</v>
      </c>
      <c r="J776" s="177"/>
      <c r="K776" s="186"/>
      <c r="L776" s="186"/>
      <c r="M776" s="186"/>
      <c r="N776" s="186"/>
      <c r="O776" s="186"/>
      <c r="P776" s="186"/>
      <c r="Q776" s="186"/>
      <c r="R776" s="186"/>
      <c r="S776" s="1"/>
      <c r="T776" s="1"/>
    </row>
    <row r="777" spans="1:20" ht="19.5" customHeight="1">
      <c r="A777" s="50" t="s">
        <v>32</v>
      </c>
      <c r="B777" s="15" t="s">
        <v>51</v>
      </c>
      <c r="C777" s="15" t="s">
        <v>44</v>
      </c>
      <c r="D777" s="15" t="s">
        <v>19</v>
      </c>
      <c r="E777" s="15" t="s">
        <v>935</v>
      </c>
      <c r="F777" s="15" t="s">
        <v>33</v>
      </c>
      <c r="G777" s="85">
        <v>519291.86</v>
      </c>
      <c r="H777" s="85">
        <v>519291.86</v>
      </c>
      <c r="I777" s="85">
        <v>519291.86</v>
      </c>
      <c r="J777" s="177"/>
      <c r="K777" s="186"/>
      <c r="L777" s="186"/>
      <c r="M777" s="186"/>
      <c r="N777" s="186"/>
      <c r="O777" s="186"/>
      <c r="P777" s="186"/>
      <c r="Q777" s="186"/>
      <c r="R777" s="186"/>
      <c r="S777" s="1"/>
      <c r="T777" s="1"/>
    </row>
    <row r="778" spans="1:20" ht="25.5" hidden="1" customHeight="1">
      <c r="A778" s="80" t="s">
        <v>934</v>
      </c>
      <c r="B778" s="14">
        <v>757</v>
      </c>
      <c r="C778" s="15" t="s">
        <v>44</v>
      </c>
      <c r="D778" s="15" t="s">
        <v>19</v>
      </c>
      <c r="E778" s="15" t="s">
        <v>933</v>
      </c>
      <c r="F778" s="14"/>
      <c r="G778" s="87">
        <f t="shared" ref="G778:I779" si="216">G779</f>
        <v>0</v>
      </c>
      <c r="H778" s="70">
        <f t="shared" si="216"/>
        <v>0</v>
      </c>
      <c r="I778" s="70">
        <f t="shared" si="216"/>
        <v>0</v>
      </c>
      <c r="J778" s="177"/>
      <c r="K778" s="186"/>
      <c r="L778" s="186"/>
      <c r="M778" s="186"/>
      <c r="N778" s="186"/>
      <c r="O778" s="186"/>
      <c r="P778" s="186"/>
      <c r="Q778" s="186"/>
      <c r="R778" s="186"/>
      <c r="S778" s="1"/>
      <c r="T778" s="1"/>
    </row>
    <row r="779" spans="1:20" ht="25.5" hidden="1">
      <c r="A779" s="16" t="s">
        <v>30</v>
      </c>
      <c r="B779" s="14">
        <v>757</v>
      </c>
      <c r="C779" s="15" t="s">
        <v>44</v>
      </c>
      <c r="D779" s="15" t="s">
        <v>19</v>
      </c>
      <c r="E779" s="15" t="s">
        <v>933</v>
      </c>
      <c r="F779" s="15" t="s">
        <v>31</v>
      </c>
      <c r="G779" s="95">
        <f t="shared" si="216"/>
        <v>0</v>
      </c>
      <c r="H779" s="25">
        <f t="shared" si="216"/>
        <v>0</v>
      </c>
      <c r="I779" s="25">
        <f t="shared" si="216"/>
        <v>0</v>
      </c>
      <c r="J779" s="179"/>
      <c r="K779" s="186"/>
      <c r="L779" s="186"/>
      <c r="M779" s="186"/>
      <c r="N779" s="186"/>
      <c r="O779" s="186"/>
      <c r="P779" s="186"/>
      <c r="Q779" s="186"/>
      <c r="R779" s="186"/>
      <c r="S779" s="1"/>
      <c r="T779" s="1"/>
    </row>
    <row r="780" spans="1:20" hidden="1">
      <c r="A780" s="16" t="s">
        <v>32</v>
      </c>
      <c r="B780" s="14">
        <v>757</v>
      </c>
      <c r="C780" s="15" t="s">
        <v>44</v>
      </c>
      <c r="D780" s="15" t="s">
        <v>19</v>
      </c>
      <c r="E780" s="15" t="s">
        <v>933</v>
      </c>
      <c r="F780" s="15" t="s">
        <v>33</v>
      </c>
      <c r="G780" s="95"/>
      <c r="H780" s="25">
        <v>0</v>
      </c>
      <c r="I780" s="25">
        <v>0</v>
      </c>
      <c r="J780" s="179"/>
      <c r="K780" s="186"/>
      <c r="L780" s="186"/>
      <c r="M780" s="186"/>
      <c r="N780" s="186"/>
      <c r="O780" s="186"/>
      <c r="P780" s="186"/>
      <c r="Q780" s="186"/>
      <c r="R780" s="186"/>
      <c r="S780" s="1"/>
      <c r="T780" s="1"/>
    </row>
    <row r="781" spans="1:20" ht="25.5" hidden="1" customHeight="1">
      <c r="A781" s="80" t="s">
        <v>934</v>
      </c>
      <c r="B781" s="14">
        <v>757</v>
      </c>
      <c r="C781" s="15" t="s">
        <v>44</v>
      </c>
      <c r="D781" s="15" t="s">
        <v>19</v>
      </c>
      <c r="E781" s="15" t="s">
        <v>933</v>
      </c>
      <c r="F781" s="14"/>
      <c r="G781" s="87">
        <f>G784+G787</f>
        <v>12000000</v>
      </c>
      <c r="H781" s="70">
        <f t="shared" ref="H781:I781" si="217">H782</f>
        <v>0</v>
      </c>
      <c r="I781" s="70">
        <f t="shared" si="217"/>
        <v>0</v>
      </c>
      <c r="J781" s="177"/>
      <c r="K781" s="186"/>
      <c r="L781" s="186"/>
      <c r="M781" s="186"/>
      <c r="N781" s="186"/>
      <c r="O781" s="186"/>
      <c r="P781" s="186"/>
      <c r="Q781" s="186"/>
      <c r="R781" s="186"/>
      <c r="S781" s="1"/>
      <c r="T781" s="1"/>
    </row>
    <row r="782" spans="1:20" ht="25.5" hidden="1">
      <c r="A782" s="16" t="s">
        <v>30</v>
      </c>
      <c r="B782" s="14">
        <v>757</v>
      </c>
      <c r="C782" s="15" t="s">
        <v>44</v>
      </c>
      <c r="D782" s="15" t="s">
        <v>19</v>
      </c>
      <c r="E782" s="15" t="s">
        <v>933</v>
      </c>
      <c r="F782" s="15" t="s">
        <v>31</v>
      </c>
      <c r="G782" s="95">
        <f>G783</f>
        <v>0</v>
      </c>
      <c r="H782" s="25">
        <f>H783</f>
        <v>0</v>
      </c>
      <c r="I782" s="25">
        <f>I783</f>
        <v>0</v>
      </c>
      <c r="J782" s="179"/>
      <c r="K782" s="186"/>
      <c r="L782" s="186"/>
      <c r="M782" s="186"/>
      <c r="N782" s="186"/>
      <c r="O782" s="186"/>
      <c r="P782" s="186"/>
      <c r="Q782" s="186"/>
      <c r="R782" s="186"/>
      <c r="S782" s="1"/>
      <c r="T782" s="1"/>
    </row>
    <row r="783" spans="1:20" hidden="1">
      <c r="A783" s="16" t="s">
        <v>32</v>
      </c>
      <c r="B783" s="14">
        <v>757</v>
      </c>
      <c r="C783" s="15" t="s">
        <v>44</v>
      </c>
      <c r="D783" s="15" t="s">
        <v>19</v>
      </c>
      <c r="E783" s="15" t="s">
        <v>933</v>
      </c>
      <c r="F783" s="15" t="s">
        <v>33</v>
      </c>
      <c r="G783" s="95"/>
      <c r="H783" s="25"/>
      <c r="I783" s="25"/>
      <c r="J783" s="179"/>
      <c r="K783" s="186"/>
      <c r="L783" s="186"/>
      <c r="M783" s="186"/>
      <c r="N783" s="186"/>
      <c r="O783" s="186"/>
      <c r="P783" s="186"/>
      <c r="Q783" s="186"/>
      <c r="R783" s="186"/>
      <c r="S783" s="1"/>
      <c r="T783" s="1"/>
    </row>
    <row r="784" spans="1:20" ht="25.5">
      <c r="A784" s="16" t="s">
        <v>981</v>
      </c>
      <c r="B784" s="14">
        <v>757</v>
      </c>
      <c r="C784" s="15" t="s">
        <v>44</v>
      </c>
      <c r="D784" s="15" t="s">
        <v>19</v>
      </c>
      <c r="E784" s="15" t="s">
        <v>980</v>
      </c>
      <c r="F784" s="15"/>
      <c r="G784" s="95">
        <f>G785</f>
        <v>2000000</v>
      </c>
      <c r="H784" s="95">
        <f t="shared" ref="H784:I784" si="218">H785</f>
        <v>0</v>
      </c>
      <c r="I784" s="95">
        <f t="shared" si="218"/>
        <v>0</v>
      </c>
      <c r="J784" s="179"/>
      <c r="K784" s="186"/>
      <c r="L784" s="186"/>
      <c r="M784" s="186"/>
      <c r="N784" s="186"/>
      <c r="O784" s="186"/>
      <c r="P784" s="186"/>
      <c r="Q784" s="186"/>
      <c r="R784" s="186"/>
      <c r="S784" s="1"/>
      <c r="T784" s="1"/>
    </row>
    <row r="785" spans="1:20" ht="25.5">
      <c r="A785" s="16" t="s">
        <v>30</v>
      </c>
      <c r="B785" s="14">
        <v>757</v>
      </c>
      <c r="C785" s="15" t="s">
        <v>44</v>
      </c>
      <c r="D785" s="15" t="s">
        <v>19</v>
      </c>
      <c r="E785" s="15" t="s">
        <v>980</v>
      </c>
      <c r="F785" s="15" t="s">
        <v>31</v>
      </c>
      <c r="G785" s="95">
        <f>G786</f>
        <v>2000000</v>
      </c>
      <c r="H785" s="25">
        <f>H786</f>
        <v>0</v>
      </c>
      <c r="I785" s="25">
        <f>I786</f>
        <v>0</v>
      </c>
      <c r="J785" s="179"/>
      <c r="K785" s="186"/>
      <c r="L785" s="186"/>
      <c r="M785" s="186"/>
      <c r="N785" s="186"/>
      <c r="O785" s="186"/>
      <c r="P785" s="186"/>
      <c r="Q785" s="186"/>
      <c r="R785" s="186"/>
      <c r="S785" s="1"/>
      <c r="T785" s="1"/>
    </row>
    <row r="786" spans="1:20">
      <c r="A786" s="16" t="s">
        <v>32</v>
      </c>
      <c r="B786" s="14">
        <v>757</v>
      </c>
      <c r="C786" s="15" t="s">
        <v>44</v>
      </c>
      <c r="D786" s="15" t="s">
        <v>19</v>
      </c>
      <c r="E786" s="15" t="s">
        <v>980</v>
      </c>
      <c r="F786" s="15" t="s">
        <v>33</v>
      </c>
      <c r="G786" s="95">
        <v>2000000</v>
      </c>
      <c r="H786" s="25">
        <v>0</v>
      </c>
      <c r="I786" s="25">
        <v>0</v>
      </c>
      <c r="J786" s="179"/>
      <c r="K786" s="186"/>
      <c r="L786" s="186"/>
      <c r="M786" s="186"/>
      <c r="N786" s="186"/>
      <c r="O786" s="186"/>
      <c r="P786" s="186"/>
      <c r="Q786" s="186"/>
      <c r="R786" s="186"/>
      <c r="S786" s="1"/>
      <c r="T786" s="1"/>
    </row>
    <row r="787" spans="1:20" ht="25.5">
      <c r="A787" s="16" t="s">
        <v>983</v>
      </c>
      <c r="B787" s="14">
        <v>757</v>
      </c>
      <c r="C787" s="15" t="s">
        <v>44</v>
      </c>
      <c r="D787" s="15" t="s">
        <v>19</v>
      </c>
      <c r="E787" s="15" t="s">
        <v>982</v>
      </c>
      <c r="F787" s="15"/>
      <c r="G787" s="95">
        <f>G788</f>
        <v>10000000</v>
      </c>
      <c r="H787" s="95">
        <f t="shared" ref="H787:I787" si="219">H788</f>
        <v>0</v>
      </c>
      <c r="I787" s="95">
        <f t="shared" si="219"/>
        <v>0</v>
      </c>
      <c r="J787" s="179"/>
      <c r="K787" s="186"/>
      <c r="L787" s="186"/>
      <c r="M787" s="186"/>
      <c r="N787" s="186"/>
      <c r="O787" s="186"/>
      <c r="P787" s="186"/>
      <c r="Q787" s="186"/>
      <c r="R787" s="186"/>
      <c r="S787" s="1"/>
      <c r="T787" s="1"/>
    </row>
    <row r="788" spans="1:20" ht="25.5">
      <c r="A788" s="16" t="s">
        <v>30</v>
      </c>
      <c r="B788" s="14">
        <v>757</v>
      </c>
      <c r="C788" s="15" t="s">
        <v>44</v>
      </c>
      <c r="D788" s="15" t="s">
        <v>19</v>
      </c>
      <c r="E788" s="15" t="s">
        <v>982</v>
      </c>
      <c r="F788" s="15" t="s">
        <v>31</v>
      </c>
      <c r="G788" s="95">
        <f>G789</f>
        <v>10000000</v>
      </c>
      <c r="H788" s="25">
        <f>H789</f>
        <v>0</v>
      </c>
      <c r="I788" s="25">
        <f>I789</f>
        <v>0</v>
      </c>
      <c r="J788" s="179"/>
      <c r="K788" s="186"/>
      <c r="L788" s="186"/>
      <c r="M788" s="186"/>
      <c r="N788" s="186"/>
      <c r="O788" s="186"/>
      <c r="P788" s="186"/>
      <c r="Q788" s="186"/>
      <c r="R788" s="186"/>
      <c r="S788" s="1"/>
      <c r="T788" s="1"/>
    </row>
    <row r="789" spans="1:20">
      <c r="A789" s="16" t="s">
        <v>32</v>
      </c>
      <c r="B789" s="14">
        <v>757</v>
      </c>
      <c r="C789" s="15" t="s">
        <v>44</v>
      </c>
      <c r="D789" s="15" t="s">
        <v>19</v>
      </c>
      <c r="E789" s="15" t="s">
        <v>982</v>
      </c>
      <c r="F789" s="15" t="s">
        <v>33</v>
      </c>
      <c r="G789" s="95">
        <v>10000000</v>
      </c>
      <c r="H789" s="25">
        <v>0</v>
      </c>
      <c r="I789" s="25">
        <v>0</v>
      </c>
      <c r="J789" s="179"/>
      <c r="K789" s="186"/>
      <c r="L789" s="186"/>
      <c r="M789" s="186"/>
      <c r="N789" s="186"/>
      <c r="O789" s="186"/>
      <c r="P789" s="186"/>
      <c r="Q789" s="186"/>
      <c r="R789" s="186"/>
      <c r="S789" s="1"/>
      <c r="T789" s="1"/>
    </row>
    <row r="790" spans="1:20" ht="79.5" customHeight="1">
      <c r="A790" s="16" t="s">
        <v>576</v>
      </c>
      <c r="B790" s="14">
        <v>757</v>
      </c>
      <c r="C790" s="15" t="s">
        <v>44</v>
      </c>
      <c r="D790" s="15" t="s">
        <v>19</v>
      </c>
      <c r="E790" s="15" t="s">
        <v>1018</v>
      </c>
      <c r="F790" s="15"/>
      <c r="G790" s="70">
        <f>G791</f>
        <v>4562610.8899999997</v>
      </c>
      <c r="H790" s="70">
        <f t="shared" ref="H790:I790" si="220">H791</f>
        <v>0</v>
      </c>
      <c r="I790" s="70">
        <f t="shared" si="220"/>
        <v>0</v>
      </c>
      <c r="J790" s="177"/>
      <c r="K790" s="186"/>
      <c r="L790" s="186"/>
      <c r="M790" s="186"/>
      <c r="N790" s="186"/>
      <c r="O790" s="186"/>
      <c r="P790" s="186"/>
      <c r="Q790" s="186"/>
      <c r="R790" s="186"/>
      <c r="S790" s="1"/>
      <c r="T790" s="1"/>
    </row>
    <row r="791" spans="1:20" ht="25.5">
      <c r="A791" s="16" t="s">
        <v>30</v>
      </c>
      <c r="B791" s="14">
        <v>757</v>
      </c>
      <c r="C791" s="15" t="s">
        <v>44</v>
      </c>
      <c r="D791" s="15" t="s">
        <v>19</v>
      </c>
      <c r="E791" s="15" t="s">
        <v>1018</v>
      </c>
      <c r="F791" s="15" t="s">
        <v>31</v>
      </c>
      <c r="G791" s="70">
        <f>G792</f>
        <v>4562610.8899999997</v>
      </c>
      <c r="H791" s="70">
        <f>H792</f>
        <v>0</v>
      </c>
      <c r="I791" s="70">
        <f>I792</f>
        <v>0</v>
      </c>
      <c r="J791" s="177"/>
      <c r="K791" s="186"/>
      <c r="L791" s="186"/>
      <c r="M791" s="186"/>
      <c r="N791" s="186"/>
      <c r="O791" s="186"/>
      <c r="P791" s="186"/>
      <c r="Q791" s="186"/>
      <c r="R791" s="186"/>
      <c r="S791" s="1"/>
      <c r="T791" s="1"/>
    </row>
    <row r="792" spans="1:20" ht="19.5" customHeight="1">
      <c r="A792" s="16" t="s">
        <v>32</v>
      </c>
      <c r="B792" s="14">
        <v>757</v>
      </c>
      <c r="C792" s="15" t="s">
        <v>44</v>
      </c>
      <c r="D792" s="15" t="s">
        <v>19</v>
      </c>
      <c r="E792" s="15" t="s">
        <v>1018</v>
      </c>
      <c r="F792" s="15" t="s">
        <v>33</v>
      </c>
      <c r="G792" s="70">
        <f>'прил 5,'!G317</f>
        <v>4562610.8899999997</v>
      </c>
      <c r="H792" s="70">
        <v>0</v>
      </c>
      <c r="I792" s="70">
        <v>0</v>
      </c>
      <c r="J792" s="177"/>
      <c r="K792" s="186"/>
      <c r="L792" s="186"/>
      <c r="M792" s="186"/>
      <c r="N792" s="186"/>
      <c r="O792" s="186"/>
      <c r="P792" s="186"/>
      <c r="Q792" s="186"/>
      <c r="R792" s="186"/>
      <c r="S792" s="1"/>
      <c r="T792" s="1"/>
    </row>
    <row r="793" spans="1:20" s="46" customFormat="1" ht="90.75" customHeight="1">
      <c r="A793" s="80" t="s">
        <v>373</v>
      </c>
      <c r="B793" s="14"/>
      <c r="C793" s="15"/>
      <c r="D793" s="15"/>
      <c r="E793" s="15" t="s">
        <v>666</v>
      </c>
      <c r="F793" s="15"/>
      <c r="G793" s="87">
        <f t="shared" ref="G793:I794" si="221">G794</f>
        <v>1180646</v>
      </c>
      <c r="H793" s="70">
        <f t="shared" si="221"/>
        <v>1157334.79</v>
      </c>
      <c r="I793" s="70">
        <f t="shared" si="221"/>
        <v>1157334.79</v>
      </c>
      <c r="J793" s="110">
        <v>37014758</v>
      </c>
      <c r="P793" s="110"/>
      <c r="Q793" s="110"/>
      <c r="R793" s="110"/>
      <c r="S793" s="110"/>
      <c r="T793" s="110"/>
    </row>
    <row r="794" spans="1:20" s="46" customFormat="1" ht="35.25" customHeight="1">
      <c r="A794" s="16" t="s">
        <v>30</v>
      </c>
      <c r="B794" s="14"/>
      <c r="C794" s="15"/>
      <c r="D794" s="15"/>
      <c r="E794" s="15" t="s">
        <v>666</v>
      </c>
      <c r="F794" s="15" t="s">
        <v>31</v>
      </c>
      <c r="G794" s="87">
        <f t="shared" si="221"/>
        <v>1180646</v>
      </c>
      <c r="H794" s="70">
        <f t="shared" si="221"/>
        <v>1157334.79</v>
      </c>
      <c r="I794" s="70">
        <f t="shared" si="221"/>
        <v>1157334.79</v>
      </c>
      <c r="J794" s="110">
        <v>1052448</v>
      </c>
      <c r="P794" s="110"/>
      <c r="Q794" s="110"/>
      <c r="R794" s="110"/>
      <c r="S794" s="110"/>
      <c r="T794" s="110"/>
    </row>
    <row r="795" spans="1:20" s="46" customFormat="1" ht="21" customHeight="1">
      <c r="A795" s="16" t="s">
        <v>32</v>
      </c>
      <c r="B795" s="14"/>
      <c r="C795" s="15"/>
      <c r="D795" s="15"/>
      <c r="E795" s="15" t="s">
        <v>666</v>
      </c>
      <c r="F795" s="15" t="s">
        <v>33</v>
      </c>
      <c r="G795" s="87">
        <f>'прил 5,'!G166</f>
        <v>1180646</v>
      </c>
      <c r="H795" s="70">
        <f>'прил 5,'!H166</f>
        <v>1157334.79</v>
      </c>
      <c r="I795" s="70">
        <f>'прил 5,'!I166</f>
        <v>1157334.79</v>
      </c>
      <c r="J795" s="110">
        <v>7890673</v>
      </c>
      <c r="P795" s="110"/>
      <c r="Q795" s="110"/>
      <c r="R795" s="110"/>
      <c r="S795" s="110"/>
      <c r="T795" s="110"/>
    </row>
    <row r="796" spans="1:20" ht="25.5">
      <c r="A796" s="16" t="s">
        <v>29</v>
      </c>
      <c r="B796" s="14">
        <v>757</v>
      </c>
      <c r="C796" s="15" t="s">
        <v>26</v>
      </c>
      <c r="D796" s="15" t="s">
        <v>28</v>
      </c>
      <c r="E796" s="15" t="s">
        <v>194</v>
      </c>
      <c r="F796" s="15"/>
      <c r="G796" s="87">
        <f>G797</f>
        <v>27496730.579999998</v>
      </c>
      <c r="H796" s="70">
        <f t="shared" ref="G796:I797" si="222">H797</f>
        <v>27590675.109999999</v>
      </c>
      <c r="I796" s="70">
        <f t="shared" si="222"/>
        <v>29065199.059999999</v>
      </c>
      <c r="J796" s="2">
        <v>435600</v>
      </c>
    </row>
    <row r="797" spans="1:20" ht="25.5">
      <c r="A797" s="16" t="s">
        <v>30</v>
      </c>
      <c r="B797" s="14">
        <v>757</v>
      </c>
      <c r="C797" s="15" t="s">
        <v>26</v>
      </c>
      <c r="D797" s="15" t="s">
        <v>28</v>
      </c>
      <c r="E797" s="15" t="s">
        <v>194</v>
      </c>
      <c r="F797" s="15" t="s">
        <v>31</v>
      </c>
      <c r="G797" s="87">
        <f t="shared" si="222"/>
        <v>27496730.579999998</v>
      </c>
      <c r="H797" s="70">
        <f t="shared" si="222"/>
        <v>27590675.109999999</v>
      </c>
      <c r="I797" s="70">
        <f t="shared" si="222"/>
        <v>29065199.059999999</v>
      </c>
      <c r="J797" s="2">
        <v>300</v>
      </c>
    </row>
    <row r="798" spans="1:20" ht="19.5" customHeight="1">
      <c r="A798" s="16" t="s">
        <v>32</v>
      </c>
      <c r="B798" s="14">
        <v>757</v>
      </c>
      <c r="C798" s="15" t="s">
        <v>26</v>
      </c>
      <c r="D798" s="15" t="s">
        <v>28</v>
      </c>
      <c r="E798" s="15" t="s">
        <v>194</v>
      </c>
      <c r="F798" s="15" t="s">
        <v>33</v>
      </c>
      <c r="G798" s="87">
        <f>'прил 5,'!G35</f>
        <v>27496730.579999998</v>
      </c>
      <c r="H798" s="70">
        <f>'прил 5,'!H35</f>
        <v>27590675.109999999</v>
      </c>
      <c r="I798" s="70">
        <f>'прил 5,'!I35</f>
        <v>29065199.059999999</v>
      </c>
      <c r="J798" s="2">
        <f>SUM(J765:J797)</f>
        <v>139023744</v>
      </c>
    </row>
    <row r="799" spans="1:20" ht="25.5">
      <c r="A799" s="16" t="s">
        <v>854</v>
      </c>
      <c r="B799" s="14">
        <v>757</v>
      </c>
      <c r="C799" s="15" t="s">
        <v>26</v>
      </c>
      <c r="D799" s="15" t="s">
        <v>70</v>
      </c>
      <c r="E799" s="15" t="s">
        <v>853</v>
      </c>
      <c r="F799" s="15"/>
      <c r="G799" s="70">
        <f>G800</f>
        <v>115000</v>
      </c>
      <c r="H799" s="70">
        <f t="shared" ref="H799:I799" si="223">H800</f>
        <v>115000</v>
      </c>
      <c r="I799" s="70">
        <f t="shared" si="223"/>
        <v>115000</v>
      </c>
      <c r="J799" s="1"/>
    </row>
    <row r="800" spans="1:20" ht="25.5">
      <c r="A800" s="16" t="s">
        <v>30</v>
      </c>
      <c r="B800" s="14">
        <v>757</v>
      </c>
      <c r="C800" s="15" t="s">
        <v>26</v>
      </c>
      <c r="D800" s="15" t="s">
        <v>70</v>
      </c>
      <c r="E800" s="15" t="s">
        <v>853</v>
      </c>
      <c r="F800" s="15" t="s">
        <v>31</v>
      </c>
      <c r="G800" s="70">
        <f>G801</f>
        <v>115000</v>
      </c>
      <c r="H800" s="70">
        <f>H801</f>
        <v>115000</v>
      </c>
      <c r="I800" s="70">
        <f>I801</f>
        <v>115000</v>
      </c>
      <c r="J800" s="1"/>
    </row>
    <row r="801" spans="1:20" ht="19.5" customHeight="1">
      <c r="A801" s="16" t="s">
        <v>32</v>
      </c>
      <c r="B801" s="14">
        <v>757</v>
      </c>
      <c r="C801" s="15" t="s">
        <v>26</v>
      </c>
      <c r="D801" s="15" t="s">
        <v>70</v>
      </c>
      <c r="E801" s="15" t="s">
        <v>853</v>
      </c>
      <c r="F801" s="15" t="s">
        <v>33</v>
      </c>
      <c r="G801" s="70">
        <f>'прил 5,'!G41+'прил 5,'!G278</f>
        <v>115000</v>
      </c>
      <c r="H801" s="70">
        <f>'прил 5,'!H41+'прил 5,'!H278</f>
        <v>115000</v>
      </c>
      <c r="I801" s="70">
        <f>'прил 5,'!I41+'прил 5,'!I278</f>
        <v>115000</v>
      </c>
      <c r="J801" s="1"/>
    </row>
    <row r="802" spans="1:20" ht="38.25">
      <c r="A802" s="16" t="s">
        <v>670</v>
      </c>
      <c r="B802" s="14">
        <v>757</v>
      </c>
      <c r="C802" s="15" t="s">
        <v>26</v>
      </c>
      <c r="D802" s="15" t="s">
        <v>70</v>
      </c>
      <c r="E802" s="15" t="s">
        <v>856</v>
      </c>
      <c r="F802" s="15"/>
      <c r="G802" s="70">
        <f>G803</f>
        <v>0</v>
      </c>
      <c r="H802" s="70">
        <f t="shared" ref="H802:I802" si="224">H803</f>
        <v>300000</v>
      </c>
      <c r="I802" s="70">
        <f t="shared" si="224"/>
        <v>0</v>
      </c>
      <c r="J802" s="1"/>
    </row>
    <row r="803" spans="1:20" ht="25.5">
      <c r="A803" s="16" t="s">
        <v>30</v>
      </c>
      <c r="B803" s="14">
        <v>757</v>
      </c>
      <c r="C803" s="15" t="s">
        <v>26</v>
      </c>
      <c r="D803" s="15" t="s">
        <v>70</v>
      </c>
      <c r="E803" s="15" t="s">
        <v>856</v>
      </c>
      <c r="F803" s="15" t="s">
        <v>31</v>
      </c>
      <c r="G803" s="70">
        <f>G804</f>
        <v>0</v>
      </c>
      <c r="H803" s="70">
        <f>H804</f>
        <v>300000</v>
      </c>
      <c r="I803" s="70">
        <f>I804</f>
        <v>0</v>
      </c>
      <c r="J803" s="1"/>
    </row>
    <row r="804" spans="1:20" ht="19.5" customHeight="1">
      <c r="A804" s="16" t="s">
        <v>32</v>
      </c>
      <c r="B804" s="14">
        <v>757</v>
      </c>
      <c r="C804" s="15" t="s">
        <v>26</v>
      </c>
      <c r="D804" s="15" t="s">
        <v>70</v>
      </c>
      <c r="E804" s="15" t="s">
        <v>856</v>
      </c>
      <c r="F804" s="15" t="s">
        <v>33</v>
      </c>
      <c r="G804" s="70">
        <v>0</v>
      </c>
      <c r="H804" s="70">
        <v>300000</v>
      </c>
      <c r="I804" s="70">
        <v>0</v>
      </c>
      <c r="J804" s="1"/>
    </row>
    <row r="805" spans="1:20" ht="31.5" customHeight="1">
      <c r="A805" s="143" t="s">
        <v>821</v>
      </c>
      <c r="B805" s="14">
        <v>757</v>
      </c>
      <c r="C805" s="15" t="s">
        <v>44</v>
      </c>
      <c r="D805" s="15" t="s">
        <v>19</v>
      </c>
      <c r="E805" s="15" t="s">
        <v>751</v>
      </c>
      <c r="F805" s="14"/>
      <c r="G805" s="8">
        <f>G806</f>
        <v>200000</v>
      </c>
      <c r="H805" s="8">
        <f t="shared" ref="H805:I805" si="225">H806</f>
        <v>0</v>
      </c>
      <c r="I805" s="8">
        <f t="shared" si="225"/>
        <v>0</v>
      </c>
      <c r="J805" s="178"/>
      <c r="K805" s="186"/>
      <c r="L805" s="186"/>
      <c r="M805" s="186"/>
      <c r="N805" s="186"/>
      <c r="O805" s="186"/>
      <c r="P805" s="186"/>
      <c r="Q805" s="186"/>
      <c r="R805" s="186"/>
      <c r="S805" s="1"/>
      <c r="T805" s="1"/>
    </row>
    <row r="806" spans="1:20" ht="49.5" customHeight="1">
      <c r="A806" s="82" t="s">
        <v>30</v>
      </c>
      <c r="B806" s="14">
        <v>757</v>
      </c>
      <c r="C806" s="15" t="s">
        <v>44</v>
      </c>
      <c r="D806" s="15" t="s">
        <v>19</v>
      </c>
      <c r="E806" s="15" t="s">
        <v>751</v>
      </c>
      <c r="F806" s="15" t="s">
        <v>31</v>
      </c>
      <c r="G806" s="8">
        <f>G807</f>
        <v>200000</v>
      </c>
      <c r="H806" s="8">
        <f>H807</f>
        <v>0</v>
      </c>
      <c r="I806" s="8">
        <f>I807</f>
        <v>0</v>
      </c>
      <c r="J806" s="178"/>
      <c r="K806" s="186"/>
      <c r="L806" s="186"/>
      <c r="M806" s="186"/>
      <c r="N806" s="186"/>
      <c r="O806" s="186"/>
      <c r="P806" s="186"/>
      <c r="Q806" s="186"/>
      <c r="R806" s="186"/>
      <c r="S806" s="1"/>
      <c r="T806" s="1"/>
    </row>
    <row r="807" spans="1:20">
      <c r="A807" s="82" t="s">
        <v>32</v>
      </c>
      <c r="B807" s="14">
        <v>757</v>
      </c>
      <c r="C807" s="15" t="s">
        <v>44</v>
      </c>
      <c r="D807" s="15" t="s">
        <v>19</v>
      </c>
      <c r="E807" s="15" t="s">
        <v>751</v>
      </c>
      <c r="F807" s="15" t="s">
        <v>33</v>
      </c>
      <c r="G807" s="8">
        <f>'прил 5,'!G192</f>
        <v>200000</v>
      </c>
      <c r="H807" s="8"/>
      <c r="I807" s="8"/>
      <c r="J807" s="178"/>
      <c r="K807" s="186"/>
      <c r="L807" s="186"/>
      <c r="M807" s="186"/>
      <c r="N807" s="186"/>
      <c r="O807" s="186"/>
      <c r="P807" s="186"/>
      <c r="Q807" s="186"/>
      <c r="R807" s="186"/>
      <c r="S807" s="1"/>
      <c r="T807" s="1"/>
    </row>
    <row r="808" spans="1:20" ht="25.5">
      <c r="A808" s="16" t="s">
        <v>857</v>
      </c>
      <c r="B808" s="14">
        <v>757</v>
      </c>
      <c r="C808" s="15" t="s">
        <v>26</v>
      </c>
      <c r="D808" s="15" t="s">
        <v>70</v>
      </c>
      <c r="E808" s="15" t="s">
        <v>869</v>
      </c>
      <c r="F808" s="15"/>
      <c r="G808" s="70">
        <f>G809</f>
        <v>578840.80000000005</v>
      </c>
      <c r="H808" s="70">
        <f t="shared" ref="H808:I808" si="226">H809</f>
        <v>822400</v>
      </c>
      <c r="I808" s="70">
        <f t="shared" si="226"/>
        <v>822400</v>
      </c>
      <c r="J808" s="1"/>
    </row>
    <row r="809" spans="1:20" ht="25.5">
      <c r="A809" s="16" t="s">
        <v>30</v>
      </c>
      <c r="B809" s="14">
        <v>757</v>
      </c>
      <c r="C809" s="15" t="s">
        <v>26</v>
      </c>
      <c r="D809" s="15" t="s">
        <v>70</v>
      </c>
      <c r="E809" s="15" t="s">
        <v>869</v>
      </c>
      <c r="F809" s="15" t="s">
        <v>31</v>
      </c>
      <c r="G809" s="70">
        <f>G810</f>
        <v>578840.80000000005</v>
      </c>
      <c r="H809" s="70">
        <f>H810</f>
        <v>822400</v>
      </c>
      <c r="I809" s="70">
        <f>I810</f>
        <v>822400</v>
      </c>
      <c r="J809" s="1"/>
    </row>
    <row r="810" spans="1:20" ht="19.5" customHeight="1">
      <c r="A810" s="16" t="s">
        <v>32</v>
      </c>
      <c r="B810" s="14">
        <v>757</v>
      </c>
      <c r="C810" s="15" t="s">
        <v>26</v>
      </c>
      <c r="D810" s="15" t="s">
        <v>70</v>
      </c>
      <c r="E810" s="15" t="s">
        <v>869</v>
      </c>
      <c r="F810" s="15" t="s">
        <v>33</v>
      </c>
      <c r="G810" s="70">
        <f>'прил 5,'!G44+'прил 5,'!G272</f>
        <v>578840.80000000005</v>
      </c>
      <c r="H810" s="70">
        <f>'прил 5,'!H44+'прил 5,'!H272</f>
        <v>822400</v>
      </c>
      <c r="I810" s="70">
        <f>'прил 5,'!I44+'прил 5,'!I272</f>
        <v>822400</v>
      </c>
      <c r="J810" s="1"/>
    </row>
    <row r="811" spans="1:20">
      <c r="A811" s="16" t="s">
        <v>859</v>
      </c>
      <c r="B811" s="14">
        <v>757</v>
      </c>
      <c r="C811" s="15" t="s">
        <v>44</v>
      </c>
      <c r="D811" s="15" t="s">
        <v>19</v>
      </c>
      <c r="E811" s="15" t="s">
        <v>858</v>
      </c>
      <c r="F811" s="15"/>
      <c r="G811" s="70">
        <f>G812</f>
        <v>374200</v>
      </c>
      <c r="H811" s="70">
        <f t="shared" ref="H811:I811" si="227">H812</f>
        <v>1314000</v>
      </c>
      <c r="I811" s="70">
        <f t="shared" si="227"/>
        <v>1395000</v>
      </c>
      <c r="J811" s="1"/>
    </row>
    <row r="812" spans="1:20" ht="25.5">
      <c r="A812" s="16" t="s">
        <v>30</v>
      </c>
      <c r="B812" s="14">
        <v>757</v>
      </c>
      <c r="C812" s="15" t="s">
        <v>44</v>
      </c>
      <c r="D812" s="15" t="s">
        <v>19</v>
      </c>
      <c r="E812" s="15" t="s">
        <v>858</v>
      </c>
      <c r="F812" s="15" t="s">
        <v>31</v>
      </c>
      <c r="G812" s="70">
        <f>G813</f>
        <v>374200</v>
      </c>
      <c r="H812" s="70">
        <f>H813</f>
        <v>1314000</v>
      </c>
      <c r="I812" s="70">
        <f>I813</f>
        <v>1395000</v>
      </c>
      <c r="J812" s="1"/>
    </row>
    <row r="813" spans="1:20" ht="19.5" customHeight="1">
      <c r="A813" s="16" t="s">
        <v>32</v>
      </c>
      <c r="B813" s="14">
        <v>757</v>
      </c>
      <c r="C813" s="15" t="s">
        <v>44</v>
      </c>
      <c r="D813" s="15" t="s">
        <v>19</v>
      </c>
      <c r="E813" s="15" t="s">
        <v>858</v>
      </c>
      <c r="F813" s="15" t="s">
        <v>33</v>
      </c>
      <c r="G813" s="70">
        <f>'прил 5,'!G275+'прил 5,'!G38</f>
        <v>374200</v>
      </c>
      <c r="H813" s="70">
        <f>'прил 5,'!H275+'прил 5,'!H38</f>
        <v>1314000</v>
      </c>
      <c r="I813" s="70">
        <f>'прил 5,'!I275+'прил 5,'!I38</f>
        <v>1395000</v>
      </c>
      <c r="J813" s="1"/>
    </row>
    <row r="814" spans="1:20" ht="38.25">
      <c r="A814" s="16" t="s">
        <v>861</v>
      </c>
      <c r="B814" s="14">
        <v>757</v>
      </c>
      <c r="C814" s="15" t="s">
        <v>44</v>
      </c>
      <c r="D814" s="15" t="s">
        <v>19</v>
      </c>
      <c r="E814" s="15" t="s">
        <v>860</v>
      </c>
      <c r="F814" s="15"/>
      <c r="G814" s="70">
        <f>G815</f>
        <v>184400</v>
      </c>
      <c r="H814" s="70">
        <f t="shared" ref="H814:I814" si="228">H815</f>
        <v>0</v>
      </c>
      <c r="I814" s="70">
        <f t="shared" si="228"/>
        <v>0</v>
      </c>
      <c r="J814" s="1"/>
    </row>
    <row r="815" spans="1:20" ht="25.5">
      <c r="A815" s="16" t="s">
        <v>30</v>
      </c>
      <c r="B815" s="14">
        <v>757</v>
      </c>
      <c r="C815" s="15" t="s">
        <v>44</v>
      </c>
      <c r="D815" s="15" t="s">
        <v>19</v>
      </c>
      <c r="E815" s="15" t="s">
        <v>860</v>
      </c>
      <c r="F815" s="15" t="s">
        <v>31</v>
      </c>
      <c r="G815" s="70">
        <f>G816</f>
        <v>184400</v>
      </c>
      <c r="H815" s="70">
        <f>H816</f>
        <v>0</v>
      </c>
      <c r="I815" s="70">
        <f>I816</f>
        <v>0</v>
      </c>
      <c r="J815" s="1"/>
    </row>
    <row r="816" spans="1:20" ht="19.5" customHeight="1">
      <c r="A816" s="16" t="s">
        <v>32</v>
      </c>
      <c r="B816" s="14">
        <v>757</v>
      </c>
      <c r="C816" s="15" t="s">
        <v>44</v>
      </c>
      <c r="D816" s="15" t="s">
        <v>19</v>
      </c>
      <c r="E816" s="15" t="s">
        <v>860</v>
      </c>
      <c r="F816" s="15" t="s">
        <v>33</v>
      </c>
      <c r="G816" s="70">
        <f>'прил 5,'!G281</f>
        <v>184400</v>
      </c>
      <c r="H816" s="70">
        <f>'прил 5,'!H281</f>
        <v>0</v>
      </c>
      <c r="I816" s="70">
        <f>'прил 5,'!I281</f>
        <v>0</v>
      </c>
      <c r="J816" s="1"/>
    </row>
    <row r="817" spans="1:20" ht="25.5">
      <c r="A817" s="16" t="s">
        <v>863</v>
      </c>
      <c r="B817" s="14">
        <v>757</v>
      </c>
      <c r="C817" s="15" t="s">
        <v>44</v>
      </c>
      <c r="D817" s="15" t="s">
        <v>19</v>
      </c>
      <c r="E817" s="15" t="s">
        <v>862</v>
      </c>
      <c r="F817" s="15"/>
      <c r="G817" s="70">
        <f>G818</f>
        <v>149125</v>
      </c>
      <c r="H817" s="70">
        <f t="shared" ref="H817:I817" si="229">H818</f>
        <v>0</v>
      </c>
      <c r="I817" s="70">
        <f t="shared" si="229"/>
        <v>0</v>
      </c>
      <c r="J817" s="1"/>
    </row>
    <row r="818" spans="1:20" ht="25.5">
      <c r="A818" s="16" t="s">
        <v>30</v>
      </c>
      <c r="B818" s="14">
        <v>757</v>
      </c>
      <c r="C818" s="15" t="s">
        <v>44</v>
      </c>
      <c r="D818" s="15" t="s">
        <v>19</v>
      </c>
      <c r="E818" s="15" t="s">
        <v>862</v>
      </c>
      <c r="F818" s="15" t="s">
        <v>31</v>
      </c>
      <c r="G818" s="70">
        <f>G819</f>
        <v>149125</v>
      </c>
      <c r="H818" s="70">
        <f>H819</f>
        <v>0</v>
      </c>
      <c r="I818" s="70">
        <f>I819</f>
        <v>0</v>
      </c>
      <c r="J818" s="1"/>
    </row>
    <row r="819" spans="1:20" ht="19.5" customHeight="1">
      <c r="A819" s="16" t="s">
        <v>32</v>
      </c>
      <c r="B819" s="14">
        <v>757</v>
      </c>
      <c r="C819" s="15" t="s">
        <v>44</v>
      </c>
      <c r="D819" s="15" t="s">
        <v>19</v>
      </c>
      <c r="E819" s="15" t="s">
        <v>862</v>
      </c>
      <c r="F819" s="15" t="s">
        <v>33</v>
      </c>
      <c r="G819" s="70">
        <v>149125</v>
      </c>
      <c r="H819" s="70">
        <v>0</v>
      </c>
      <c r="I819" s="70">
        <v>0</v>
      </c>
      <c r="J819" s="1"/>
    </row>
    <row r="820" spans="1:20" ht="38.25">
      <c r="A820" s="16" t="s">
        <v>865</v>
      </c>
      <c r="B820" s="14">
        <v>757</v>
      </c>
      <c r="C820" s="15" t="s">
        <v>44</v>
      </c>
      <c r="D820" s="15" t="s">
        <v>19</v>
      </c>
      <c r="E820" s="15" t="s">
        <v>864</v>
      </c>
      <c r="F820" s="15"/>
      <c r="G820" s="70">
        <f>G821</f>
        <v>341866</v>
      </c>
      <c r="H820" s="70">
        <f t="shared" ref="H820:I820" si="230">H821</f>
        <v>0</v>
      </c>
      <c r="I820" s="70">
        <f t="shared" si="230"/>
        <v>0</v>
      </c>
      <c r="J820" s="1"/>
    </row>
    <row r="821" spans="1:20" ht="25.5">
      <c r="A821" s="16" t="s">
        <v>30</v>
      </c>
      <c r="B821" s="14">
        <v>757</v>
      </c>
      <c r="C821" s="15" t="s">
        <v>44</v>
      </c>
      <c r="D821" s="15" t="s">
        <v>19</v>
      </c>
      <c r="E821" s="15" t="s">
        <v>864</v>
      </c>
      <c r="F821" s="15" t="s">
        <v>31</v>
      </c>
      <c r="G821" s="70">
        <f>G822</f>
        <v>341866</v>
      </c>
      <c r="H821" s="70">
        <f>H822</f>
        <v>0</v>
      </c>
      <c r="I821" s="70">
        <f>I822</f>
        <v>0</v>
      </c>
      <c r="J821" s="1"/>
    </row>
    <row r="822" spans="1:20" ht="19.5" customHeight="1">
      <c r="A822" s="16" t="s">
        <v>32</v>
      </c>
      <c r="B822" s="14">
        <v>757</v>
      </c>
      <c r="C822" s="15" t="s">
        <v>44</v>
      </c>
      <c r="D822" s="15" t="s">
        <v>19</v>
      </c>
      <c r="E822" s="15" t="s">
        <v>864</v>
      </c>
      <c r="F822" s="15" t="s">
        <v>33</v>
      </c>
      <c r="G822" s="70">
        <v>341866</v>
      </c>
      <c r="H822" s="70">
        <v>0</v>
      </c>
      <c r="I822" s="70">
        <v>0</v>
      </c>
      <c r="J822" s="1"/>
    </row>
    <row r="823" spans="1:20" ht="36" customHeight="1">
      <c r="A823" s="16" t="s">
        <v>1044</v>
      </c>
      <c r="B823" s="14">
        <v>757</v>
      </c>
      <c r="C823" s="15" t="s">
        <v>44</v>
      </c>
      <c r="D823" s="15" t="s">
        <v>19</v>
      </c>
      <c r="E823" s="15" t="s">
        <v>866</v>
      </c>
      <c r="F823" s="15"/>
      <c r="G823" s="70">
        <f>G824</f>
        <v>50000</v>
      </c>
      <c r="H823" s="70">
        <f t="shared" ref="H823:I823" si="231">H824</f>
        <v>0</v>
      </c>
      <c r="I823" s="70">
        <f t="shared" si="231"/>
        <v>0</v>
      </c>
      <c r="J823" s="1"/>
    </row>
    <row r="824" spans="1:20" ht="25.5">
      <c r="A824" s="16" t="s">
        <v>30</v>
      </c>
      <c r="B824" s="14">
        <v>757</v>
      </c>
      <c r="C824" s="15" t="s">
        <v>44</v>
      </c>
      <c r="D824" s="15" t="s">
        <v>19</v>
      </c>
      <c r="E824" s="15" t="s">
        <v>866</v>
      </c>
      <c r="F824" s="15" t="s">
        <v>31</v>
      </c>
      <c r="G824" s="70">
        <f>G825</f>
        <v>50000</v>
      </c>
      <c r="H824" s="70">
        <f>H825</f>
        <v>0</v>
      </c>
      <c r="I824" s="70">
        <f>I825</f>
        <v>0</v>
      </c>
      <c r="J824" s="1"/>
    </row>
    <row r="825" spans="1:20" ht="19.5" customHeight="1">
      <c r="A825" s="16" t="s">
        <v>32</v>
      </c>
      <c r="B825" s="14">
        <v>757</v>
      </c>
      <c r="C825" s="15" t="s">
        <v>44</v>
      </c>
      <c r="D825" s="15" t="s">
        <v>19</v>
      </c>
      <c r="E825" s="15" t="s">
        <v>866</v>
      </c>
      <c r="F825" s="15" t="s">
        <v>33</v>
      </c>
      <c r="G825" s="70">
        <f>'прил 5,'!G290</f>
        <v>50000</v>
      </c>
      <c r="H825" s="70">
        <f>'прил 5,'!H290</f>
        <v>0</v>
      </c>
      <c r="I825" s="70">
        <f>'прил 5,'!I290</f>
        <v>0</v>
      </c>
      <c r="J825" s="1"/>
    </row>
    <row r="826" spans="1:20" ht="25.5">
      <c r="A826" s="16" t="s">
        <v>868</v>
      </c>
      <c r="B826" s="14">
        <v>757</v>
      </c>
      <c r="C826" s="15" t="s">
        <v>44</v>
      </c>
      <c r="D826" s="15" t="s">
        <v>19</v>
      </c>
      <c r="E826" s="15" t="s">
        <v>867</v>
      </c>
      <c r="F826" s="15"/>
      <c r="G826" s="70">
        <f>G827</f>
        <v>0</v>
      </c>
      <c r="H826" s="70">
        <f t="shared" ref="H826:I826" si="232">H827</f>
        <v>8063.23</v>
      </c>
      <c r="I826" s="70">
        <f t="shared" si="232"/>
        <v>12546</v>
      </c>
      <c r="J826" s="1"/>
    </row>
    <row r="827" spans="1:20" ht="25.5">
      <c r="A827" s="16" t="s">
        <v>30</v>
      </c>
      <c r="B827" s="14">
        <v>757</v>
      </c>
      <c r="C827" s="15" t="s">
        <v>44</v>
      </c>
      <c r="D827" s="15" t="s">
        <v>19</v>
      </c>
      <c r="E827" s="15" t="s">
        <v>867</v>
      </c>
      <c r="F827" s="15" t="s">
        <v>31</v>
      </c>
      <c r="G827" s="70">
        <f>G828</f>
        <v>0</v>
      </c>
      <c r="H827" s="70">
        <f>H828</f>
        <v>8063.23</v>
      </c>
      <c r="I827" s="70">
        <f>I828</f>
        <v>12546</v>
      </c>
      <c r="J827" s="1"/>
    </row>
    <row r="828" spans="1:20" ht="19.5" customHeight="1">
      <c r="A828" s="16" t="s">
        <v>32</v>
      </c>
      <c r="B828" s="14">
        <v>757</v>
      </c>
      <c r="C828" s="15" t="s">
        <v>44</v>
      </c>
      <c r="D828" s="15" t="s">
        <v>19</v>
      </c>
      <c r="E828" s="15" t="s">
        <v>867</v>
      </c>
      <c r="F828" s="15" t="s">
        <v>33</v>
      </c>
      <c r="G828" s="70">
        <f>'прил 5,'!G293</f>
        <v>0</v>
      </c>
      <c r="H828" s="70">
        <f>'прил 5,'!H293</f>
        <v>8063.23</v>
      </c>
      <c r="I828" s="70">
        <f>'прил 5,'!I293</f>
        <v>12546</v>
      </c>
      <c r="J828" s="1"/>
    </row>
    <row r="829" spans="1:20" ht="25.5">
      <c r="A829" s="16" t="s">
        <v>872</v>
      </c>
      <c r="B829" s="14">
        <v>757</v>
      </c>
      <c r="C829" s="15" t="s">
        <v>44</v>
      </c>
      <c r="D829" s="15" t="s">
        <v>19</v>
      </c>
      <c r="E829" s="15" t="s">
        <v>871</v>
      </c>
      <c r="F829" s="15"/>
      <c r="G829" s="70">
        <f>G830</f>
        <v>8000</v>
      </c>
      <c r="H829" s="70">
        <f t="shared" ref="H829:I829" si="233">H830</f>
        <v>0</v>
      </c>
      <c r="I829" s="70">
        <f t="shared" si="233"/>
        <v>0</v>
      </c>
      <c r="J829" s="1"/>
    </row>
    <row r="830" spans="1:20" ht="25.5">
      <c r="A830" s="16" t="s">
        <v>30</v>
      </c>
      <c r="B830" s="14">
        <v>757</v>
      </c>
      <c r="C830" s="15" t="s">
        <v>44</v>
      </c>
      <c r="D830" s="15" t="s">
        <v>19</v>
      </c>
      <c r="E830" s="15" t="s">
        <v>871</v>
      </c>
      <c r="F830" s="15" t="s">
        <v>31</v>
      </c>
      <c r="G830" s="70">
        <f>G831</f>
        <v>8000</v>
      </c>
      <c r="H830" s="70">
        <f>H831</f>
        <v>0</v>
      </c>
      <c r="I830" s="70">
        <f>I831</f>
        <v>0</v>
      </c>
      <c r="J830" s="1"/>
    </row>
    <row r="831" spans="1:20" ht="19.5" customHeight="1">
      <c r="A831" s="16" t="s">
        <v>32</v>
      </c>
      <c r="B831" s="14">
        <v>757</v>
      </c>
      <c r="C831" s="15" t="s">
        <v>44</v>
      </c>
      <c r="D831" s="15" t="s">
        <v>19</v>
      </c>
      <c r="E831" s="15" t="s">
        <v>871</v>
      </c>
      <c r="F831" s="15" t="s">
        <v>33</v>
      </c>
      <c r="G831" s="70">
        <f>'прил 5,'!G299</f>
        <v>8000</v>
      </c>
      <c r="H831" s="70">
        <v>0</v>
      </c>
      <c r="I831" s="70">
        <v>0</v>
      </c>
      <c r="J831" s="1"/>
    </row>
    <row r="832" spans="1:20" s="90" customFormat="1" ht="37.5" customHeight="1">
      <c r="A832" s="82" t="s">
        <v>1099</v>
      </c>
      <c r="B832" s="149">
        <v>757</v>
      </c>
      <c r="C832" s="84" t="s">
        <v>44</v>
      </c>
      <c r="D832" s="84" t="s">
        <v>19</v>
      </c>
      <c r="E832" s="84" t="s">
        <v>873</v>
      </c>
      <c r="F832" s="84"/>
      <c r="G832" s="87">
        <f>G833</f>
        <v>250000</v>
      </c>
      <c r="H832" s="87">
        <f t="shared" ref="H832:I832" si="234">H833</f>
        <v>0</v>
      </c>
      <c r="I832" s="87">
        <f t="shared" si="234"/>
        <v>0</v>
      </c>
      <c r="P832" s="126"/>
      <c r="Q832" s="126"/>
      <c r="R832" s="126"/>
      <c r="S832" s="126"/>
      <c r="T832" s="126"/>
    </row>
    <row r="833" spans="1:20" s="90" customFormat="1" ht="28.5" customHeight="1">
      <c r="A833" s="82" t="s">
        <v>30</v>
      </c>
      <c r="B833" s="149">
        <v>757</v>
      </c>
      <c r="C833" s="84" t="s">
        <v>44</v>
      </c>
      <c r="D833" s="84" t="s">
        <v>19</v>
      </c>
      <c r="E833" s="84" t="s">
        <v>873</v>
      </c>
      <c r="F833" s="84" t="s">
        <v>31</v>
      </c>
      <c r="G833" s="87">
        <f>G834</f>
        <v>250000</v>
      </c>
      <c r="H833" s="87">
        <f>H834</f>
        <v>0</v>
      </c>
      <c r="I833" s="87">
        <f>I834</f>
        <v>0</v>
      </c>
      <c r="P833" s="126"/>
      <c r="Q833" s="126"/>
      <c r="R833" s="126"/>
      <c r="S833" s="126"/>
      <c r="T833" s="126"/>
    </row>
    <row r="834" spans="1:20" s="90" customFormat="1" ht="19.5" customHeight="1">
      <c r="A834" s="82" t="s">
        <v>32</v>
      </c>
      <c r="B834" s="149">
        <v>757</v>
      </c>
      <c r="C834" s="84" t="s">
        <v>44</v>
      </c>
      <c r="D834" s="84" t="s">
        <v>19</v>
      </c>
      <c r="E834" s="84" t="s">
        <v>873</v>
      </c>
      <c r="F834" s="84" t="s">
        <v>33</v>
      </c>
      <c r="G834" s="87">
        <f>'прил 5,'!G302</f>
        <v>250000</v>
      </c>
      <c r="H834" s="87">
        <v>0</v>
      </c>
      <c r="I834" s="87">
        <v>0</v>
      </c>
      <c r="P834" s="126"/>
      <c r="Q834" s="126"/>
      <c r="R834" s="126"/>
      <c r="S834" s="126"/>
      <c r="T834" s="126"/>
    </row>
    <row r="835" spans="1:20" s="90" customFormat="1" ht="71.25" customHeight="1">
      <c r="A835" s="82" t="s">
        <v>970</v>
      </c>
      <c r="B835" s="149">
        <v>757</v>
      </c>
      <c r="C835" s="84" t="s">
        <v>44</v>
      </c>
      <c r="D835" s="84" t="s">
        <v>19</v>
      </c>
      <c r="E835" s="84" t="s">
        <v>969</v>
      </c>
      <c r="F835" s="84"/>
      <c r="G835" s="87">
        <f>G836</f>
        <v>40000</v>
      </c>
      <c r="H835" s="87">
        <f t="shared" ref="H835:I835" si="235">H836</f>
        <v>0</v>
      </c>
      <c r="I835" s="87">
        <f t="shared" si="235"/>
        <v>0</v>
      </c>
      <c r="J835" s="177"/>
      <c r="K835" s="186"/>
      <c r="L835" s="186"/>
      <c r="M835" s="186"/>
      <c r="N835" s="186"/>
      <c r="O835" s="186"/>
      <c r="P835" s="186"/>
      <c r="Q835" s="186"/>
      <c r="R835" s="186"/>
    </row>
    <row r="836" spans="1:20" s="90" customFormat="1" ht="25.5">
      <c r="A836" s="82" t="s">
        <v>30</v>
      </c>
      <c r="B836" s="149">
        <v>757</v>
      </c>
      <c r="C836" s="84" t="s">
        <v>44</v>
      </c>
      <c r="D836" s="84" t="s">
        <v>19</v>
      </c>
      <c r="E836" s="84" t="s">
        <v>969</v>
      </c>
      <c r="F836" s="84" t="s">
        <v>31</v>
      </c>
      <c r="G836" s="87">
        <f>G837</f>
        <v>40000</v>
      </c>
      <c r="H836" s="87">
        <f>H837</f>
        <v>0</v>
      </c>
      <c r="I836" s="87">
        <f>I837</f>
        <v>0</v>
      </c>
      <c r="J836" s="177"/>
      <c r="K836" s="186"/>
      <c r="L836" s="186"/>
      <c r="M836" s="186"/>
      <c r="N836" s="186"/>
      <c r="O836" s="186"/>
      <c r="P836" s="186"/>
      <c r="Q836" s="186"/>
      <c r="R836" s="186"/>
    </row>
    <row r="837" spans="1:20" s="90" customFormat="1" ht="19.5" customHeight="1">
      <c r="A837" s="82" t="s">
        <v>32</v>
      </c>
      <c r="B837" s="149">
        <v>757</v>
      </c>
      <c r="C837" s="84" t="s">
        <v>44</v>
      </c>
      <c r="D837" s="84" t="s">
        <v>19</v>
      </c>
      <c r="E837" s="84" t="s">
        <v>969</v>
      </c>
      <c r="F837" s="84" t="s">
        <v>33</v>
      </c>
      <c r="G837" s="87">
        <f>'прил 5,'!G320</f>
        <v>40000</v>
      </c>
      <c r="H837" s="87">
        <v>0</v>
      </c>
      <c r="I837" s="87">
        <v>0</v>
      </c>
      <c r="J837" s="177"/>
      <c r="K837" s="186"/>
      <c r="L837" s="186"/>
      <c r="M837" s="186"/>
      <c r="N837" s="186"/>
      <c r="O837" s="186"/>
      <c r="P837" s="186"/>
      <c r="Q837" s="186"/>
      <c r="R837" s="186"/>
    </row>
    <row r="838" spans="1:20" s="90" customFormat="1" ht="38.25" hidden="1">
      <c r="A838" s="82" t="s">
        <v>861</v>
      </c>
      <c r="B838" s="149">
        <v>757</v>
      </c>
      <c r="C838" s="84" t="s">
        <v>44</v>
      </c>
      <c r="D838" s="84" t="s">
        <v>19</v>
      </c>
      <c r="E838" s="84" t="s">
        <v>873</v>
      </c>
      <c r="F838" s="84"/>
      <c r="G838" s="87">
        <f>G839</f>
        <v>0</v>
      </c>
      <c r="H838" s="87">
        <f t="shared" ref="H838:I838" si="236">H839</f>
        <v>0</v>
      </c>
      <c r="I838" s="87">
        <f t="shared" si="236"/>
        <v>0</v>
      </c>
      <c r="P838" s="126"/>
      <c r="Q838" s="126"/>
      <c r="R838" s="126"/>
      <c r="S838" s="126"/>
      <c r="T838" s="126"/>
    </row>
    <row r="839" spans="1:20" s="90" customFormat="1" ht="25.5" hidden="1">
      <c r="A839" s="82" t="s">
        <v>30</v>
      </c>
      <c r="B839" s="149">
        <v>757</v>
      </c>
      <c r="C839" s="84" t="s">
        <v>44</v>
      </c>
      <c r="D839" s="84" t="s">
        <v>19</v>
      </c>
      <c r="E839" s="84" t="s">
        <v>873</v>
      </c>
      <c r="F839" s="84" t="s">
        <v>31</v>
      </c>
      <c r="G839" s="87">
        <f>G840</f>
        <v>0</v>
      </c>
      <c r="H839" s="87">
        <f>H840</f>
        <v>0</v>
      </c>
      <c r="I839" s="87">
        <f>I840</f>
        <v>0</v>
      </c>
      <c r="P839" s="126"/>
      <c r="Q839" s="126"/>
      <c r="R839" s="126"/>
      <c r="S839" s="126"/>
      <c r="T839" s="126"/>
    </row>
    <row r="840" spans="1:20" s="90" customFormat="1" ht="19.5" hidden="1" customHeight="1">
      <c r="A840" s="82" t="s">
        <v>32</v>
      </c>
      <c r="B840" s="149">
        <v>757</v>
      </c>
      <c r="C840" s="84" t="s">
        <v>44</v>
      </c>
      <c r="D840" s="84" t="s">
        <v>19</v>
      </c>
      <c r="E840" s="84" t="s">
        <v>873</v>
      </c>
      <c r="F840" s="84" t="s">
        <v>33</v>
      </c>
      <c r="G840" s="87"/>
      <c r="H840" s="87">
        <v>0</v>
      </c>
      <c r="I840" s="87">
        <v>0</v>
      </c>
      <c r="P840" s="126"/>
      <c r="Q840" s="126"/>
      <c r="R840" s="126"/>
      <c r="S840" s="126"/>
      <c r="T840" s="126"/>
    </row>
    <row r="841" spans="1:20" s="90" customFormat="1" ht="42" customHeight="1">
      <c r="A841" s="82" t="s">
        <v>1099</v>
      </c>
      <c r="B841" s="149">
        <v>757</v>
      </c>
      <c r="C841" s="84" t="s">
        <v>44</v>
      </c>
      <c r="D841" s="84" t="s">
        <v>19</v>
      </c>
      <c r="E841" s="84" t="s">
        <v>1098</v>
      </c>
      <c r="F841" s="84"/>
      <c r="G841" s="87">
        <f>G842</f>
        <v>250000</v>
      </c>
      <c r="H841" s="87">
        <f t="shared" ref="H841:I841" si="237">H842</f>
        <v>0</v>
      </c>
      <c r="I841" s="87">
        <f t="shared" si="237"/>
        <v>0</v>
      </c>
      <c r="J841" s="177"/>
      <c r="K841" s="186"/>
      <c r="L841" s="186"/>
      <c r="M841" s="186"/>
      <c r="N841" s="186"/>
      <c r="O841" s="186"/>
      <c r="P841" s="186"/>
      <c r="Q841" s="186"/>
      <c r="R841" s="186"/>
    </row>
    <row r="842" spans="1:20" s="90" customFormat="1" ht="25.5">
      <c r="A842" s="82" t="s">
        <v>30</v>
      </c>
      <c r="B842" s="149">
        <v>757</v>
      </c>
      <c r="C842" s="84" t="s">
        <v>44</v>
      </c>
      <c r="D842" s="84" t="s">
        <v>19</v>
      </c>
      <c r="E842" s="84" t="s">
        <v>1098</v>
      </c>
      <c r="F842" s="84" t="s">
        <v>31</v>
      </c>
      <c r="G842" s="87">
        <f>G843</f>
        <v>250000</v>
      </c>
      <c r="H842" s="87">
        <f>H843</f>
        <v>0</v>
      </c>
      <c r="I842" s="87">
        <f>I843</f>
        <v>0</v>
      </c>
      <c r="J842" s="177"/>
      <c r="K842" s="186"/>
      <c r="L842" s="186"/>
      <c r="M842" s="186"/>
      <c r="N842" s="186"/>
      <c r="O842" s="186"/>
      <c r="P842" s="186"/>
      <c r="Q842" s="186"/>
      <c r="R842" s="186"/>
    </row>
    <row r="843" spans="1:20" s="90" customFormat="1" ht="19.5" customHeight="1">
      <c r="A843" s="82" t="s">
        <v>32</v>
      </c>
      <c r="B843" s="149">
        <v>757</v>
      </c>
      <c r="C843" s="84" t="s">
        <v>44</v>
      </c>
      <c r="D843" s="84" t="s">
        <v>19</v>
      </c>
      <c r="E843" s="84" t="s">
        <v>1098</v>
      </c>
      <c r="F843" s="84" t="s">
        <v>33</v>
      </c>
      <c r="G843" s="87">
        <f>'прил 5,'!G302</f>
        <v>250000</v>
      </c>
      <c r="H843" s="87">
        <v>0</v>
      </c>
      <c r="I843" s="87">
        <v>0</v>
      </c>
      <c r="J843" s="177"/>
      <c r="K843" s="186"/>
      <c r="L843" s="186"/>
      <c r="M843" s="186"/>
      <c r="N843" s="186"/>
      <c r="O843" s="186"/>
      <c r="P843" s="186"/>
      <c r="Q843" s="186"/>
      <c r="R843" s="186"/>
    </row>
    <row r="844" spans="1:20" s="90" customFormat="1" ht="42" hidden="1" customHeight="1">
      <c r="A844" s="82" t="s">
        <v>1101</v>
      </c>
      <c r="B844" s="149">
        <v>757</v>
      </c>
      <c r="C844" s="84" t="s">
        <v>44</v>
      </c>
      <c r="D844" s="84" t="s">
        <v>19</v>
      </c>
      <c r="E844" s="84" t="s">
        <v>1100</v>
      </c>
      <c r="F844" s="84"/>
      <c r="G844" s="87">
        <f>G845</f>
        <v>0</v>
      </c>
      <c r="H844" s="87">
        <f t="shared" ref="H844:I844" si="238">H845</f>
        <v>0</v>
      </c>
      <c r="I844" s="87">
        <f t="shared" si="238"/>
        <v>0</v>
      </c>
      <c r="J844" s="177"/>
      <c r="K844" s="186"/>
      <c r="L844" s="186"/>
      <c r="M844" s="186"/>
      <c r="N844" s="186"/>
      <c r="O844" s="186"/>
      <c r="P844" s="186"/>
      <c r="Q844" s="186"/>
      <c r="R844" s="186"/>
    </row>
    <row r="845" spans="1:20" s="90" customFormat="1" ht="25.5" hidden="1">
      <c r="A845" s="82" t="s">
        <v>30</v>
      </c>
      <c r="B845" s="149">
        <v>757</v>
      </c>
      <c r="C845" s="84" t="s">
        <v>44</v>
      </c>
      <c r="D845" s="84" t="s">
        <v>19</v>
      </c>
      <c r="E845" s="84" t="s">
        <v>1100</v>
      </c>
      <c r="F845" s="84" t="s">
        <v>31</v>
      </c>
      <c r="G845" s="87">
        <f>G846</f>
        <v>0</v>
      </c>
      <c r="H845" s="87">
        <f>H846</f>
        <v>0</v>
      </c>
      <c r="I845" s="87">
        <f>I846</f>
        <v>0</v>
      </c>
      <c r="J845" s="177"/>
      <c r="K845" s="186"/>
      <c r="L845" s="186"/>
      <c r="M845" s="186"/>
      <c r="N845" s="186"/>
      <c r="O845" s="186"/>
      <c r="P845" s="186"/>
      <c r="Q845" s="186"/>
      <c r="R845" s="186"/>
    </row>
    <row r="846" spans="1:20" s="90" customFormat="1" ht="19.5" hidden="1" customHeight="1">
      <c r="A846" s="82" t="s">
        <v>32</v>
      </c>
      <c r="B846" s="149">
        <v>757</v>
      </c>
      <c r="C846" s="84" t="s">
        <v>44</v>
      </c>
      <c r="D846" s="84" t="s">
        <v>19</v>
      </c>
      <c r="E846" s="84" t="s">
        <v>1100</v>
      </c>
      <c r="F846" s="84" t="s">
        <v>33</v>
      </c>
      <c r="G846" s="87"/>
      <c r="H846" s="87">
        <v>0</v>
      </c>
      <c r="I846" s="87">
        <v>0</v>
      </c>
      <c r="J846" s="177"/>
      <c r="K846" s="186"/>
      <c r="L846" s="186"/>
      <c r="M846" s="186"/>
      <c r="N846" s="186"/>
      <c r="O846" s="186"/>
      <c r="P846" s="186"/>
      <c r="Q846" s="186"/>
      <c r="R846" s="186"/>
    </row>
    <row r="847" spans="1:20" s="90" customFormat="1" ht="42" hidden="1" customHeight="1">
      <c r="A847" s="82" t="s">
        <v>1108</v>
      </c>
      <c r="B847" s="149">
        <v>757</v>
      </c>
      <c r="C847" s="84" t="s">
        <v>44</v>
      </c>
      <c r="D847" s="84" t="s">
        <v>19</v>
      </c>
      <c r="E847" s="84" t="s">
        <v>1102</v>
      </c>
      <c r="F847" s="84"/>
      <c r="G847" s="87">
        <f>G848</f>
        <v>0</v>
      </c>
      <c r="H847" s="87">
        <f t="shared" ref="H847:I847" si="239">H848</f>
        <v>0</v>
      </c>
      <c r="I847" s="87">
        <f t="shared" si="239"/>
        <v>0</v>
      </c>
      <c r="J847" s="177"/>
      <c r="K847" s="186"/>
      <c r="L847" s="186"/>
      <c r="M847" s="186"/>
      <c r="N847" s="186"/>
      <c r="O847" s="186"/>
      <c r="P847" s="186"/>
      <c r="Q847" s="186"/>
      <c r="R847" s="186"/>
    </row>
    <row r="848" spans="1:20" s="90" customFormat="1" ht="25.5" hidden="1">
      <c r="A848" s="82" t="s">
        <v>30</v>
      </c>
      <c r="B848" s="149">
        <v>757</v>
      </c>
      <c r="C848" s="84" t="s">
        <v>44</v>
      </c>
      <c r="D848" s="84" t="s">
        <v>19</v>
      </c>
      <c r="E848" s="84" t="s">
        <v>1102</v>
      </c>
      <c r="F848" s="84" t="s">
        <v>31</v>
      </c>
      <c r="G848" s="87">
        <f>G849</f>
        <v>0</v>
      </c>
      <c r="H848" s="87">
        <f>H849</f>
        <v>0</v>
      </c>
      <c r="I848" s="87">
        <f>I849</f>
        <v>0</v>
      </c>
      <c r="J848" s="177"/>
      <c r="K848" s="186"/>
      <c r="L848" s="186"/>
      <c r="M848" s="186"/>
      <c r="N848" s="186"/>
      <c r="O848" s="186"/>
      <c r="P848" s="186"/>
      <c r="Q848" s="186"/>
      <c r="R848" s="186"/>
    </row>
    <row r="849" spans="1:20" s="90" customFormat="1" ht="19.5" hidden="1" customHeight="1">
      <c r="A849" s="82" t="s">
        <v>32</v>
      </c>
      <c r="B849" s="149">
        <v>757</v>
      </c>
      <c r="C849" s="84" t="s">
        <v>44</v>
      </c>
      <c r="D849" s="84" t="s">
        <v>19</v>
      </c>
      <c r="E849" s="84" t="s">
        <v>1102</v>
      </c>
      <c r="F849" s="84" t="s">
        <v>33</v>
      </c>
      <c r="G849" s="87"/>
      <c r="H849" s="87">
        <v>0</v>
      </c>
      <c r="I849" s="87">
        <v>0</v>
      </c>
      <c r="J849" s="177"/>
      <c r="K849" s="186"/>
      <c r="L849" s="186"/>
      <c r="M849" s="186"/>
      <c r="N849" s="186"/>
      <c r="O849" s="186"/>
      <c r="P849" s="186"/>
      <c r="Q849" s="186"/>
      <c r="R849" s="186"/>
    </row>
    <row r="850" spans="1:20" s="90" customFormat="1" ht="42" customHeight="1">
      <c r="A850" s="82" t="s">
        <v>1104</v>
      </c>
      <c r="B850" s="149">
        <v>757</v>
      </c>
      <c r="C850" s="84" t="s">
        <v>44</v>
      </c>
      <c r="D850" s="84" t="s">
        <v>19</v>
      </c>
      <c r="E850" s="84" t="s">
        <v>1103</v>
      </c>
      <c r="F850" s="84"/>
      <c r="G850" s="87">
        <f>G851</f>
        <v>0</v>
      </c>
      <c r="H850" s="87">
        <f t="shared" ref="H850:I850" si="240">H851</f>
        <v>462570</v>
      </c>
      <c r="I850" s="87">
        <f t="shared" si="240"/>
        <v>0</v>
      </c>
      <c r="J850" s="177"/>
      <c r="K850" s="186"/>
      <c r="L850" s="186"/>
      <c r="M850" s="186"/>
      <c r="N850" s="186"/>
      <c r="O850" s="186"/>
      <c r="P850" s="186"/>
      <c r="Q850" s="186"/>
      <c r="R850" s="186"/>
    </row>
    <row r="851" spans="1:20" s="90" customFormat="1" ht="25.5">
      <c r="A851" s="82" t="s">
        <v>30</v>
      </c>
      <c r="B851" s="149">
        <v>757</v>
      </c>
      <c r="C851" s="84" t="s">
        <v>44</v>
      </c>
      <c r="D851" s="84" t="s">
        <v>19</v>
      </c>
      <c r="E851" s="84" t="s">
        <v>1103</v>
      </c>
      <c r="F851" s="84" t="s">
        <v>31</v>
      </c>
      <c r="G851" s="87">
        <f>G852</f>
        <v>0</v>
      </c>
      <c r="H851" s="87">
        <f>H852</f>
        <v>462570</v>
      </c>
      <c r="I851" s="87">
        <f>I852</f>
        <v>0</v>
      </c>
      <c r="J851" s="177"/>
      <c r="K851" s="186"/>
      <c r="L851" s="186"/>
      <c r="M851" s="186"/>
      <c r="N851" s="186"/>
      <c r="O851" s="186"/>
      <c r="P851" s="186"/>
      <c r="Q851" s="186"/>
      <c r="R851" s="186"/>
    </row>
    <row r="852" spans="1:20" s="90" customFormat="1" ht="19.5" customHeight="1">
      <c r="A852" s="82" t="s">
        <v>32</v>
      </c>
      <c r="B852" s="149">
        <v>757</v>
      </c>
      <c r="C852" s="84" t="s">
        <v>44</v>
      </c>
      <c r="D852" s="84" t="s">
        <v>19</v>
      </c>
      <c r="E852" s="84" t="s">
        <v>1103</v>
      </c>
      <c r="F852" s="84" t="s">
        <v>33</v>
      </c>
      <c r="G852" s="87">
        <v>0</v>
      </c>
      <c r="H852" s="87">
        <f>'прил 5,'!H311</f>
        <v>462570</v>
      </c>
      <c r="I852" s="87"/>
      <c r="J852" s="177"/>
      <c r="K852" s="186"/>
      <c r="L852" s="186"/>
      <c r="M852" s="186"/>
      <c r="N852" s="186"/>
      <c r="O852" s="186"/>
      <c r="P852" s="186"/>
      <c r="Q852" s="186"/>
      <c r="R852" s="186"/>
    </row>
    <row r="853" spans="1:20" s="90" customFormat="1" ht="42" customHeight="1">
      <c r="A853" s="82" t="s">
        <v>1106</v>
      </c>
      <c r="B853" s="149">
        <v>757</v>
      </c>
      <c r="C853" s="84" t="s">
        <v>44</v>
      </c>
      <c r="D853" s="84" t="s">
        <v>19</v>
      </c>
      <c r="E853" s="84" t="s">
        <v>1107</v>
      </c>
      <c r="F853" s="84"/>
      <c r="G853" s="87">
        <f>G854</f>
        <v>64800</v>
      </c>
      <c r="H853" s="87">
        <f t="shared" ref="H853:I853" si="241">H854</f>
        <v>0</v>
      </c>
      <c r="I853" s="87">
        <f t="shared" si="241"/>
        <v>0</v>
      </c>
      <c r="J853" s="177"/>
      <c r="K853" s="186"/>
      <c r="L853" s="186"/>
      <c r="M853" s="186"/>
      <c r="N853" s="186"/>
      <c r="O853" s="186"/>
      <c r="P853" s="186"/>
      <c r="Q853" s="186"/>
      <c r="R853" s="186"/>
    </row>
    <row r="854" spans="1:20" s="90" customFormat="1" ht="25.5">
      <c r="A854" s="82" t="s">
        <v>30</v>
      </c>
      <c r="B854" s="149">
        <v>757</v>
      </c>
      <c r="C854" s="84" t="s">
        <v>44</v>
      </c>
      <c r="D854" s="84" t="s">
        <v>19</v>
      </c>
      <c r="E854" s="84" t="s">
        <v>1107</v>
      </c>
      <c r="F854" s="84" t="s">
        <v>31</v>
      </c>
      <c r="G854" s="87">
        <f>G855</f>
        <v>64800</v>
      </c>
      <c r="H854" s="87">
        <f>H855</f>
        <v>0</v>
      </c>
      <c r="I854" s="87">
        <f>I855</f>
        <v>0</v>
      </c>
      <c r="J854" s="177"/>
      <c r="K854" s="186"/>
      <c r="L854" s="186"/>
      <c r="M854" s="186"/>
      <c r="N854" s="186"/>
      <c r="O854" s="186"/>
      <c r="P854" s="186"/>
      <c r="Q854" s="186"/>
      <c r="R854" s="186"/>
    </row>
    <row r="855" spans="1:20" s="90" customFormat="1" ht="19.5" customHeight="1">
      <c r="A855" s="82" t="s">
        <v>32</v>
      </c>
      <c r="B855" s="149">
        <v>757</v>
      </c>
      <c r="C855" s="84" t="s">
        <v>44</v>
      </c>
      <c r="D855" s="84" t="s">
        <v>19</v>
      </c>
      <c r="E855" s="84" t="s">
        <v>1107</v>
      </c>
      <c r="F855" s="84" t="s">
        <v>33</v>
      </c>
      <c r="G855" s="87">
        <f>'прил 5,'!G314</f>
        <v>64800</v>
      </c>
      <c r="H855" s="87"/>
      <c r="I855" s="87"/>
      <c r="J855" s="177"/>
      <c r="K855" s="186"/>
      <c r="L855" s="186"/>
      <c r="M855" s="186"/>
      <c r="N855" s="186"/>
      <c r="O855" s="186"/>
      <c r="P855" s="186"/>
      <c r="Q855" s="186"/>
      <c r="R855" s="186"/>
    </row>
    <row r="856" spans="1:20" s="90" customFormat="1">
      <c r="A856" s="82" t="s">
        <v>870</v>
      </c>
      <c r="B856" s="149">
        <v>757</v>
      </c>
      <c r="C856" s="84" t="s">
        <v>44</v>
      </c>
      <c r="D856" s="84" t="s">
        <v>19</v>
      </c>
      <c r="E856" s="84" t="s">
        <v>855</v>
      </c>
      <c r="F856" s="84"/>
      <c r="G856" s="87">
        <f>G857</f>
        <v>100000</v>
      </c>
      <c r="H856" s="87">
        <f t="shared" ref="H856:I856" si="242">H857</f>
        <v>250000</v>
      </c>
      <c r="I856" s="87">
        <f t="shared" si="242"/>
        <v>250000</v>
      </c>
      <c r="P856" s="126"/>
      <c r="Q856" s="126"/>
      <c r="R856" s="126"/>
      <c r="S856" s="126"/>
      <c r="T856" s="126"/>
    </row>
    <row r="857" spans="1:20" s="90" customFormat="1" ht="25.5">
      <c r="A857" s="82" t="s">
        <v>30</v>
      </c>
      <c r="B857" s="149">
        <v>757</v>
      </c>
      <c r="C857" s="84" t="s">
        <v>44</v>
      </c>
      <c r="D857" s="84" t="s">
        <v>19</v>
      </c>
      <c r="E857" s="84" t="s">
        <v>855</v>
      </c>
      <c r="F857" s="84" t="s">
        <v>31</v>
      </c>
      <c r="G857" s="87">
        <f>G858</f>
        <v>100000</v>
      </c>
      <c r="H857" s="87">
        <f>H858</f>
        <v>250000</v>
      </c>
      <c r="I857" s="87">
        <f>I858</f>
        <v>250000</v>
      </c>
      <c r="P857" s="126"/>
      <c r="Q857" s="126"/>
      <c r="R857" s="126"/>
      <c r="S857" s="126"/>
      <c r="T857" s="126"/>
    </row>
    <row r="858" spans="1:20" s="90" customFormat="1" ht="19.5" customHeight="1">
      <c r="A858" s="82" t="s">
        <v>32</v>
      </c>
      <c r="B858" s="149">
        <v>757</v>
      </c>
      <c r="C858" s="84" t="s">
        <v>44</v>
      </c>
      <c r="D858" s="84" t="s">
        <v>19</v>
      </c>
      <c r="E858" s="84" t="s">
        <v>855</v>
      </c>
      <c r="F858" s="84" t="s">
        <v>33</v>
      </c>
      <c r="G858" s="87">
        <f>'прил 5,'!G296</f>
        <v>100000</v>
      </c>
      <c r="H858" s="87">
        <v>250000</v>
      </c>
      <c r="I858" s="87">
        <v>250000</v>
      </c>
      <c r="P858" s="126"/>
      <c r="Q858" s="126"/>
      <c r="R858" s="126"/>
      <c r="S858" s="126"/>
      <c r="T858" s="126"/>
    </row>
    <row r="859" spans="1:20">
      <c r="A859" s="23" t="s">
        <v>47</v>
      </c>
      <c r="B859" s="14">
        <v>757</v>
      </c>
      <c r="C859" s="15" t="s">
        <v>44</v>
      </c>
      <c r="D859" s="15" t="s">
        <v>19</v>
      </c>
      <c r="E859" s="15" t="s">
        <v>199</v>
      </c>
      <c r="F859" s="14"/>
      <c r="G859" s="85">
        <f t="shared" ref="G859:I860" si="243">G860</f>
        <v>64954166.460000001</v>
      </c>
      <c r="H859" s="8">
        <f t="shared" si="243"/>
        <v>70368222.38000001</v>
      </c>
      <c r="I859" s="8">
        <f t="shared" si="243"/>
        <v>70616774.010000005</v>
      </c>
    </row>
    <row r="860" spans="1:20" ht="25.5">
      <c r="A860" s="16" t="s">
        <v>30</v>
      </c>
      <c r="B860" s="14">
        <v>757</v>
      </c>
      <c r="C860" s="15" t="s">
        <v>44</v>
      </c>
      <c r="D860" s="15" t="s">
        <v>19</v>
      </c>
      <c r="E860" s="15" t="s">
        <v>199</v>
      </c>
      <c r="F860" s="15" t="s">
        <v>31</v>
      </c>
      <c r="G860" s="85">
        <f t="shared" si="243"/>
        <v>64954166.460000001</v>
      </c>
      <c r="H860" s="8">
        <f t="shared" si="243"/>
        <v>70368222.38000001</v>
      </c>
      <c r="I860" s="8">
        <f t="shared" si="243"/>
        <v>70616774.010000005</v>
      </c>
    </row>
    <row r="861" spans="1:20">
      <c r="A861" s="16" t="s">
        <v>32</v>
      </c>
      <c r="B861" s="14">
        <v>757</v>
      </c>
      <c r="C861" s="15" t="s">
        <v>44</v>
      </c>
      <c r="D861" s="15" t="s">
        <v>19</v>
      </c>
      <c r="E861" s="15" t="s">
        <v>199</v>
      </c>
      <c r="F861" s="15" t="s">
        <v>33</v>
      </c>
      <c r="G861" s="85">
        <f>'прил 5,'!G169</f>
        <v>64954166.460000001</v>
      </c>
      <c r="H861" s="8">
        <f>'прил 5,'!H169</f>
        <v>70368222.38000001</v>
      </c>
      <c r="I861" s="8">
        <f>'прил 5,'!I169</f>
        <v>70616774.010000005</v>
      </c>
    </row>
    <row r="862" spans="1:20" s="3" customFormat="1" ht="15" customHeight="1">
      <c r="A862" s="24" t="s">
        <v>48</v>
      </c>
      <c r="B862" s="14">
        <v>757</v>
      </c>
      <c r="C862" s="15" t="s">
        <v>44</v>
      </c>
      <c r="D862" s="15" t="s">
        <v>19</v>
      </c>
      <c r="E862" s="15" t="s">
        <v>200</v>
      </c>
      <c r="F862" s="15"/>
      <c r="G862" s="95">
        <f>G863+G868</f>
        <v>7927812.8600000003</v>
      </c>
      <c r="H862" s="25">
        <f t="shared" ref="G862:I863" si="244">H863</f>
        <v>9186412.2799999993</v>
      </c>
      <c r="I862" s="25">
        <f t="shared" si="244"/>
        <v>9777575.25</v>
      </c>
      <c r="J862" s="111"/>
      <c r="P862" s="111"/>
      <c r="Q862" s="111"/>
      <c r="R862" s="111"/>
      <c r="S862" s="111"/>
      <c r="T862" s="111"/>
    </row>
    <row r="863" spans="1:20" ht="25.5">
      <c r="A863" s="16" t="s">
        <v>30</v>
      </c>
      <c r="B863" s="14">
        <v>757</v>
      </c>
      <c r="C863" s="15" t="s">
        <v>44</v>
      </c>
      <c r="D863" s="15" t="s">
        <v>19</v>
      </c>
      <c r="E863" s="15" t="s">
        <v>200</v>
      </c>
      <c r="F863" s="15" t="s">
        <v>31</v>
      </c>
      <c r="G863" s="85">
        <f t="shared" si="244"/>
        <v>7927812.8600000003</v>
      </c>
      <c r="H863" s="8">
        <f t="shared" si="244"/>
        <v>9186412.2799999993</v>
      </c>
      <c r="I863" s="8">
        <f t="shared" si="244"/>
        <v>9777575.25</v>
      </c>
    </row>
    <row r="864" spans="1:20">
      <c r="A864" s="16" t="s">
        <v>32</v>
      </c>
      <c r="B864" s="14">
        <v>757</v>
      </c>
      <c r="C864" s="15" t="s">
        <v>44</v>
      </c>
      <c r="D864" s="15" t="s">
        <v>19</v>
      </c>
      <c r="E864" s="15" t="s">
        <v>200</v>
      </c>
      <c r="F864" s="15" t="s">
        <v>33</v>
      </c>
      <c r="G864" s="85">
        <f>'прил 5,'!G207</f>
        <v>7927812.8600000003</v>
      </c>
      <c r="H864" s="8">
        <f>'прил 5,'!H207</f>
        <v>9186412.2799999993</v>
      </c>
      <c r="I864" s="8">
        <f>'прил 5,'!I207</f>
        <v>9777575.25</v>
      </c>
    </row>
    <row r="865" spans="1:20" s="3" customFormat="1" ht="36" hidden="1" customHeight="1">
      <c r="A865" s="140" t="s">
        <v>796</v>
      </c>
      <c r="B865" s="14">
        <v>757</v>
      </c>
      <c r="C865" s="15" t="s">
        <v>44</v>
      </c>
      <c r="D865" s="15" t="s">
        <v>19</v>
      </c>
      <c r="E865" s="15" t="s">
        <v>795</v>
      </c>
      <c r="F865" s="15"/>
      <c r="G865" s="25">
        <f>G866</f>
        <v>0</v>
      </c>
      <c r="H865" s="25">
        <f t="shared" ref="H865:I866" si="245">H866</f>
        <v>0</v>
      </c>
      <c r="I865" s="25">
        <f t="shared" si="245"/>
        <v>0</v>
      </c>
      <c r="P865" s="111"/>
      <c r="Q865" s="111"/>
      <c r="R865" s="111"/>
      <c r="S865" s="111"/>
      <c r="T865" s="111"/>
    </row>
    <row r="866" spans="1:20" s="90" customFormat="1" ht="19.5" hidden="1" customHeight="1">
      <c r="A866" s="82" t="s">
        <v>63</v>
      </c>
      <c r="B866" s="14">
        <v>757</v>
      </c>
      <c r="C866" s="15" t="s">
        <v>44</v>
      </c>
      <c r="D866" s="15" t="s">
        <v>19</v>
      </c>
      <c r="E866" s="15" t="s">
        <v>795</v>
      </c>
      <c r="F866" s="84" t="s">
        <v>64</v>
      </c>
      <c r="G866" s="87">
        <f>G867</f>
        <v>0</v>
      </c>
      <c r="H866" s="87">
        <f t="shared" si="245"/>
        <v>0</v>
      </c>
      <c r="I866" s="87">
        <f t="shared" si="245"/>
        <v>0</v>
      </c>
      <c r="P866" s="126"/>
      <c r="Q866" s="126"/>
      <c r="R866" s="126"/>
      <c r="S866" s="126"/>
      <c r="T866" s="126"/>
    </row>
    <row r="867" spans="1:20" s="90" customFormat="1" ht="18.75" hidden="1" customHeight="1">
      <c r="A867" s="82" t="s">
        <v>180</v>
      </c>
      <c r="B867" s="14">
        <v>757</v>
      </c>
      <c r="C867" s="15" t="s">
        <v>44</v>
      </c>
      <c r="D867" s="15" t="s">
        <v>19</v>
      </c>
      <c r="E867" s="15" t="s">
        <v>795</v>
      </c>
      <c r="F867" s="84" t="s">
        <v>181</v>
      </c>
      <c r="G867" s="87">
        <f>'прил 5,'!G210</f>
        <v>0</v>
      </c>
      <c r="H867" s="87">
        <v>0</v>
      </c>
      <c r="I867" s="87">
        <v>0</v>
      </c>
      <c r="P867" s="126"/>
      <c r="Q867" s="126"/>
      <c r="R867" s="126"/>
      <c r="S867" s="126"/>
      <c r="T867" s="126"/>
    </row>
    <row r="868" spans="1:20" s="90" customFormat="1" ht="19.5" hidden="1" customHeight="1">
      <c r="A868" s="82" t="s">
        <v>63</v>
      </c>
      <c r="B868" s="14">
        <v>757</v>
      </c>
      <c r="C868" s="15" t="s">
        <v>44</v>
      </c>
      <c r="D868" s="15" t="s">
        <v>19</v>
      </c>
      <c r="E868" s="15" t="s">
        <v>200</v>
      </c>
      <c r="F868" s="84" t="s">
        <v>64</v>
      </c>
      <c r="G868" s="87">
        <f>G869</f>
        <v>0</v>
      </c>
      <c r="H868" s="87">
        <f t="shared" ref="H868:I868" si="246">H869</f>
        <v>0</v>
      </c>
      <c r="I868" s="87">
        <f t="shared" si="246"/>
        <v>0</v>
      </c>
      <c r="P868" s="126"/>
      <c r="Q868" s="126"/>
      <c r="R868" s="126"/>
      <c r="S868" s="126"/>
      <c r="T868" s="126"/>
    </row>
    <row r="869" spans="1:20" s="90" customFormat="1" ht="18.75" hidden="1" customHeight="1">
      <c r="A869" s="82" t="s">
        <v>329</v>
      </c>
      <c r="B869" s="14">
        <v>757</v>
      </c>
      <c r="C869" s="15" t="s">
        <v>44</v>
      </c>
      <c r="D869" s="15" t="s">
        <v>19</v>
      </c>
      <c r="E869" s="15" t="s">
        <v>200</v>
      </c>
      <c r="F869" s="84" t="s">
        <v>181</v>
      </c>
      <c r="G869" s="87"/>
      <c r="H869" s="87">
        <v>0</v>
      </c>
      <c r="I869" s="87">
        <v>0</v>
      </c>
      <c r="P869" s="126"/>
      <c r="Q869" s="126"/>
      <c r="R869" s="126"/>
      <c r="S869" s="126"/>
      <c r="T869" s="126"/>
    </row>
    <row r="870" spans="1:20" s="3" customFormat="1" ht="15" customHeight="1">
      <c r="A870" s="26" t="s">
        <v>49</v>
      </c>
      <c r="B870" s="14">
        <v>757</v>
      </c>
      <c r="C870" s="15" t="s">
        <v>44</v>
      </c>
      <c r="D870" s="15" t="s">
        <v>19</v>
      </c>
      <c r="E870" s="15" t="s">
        <v>201</v>
      </c>
      <c r="F870" s="15"/>
      <c r="G870" s="95">
        <f t="shared" ref="G870:I871" si="247">G871</f>
        <v>40105640.340000004</v>
      </c>
      <c r="H870" s="25">
        <f t="shared" si="247"/>
        <v>45400329.390000001</v>
      </c>
      <c r="I870" s="25">
        <f t="shared" si="247"/>
        <v>45387746.920000002</v>
      </c>
      <c r="J870" s="111"/>
      <c r="P870" s="111"/>
      <c r="Q870" s="111"/>
      <c r="R870" s="111"/>
      <c r="S870" s="111"/>
      <c r="T870" s="111"/>
    </row>
    <row r="871" spans="1:20" ht="25.5">
      <c r="A871" s="16" t="s">
        <v>30</v>
      </c>
      <c r="B871" s="14">
        <v>757</v>
      </c>
      <c r="C871" s="15" t="s">
        <v>44</v>
      </c>
      <c r="D871" s="15" t="s">
        <v>19</v>
      </c>
      <c r="E871" s="15" t="s">
        <v>201</v>
      </c>
      <c r="F871" s="15" t="s">
        <v>31</v>
      </c>
      <c r="G871" s="85">
        <f t="shared" si="247"/>
        <v>40105640.340000004</v>
      </c>
      <c r="H871" s="8">
        <f t="shared" si="247"/>
        <v>45400329.390000001</v>
      </c>
      <c r="I871" s="8">
        <f t="shared" si="247"/>
        <v>45387746.920000002</v>
      </c>
    </row>
    <row r="872" spans="1:20">
      <c r="A872" s="16" t="s">
        <v>32</v>
      </c>
      <c r="B872" s="14">
        <v>757</v>
      </c>
      <c r="C872" s="15" t="s">
        <v>44</v>
      </c>
      <c r="D872" s="15" t="s">
        <v>19</v>
      </c>
      <c r="E872" s="15" t="s">
        <v>201</v>
      </c>
      <c r="F872" s="15" t="s">
        <v>33</v>
      </c>
      <c r="G872" s="85">
        <f>'прил 5,'!G217</f>
        <v>40105640.340000004</v>
      </c>
      <c r="H872" s="8">
        <f>'прил 5,'!H217</f>
        <v>45400329.390000001</v>
      </c>
      <c r="I872" s="8">
        <f>'прил 5,'!I217</f>
        <v>45387746.920000002</v>
      </c>
    </row>
    <row r="873" spans="1:20" ht="60" hidden="1" customHeight="1">
      <c r="A873" s="16" t="s">
        <v>670</v>
      </c>
      <c r="B873" s="14">
        <v>757</v>
      </c>
      <c r="C873" s="15" t="s">
        <v>26</v>
      </c>
      <c r="D873" s="15" t="s">
        <v>70</v>
      </c>
      <c r="E873" s="15" t="s">
        <v>671</v>
      </c>
      <c r="F873" s="15"/>
      <c r="G873" s="70">
        <f>G874</f>
        <v>0</v>
      </c>
      <c r="H873" s="70">
        <f t="shared" ref="H873:K874" si="248">H874</f>
        <v>0</v>
      </c>
      <c r="I873" s="70">
        <f t="shared" si="248"/>
        <v>0</v>
      </c>
      <c r="J873" s="1"/>
    </row>
    <row r="874" spans="1:20" ht="60" hidden="1" customHeight="1">
      <c r="A874" s="16" t="s">
        <v>30</v>
      </c>
      <c r="B874" s="14">
        <v>757</v>
      </c>
      <c r="C874" s="15" t="s">
        <v>26</v>
      </c>
      <c r="D874" s="15" t="s">
        <v>70</v>
      </c>
      <c r="E874" s="15" t="s">
        <v>671</v>
      </c>
      <c r="F874" s="15" t="s">
        <v>31</v>
      </c>
      <c r="G874" s="70">
        <f>G875</f>
        <v>0</v>
      </c>
      <c r="H874" s="70">
        <f t="shared" si="248"/>
        <v>0</v>
      </c>
      <c r="I874" s="70">
        <f t="shared" si="248"/>
        <v>0</v>
      </c>
      <c r="J874" s="70">
        <f t="shared" si="248"/>
        <v>0</v>
      </c>
      <c r="K874" s="70">
        <f t="shared" si="248"/>
        <v>0</v>
      </c>
    </row>
    <row r="875" spans="1:20" ht="60" hidden="1" customHeight="1">
      <c r="A875" s="16" t="s">
        <v>32</v>
      </c>
      <c r="B875" s="14">
        <v>757</v>
      </c>
      <c r="C875" s="15" t="s">
        <v>26</v>
      </c>
      <c r="D875" s="15" t="s">
        <v>70</v>
      </c>
      <c r="E875" s="15" t="s">
        <v>671</v>
      </c>
      <c r="F875" s="15" t="s">
        <v>33</v>
      </c>
      <c r="G875" s="70"/>
      <c r="H875" s="70"/>
      <c r="I875" s="70"/>
      <c r="J875" s="1"/>
    </row>
    <row r="876" spans="1:20" ht="36" hidden="1" customHeight="1">
      <c r="A876" s="16" t="s">
        <v>545</v>
      </c>
      <c r="B876" s="14">
        <v>757</v>
      </c>
      <c r="C876" s="15" t="s">
        <v>26</v>
      </c>
      <c r="D876" s="15" t="s">
        <v>70</v>
      </c>
      <c r="E876" s="15" t="s">
        <v>546</v>
      </c>
      <c r="F876" s="15"/>
      <c r="G876" s="87">
        <f>G878</f>
        <v>0</v>
      </c>
      <c r="H876" s="8">
        <v>0</v>
      </c>
      <c r="I876" s="8">
        <v>0</v>
      </c>
      <c r="J876" s="1"/>
    </row>
    <row r="877" spans="1:20" ht="36" hidden="1" customHeight="1">
      <c r="A877" s="16" t="s">
        <v>30</v>
      </c>
      <c r="B877" s="14">
        <v>757</v>
      </c>
      <c r="C877" s="15" t="s">
        <v>26</v>
      </c>
      <c r="D877" s="15" t="s">
        <v>70</v>
      </c>
      <c r="E877" s="15" t="s">
        <v>546</v>
      </c>
      <c r="F877" s="15" t="s">
        <v>31</v>
      </c>
      <c r="G877" s="87">
        <f>G878</f>
        <v>0</v>
      </c>
      <c r="H877" s="8">
        <v>0</v>
      </c>
      <c r="I877" s="8">
        <v>0</v>
      </c>
      <c r="J877" s="1"/>
    </row>
    <row r="878" spans="1:20" ht="19.5" hidden="1" customHeight="1">
      <c r="A878" s="16" t="s">
        <v>32</v>
      </c>
      <c r="B878" s="14">
        <v>757</v>
      </c>
      <c r="C878" s="15" t="s">
        <v>26</v>
      </c>
      <c r="D878" s="15" t="s">
        <v>70</v>
      </c>
      <c r="E878" s="15" t="s">
        <v>546</v>
      </c>
      <c r="F878" s="15" t="s">
        <v>33</v>
      </c>
      <c r="G878" s="87">
        <f>'прил 5,'!G53+'прил 5,'!G220</f>
        <v>0</v>
      </c>
      <c r="H878" s="8">
        <v>0</v>
      </c>
      <c r="I878" s="8">
        <v>0</v>
      </c>
      <c r="J878" s="1"/>
    </row>
    <row r="879" spans="1:20" ht="48" hidden="1" customHeight="1">
      <c r="A879" s="80" t="s">
        <v>610</v>
      </c>
      <c r="B879" s="14">
        <v>757</v>
      </c>
      <c r="C879" s="15" t="s">
        <v>44</v>
      </c>
      <c r="D879" s="15" t="s">
        <v>19</v>
      </c>
      <c r="E879" s="15" t="s">
        <v>609</v>
      </c>
      <c r="F879" s="14"/>
      <c r="G879" s="87">
        <f t="shared" ref="G879:I880" si="249">G880</f>
        <v>0</v>
      </c>
      <c r="H879" s="70">
        <f t="shared" si="249"/>
        <v>0</v>
      </c>
      <c r="I879" s="70">
        <f t="shared" si="249"/>
        <v>0</v>
      </c>
      <c r="J879" s="1"/>
    </row>
    <row r="880" spans="1:20" ht="25.5" hidden="1" customHeight="1">
      <c r="A880" s="16" t="s">
        <v>30</v>
      </c>
      <c r="B880" s="14">
        <v>757</v>
      </c>
      <c r="C880" s="15" t="s">
        <v>44</v>
      </c>
      <c r="D880" s="15" t="s">
        <v>19</v>
      </c>
      <c r="E880" s="15" t="s">
        <v>609</v>
      </c>
      <c r="F880" s="15" t="s">
        <v>31</v>
      </c>
      <c r="G880" s="95">
        <f t="shared" si="249"/>
        <v>0</v>
      </c>
      <c r="H880" s="25">
        <f t="shared" si="249"/>
        <v>0</v>
      </c>
      <c r="I880" s="25">
        <f t="shared" si="249"/>
        <v>0</v>
      </c>
      <c r="J880" s="1"/>
    </row>
    <row r="881" spans="1:11" ht="12.75" hidden="1" customHeight="1">
      <c r="A881" s="145" t="s">
        <v>32</v>
      </c>
      <c r="B881" s="14">
        <v>757</v>
      </c>
      <c r="C881" s="15" t="s">
        <v>44</v>
      </c>
      <c r="D881" s="15" t="s">
        <v>19</v>
      </c>
      <c r="E881" s="15" t="s">
        <v>609</v>
      </c>
      <c r="F881" s="15" t="s">
        <v>33</v>
      </c>
      <c r="G881" s="95"/>
      <c r="H881" s="25">
        <f>'прил 5,'!H157</f>
        <v>0</v>
      </c>
      <c r="I881" s="25"/>
      <c r="J881" s="1"/>
    </row>
    <row r="882" spans="1:11" ht="31.5" hidden="1" customHeight="1">
      <c r="A882" s="143" t="s">
        <v>821</v>
      </c>
      <c r="B882" s="14">
        <v>757</v>
      </c>
      <c r="C882" s="15" t="s">
        <v>44</v>
      </c>
      <c r="D882" s="15" t="s">
        <v>19</v>
      </c>
      <c r="E882" s="15" t="s">
        <v>751</v>
      </c>
      <c r="F882" s="14"/>
      <c r="G882" s="8">
        <f>G883</f>
        <v>200000</v>
      </c>
      <c r="H882" s="8">
        <f t="shared" ref="H882:I882" si="250">H883</f>
        <v>0</v>
      </c>
      <c r="I882" s="8">
        <f t="shared" si="250"/>
        <v>0</v>
      </c>
      <c r="J882" s="1"/>
    </row>
    <row r="883" spans="1:11" ht="49.5" hidden="1" customHeight="1">
      <c r="A883" s="82" t="s">
        <v>30</v>
      </c>
      <c r="B883" s="14">
        <v>757</v>
      </c>
      <c r="C883" s="15" t="s">
        <v>44</v>
      </c>
      <c r="D883" s="15" t="s">
        <v>19</v>
      </c>
      <c r="E883" s="15" t="s">
        <v>751</v>
      </c>
      <c r="F883" s="15" t="s">
        <v>31</v>
      </c>
      <c r="G883" s="8">
        <f>G884</f>
        <v>200000</v>
      </c>
      <c r="H883" s="8">
        <f>H884</f>
        <v>0</v>
      </c>
      <c r="I883" s="8">
        <f>I884</f>
        <v>0</v>
      </c>
      <c r="J883" s="1"/>
    </row>
    <row r="884" spans="1:11" ht="12.75" hidden="1" customHeight="1">
      <c r="A884" s="82" t="s">
        <v>32</v>
      </c>
      <c r="B884" s="14">
        <v>757</v>
      </c>
      <c r="C884" s="15" t="s">
        <v>44</v>
      </c>
      <c r="D884" s="15" t="s">
        <v>19</v>
      </c>
      <c r="E884" s="15" t="s">
        <v>751</v>
      </c>
      <c r="F884" s="15" t="s">
        <v>33</v>
      </c>
      <c r="G884" s="8">
        <f>'прил 5,'!G192</f>
        <v>200000</v>
      </c>
      <c r="H884" s="8"/>
      <c r="I884" s="8"/>
      <c r="J884" s="1"/>
    </row>
    <row r="885" spans="1:11" ht="31.5" hidden="1" customHeight="1">
      <c r="A885" s="143" t="s">
        <v>756</v>
      </c>
      <c r="B885" s="14">
        <v>757</v>
      </c>
      <c r="C885" s="15" t="s">
        <v>44</v>
      </c>
      <c r="D885" s="15" t="s">
        <v>19</v>
      </c>
      <c r="E885" s="15" t="s">
        <v>750</v>
      </c>
      <c r="F885" s="14"/>
      <c r="G885" s="8">
        <f>G886</f>
        <v>0</v>
      </c>
      <c r="H885" s="8">
        <f t="shared" ref="H885:I885" si="251">H886</f>
        <v>0</v>
      </c>
      <c r="I885" s="8">
        <f t="shared" si="251"/>
        <v>0</v>
      </c>
      <c r="J885" s="1"/>
    </row>
    <row r="886" spans="1:11" ht="49.5" hidden="1" customHeight="1">
      <c r="A886" s="82" t="s">
        <v>30</v>
      </c>
      <c r="B886" s="14">
        <v>757</v>
      </c>
      <c r="C886" s="15" t="s">
        <v>44</v>
      </c>
      <c r="D886" s="15" t="s">
        <v>19</v>
      </c>
      <c r="E886" s="15" t="s">
        <v>750</v>
      </c>
      <c r="F886" s="15" t="s">
        <v>31</v>
      </c>
      <c r="G886" s="8">
        <f>G887</f>
        <v>0</v>
      </c>
      <c r="H886" s="8">
        <f>H887</f>
        <v>0</v>
      </c>
      <c r="I886" s="8">
        <f>I887</f>
        <v>0</v>
      </c>
      <c r="J886" s="1"/>
    </row>
    <row r="887" spans="1:11" ht="12.75" hidden="1" customHeight="1">
      <c r="A887" s="82" t="s">
        <v>32</v>
      </c>
      <c r="B887" s="14">
        <v>757</v>
      </c>
      <c r="C887" s="15" t="s">
        <v>44</v>
      </c>
      <c r="D887" s="15" t="s">
        <v>19</v>
      </c>
      <c r="E887" s="15" t="s">
        <v>750</v>
      </c>
      <c r="F887" s="15" t="s">
        <v>33</v>
      </c>
      <c r="G887" s="8">
        <f>'прил 5,'!G195</f>
        <v>0</v>
      </c>
      <c r="H887" s="8">
        <v>0</v>
      </c>
      <c r="I887" s="8">
        <v>0</v>
      </c>
      <c r="J887" s="1"/>
    </row>
    <row r="888" spans="1:11" ht="27.75" hidden="1" customHeight="1">
      <c r="A888" s="16" t="s">
        <v>753</v>
      </c>
      <c r="B888" s="14">
        <v>757</v>
      </c>
      <c r="C888" s="15" t="s">
        <v>26</v>
      </c>
      <c r="D888" s="15" t="s">
        <v>70</v>
      </c>
      <c r="E888" s="15" t="s">
        <v>752</v>
      </c>
      <c r="F888" s="15"/>
      <c r="G888" s="70">
        <f>G889</f>
        <v>0</v>
      </c>
      <c r="H888" s="70">
        <f t="shared" ref="H888:K889" si="252">H889</f>
        <v>0</v>
      </c>
      <c r="I888" s="70">
        <f t="shared" si="252"/>
        <v>0</v>
      </c>
      <c r="J888" s="1"/>
    </row>
    <row r="889" spans="1:11" ht="45.75" hidden="1" customHeight="1">
      <c r="A889" s="16" t="s">
        <v>30</v>
      </c>
      <c r="B889" s="14">
        <v>757</v>
      </c>
      <c r="C889" s="15" t="s">
        <v>26</v>
      </c>
      <c r="D889" s="15" t="s">
        <v>70</v>
      </c>
      <c r="E889" s="15" t="s">
        <v>752</v>
      </c>
      <c r="F889" s="15" t="s">
        <v>31</v>
      </c>
      <c r="G889" s="70">
        <f>G890</f>
        <v>0</v>
      </c>
      <c r="H889" s="70">
        <f t="shared" si="252"/>
        <v>0</v>
      </c>
      <c r="I889" s="70">
        <f t="shared" si="252"/>
        <v>0</v>
      </c>
      <c r="J889" s="70">
        <f t="shared" si="252"/>
        <v>0</v>
      </c>
      <c r="K889" s="70">
        <f t="shared" si="252"/>
        <v>0</v>
      </c>
    </row>
    <row r="890" spans="1:11" ht="45.75" hidden="1" customHeight="1">
      <c r="A890" s="16" t="s">
        <v>32</v>
      </c>
      <c r="B890" s="14">
        <v>757</v>
      </c>
      <c r="C890" s="15" t="s">
        <v>26</v>
      </c>
      <c r="D890" s="15" t="s">
        <v>70</v>
      </c>
      <c r="E890" s="15" t="s">
        <v>752</v>
      </c>
      <c r="F890" s="15" t="s">
        <v>33</v>
      </c>
      <c r="G890" s="70">
        <f>'прил 5,'!G75</f>
        <v>0</v>
      </c>
      <c r="H890" s="70">
        <v>0</v>
      </c>
      <c r="I890" s="70"/>
      <c r="J890" s="1"/>
    </row>
    <row r="891" spans="1:11" ht="39.75" customHeight="1">
      <c r="A891" s="143" t="s">
        <v>755</v>
      </c>
      <c r="B891" s="14">
        <v>757</v>
      </c>
      <c r="C891" s="15" t="s">
        <v>44</v>
      </c>
      <c r="D891" s="15" t="s">
        <v>19</v>
      </c>
      <c r="E891" s="15" t="s">
        <v>754</v>
      </c>
      <c r="F891" s="14"/>
      <c r="G891" s="8">
        <f>G892</f>
        <v>0</v>
      </c>
      <c r="H891" s="8">
        <f t="shared" ref="H891:I891" si="253">H892</f>
        <v>150000</v>
      </c>
      <c r="I891" s="8">
        <f t="shared" si="253"/>
        <v>0</v>
      </c>
      <c r="J891" s="1"/>
    </row>
    <row r="892" spans="1:11" ht="49.5" customHeight="1">
      <c r="A892" s="82" t="s">
        <v>30</v>
      </c>
      <c r="B892" s="14">
        <v>757</v>
      </c>
      <c r="C892" s="15" t="s">
        <v>44</v>
      </c>
      <c r="D892" s="15" t="s">
        <v>19</v>
      </c>
      <c r="E892" s="15" t="s">
        <v>754</v>
      </c>
      <c r="F892" s="15" t="s">
        <v>31</v>
      </c>
      <c r="G892" s="8">
        <f>G893</f>
        <v>0</v>
      </c>
      <c r="H892" s="8">
        <f>H893</f>
        <v>150000</v>
      </c>
      <c r="I892" s="8">
        <f>I893</f>
        <v>0</v>
      </c>
      <c r="J892" s="1"/>
    </row>
    <row r="893" spans="1:11">
      <c r="A893" s="82" t="s">
        <v>32</v>
      </c>
      <c r="B893" s="14">
        <v>757</v>
      </c>
      <c r="C893" s="15" t="s">
        <v>44</v>
      </c>
      <c r="D893" s="15" t="s">
        <v>19</v>
      </c>
      <c r="E893" s="15" t="s">
        <v>754</v>
      </c>
      <c r="F893" s="15" t="s">
        <v>33</v>
      </c>
      <c r="G893" s="8">
        <f>'прил 5,'!G198</f>
        <v>0</v>
      </c>
      <c r="H893" s="8">
        <f>'прил 5,'!H198</f>
        <v>150000</v>
      </c>
      <c r="I893" s="8">
        <f>'прил 5,'!I198</f>
        <v>0</v>
      </c>
      <c r="J893" s="1"/>
    </row>
    <row r="894" spans="1:11" ht="54.75" hidden="1" customHeight="1">
      <c r="A894" s="143" t="s">
        <v>787</v>
      </c>
      <c r="B894" s="14">
        <v>757</v>
      </c>
      <c r="C894" s="15" t="s">
        <v>44</v>
      </c>
      <c r="D894" s="15" t="s">
        <v>19</v>
      </c>
      <c r="E894" s="15" t="s">
        <v>786</v>
      </c>
      <c r="F894" s="14"/>
      <c r="G894" s="8">
        <f>G895</f>
        <v>0</v>
      </c>
      <c r="H894" s="8">
        <f t="shared" ref="H894:I894" si="254">H895</f>
        <v>0</v>
      </c>
      <c r="I894" s="8">
        <f t="shared" si="254"/>
        <v>0</v>
      </c>
      <c r="J894" s="1"/>
    </row>
    <row r="895" spans="1:11" ht="49.5" hidden="1" customHeight="1">
      <c r="A895" s="82" t="s">
        <v>30</v>
      </c>
      <c r="B895" s="14">
        <v>757</v>
      </c>
      <c r="C895" s="15" t="s">
        <v>44</v>
      </c>
      <c r="D895" s="15" t="s">
        <v>19</v>
      </c>
      <c r="E895" s="15" t="s">
        <v>786</v>
      </c>
      <c r="F895" s="15" t="s">
        <v>31</v>
      </c>
      <c r="G895" s="8">
        <f>G896</f>
        <v>0</v>
      </c>
      <c r="H895" s="8">
        <f>H896</f>
        <v>0</v>
      </c>
      <c r="I895" s="8">
        <f>I896</f>
        <v>0</v>
      </c>
      <c r="J895" s="1"/>
    </row>
    <row r="896" spans="1:11" hidden="1">
      <c r="A896" s="82" t="s">
        <v>32</v>
      </c>
      <c r="B896" s="14">
        <v>757</v>
      </c>
      <c r="C896" s="15" t="s">
        <v>44</v>
      </c>
      <c r="D896" s="15" t="s">
        <v>19</v>
      </c>
      <c r="E896" s="15" t="s">
        <v>786</v>
      </c>
      <c r="F896" s="15" t="s">
        <v>33</v>
      </c>
      <c r="G896" s="8"/>
      <c r="H896" s="8"/>
      <c r="I896" s="8"/>
      <c r="J896" s="1"/>
    </row>
    <row r="897" spans="1:20" ht="29.25" hidden="1" customHeight="1">
      <c r="A897" s="135" t="s">
        <v>979</v>
      </c>
      <c r="B897" s="14">
        <v>757</v>
      </c>
      <c r="C897" s="15" t="s">
        <v>44</v>
      </c>
      <c r="D897" s="15" t="s">
        <v>19</v>
      </c>
      <c r="E897" s="15" t="s">
        <v>978</v>
      </c>
      <c r="F897" s="14"/>
      <c r="G897" s="8">
        <f>G898</f>
        <v>0</v>
      </c>
      <c r="H897" s="8">
        <f t="shared" ref="H897:I897" si="255">H898</f>
        <v>0</v>
      </c>
      <c r="I897" s="8">
        <f t="shared" si="255"/>
        <v>0</v>
      </c>
      <c r="J897" s="178"/>
      <c r="K897" s="186"/>
      <c r="L897" s="186"/>
      <c r="M897" s="186"/>
      <c r="N897" s="186"/>
      <c r="O897" s="186"/>
      <c r="P897" s="186"/>
      <c r="Q897" s="186"/>
      <c r="R897" s="186"/>
      <c r="S897" s="1"/>
      <c r="T897" s="1"/>
    </row>
    <row r="898" spans="1:20" ht="49.5" hidden="1" customHeight="1">
      <c r="A898" s="82" t="s">
        <v>30</v>
      </c>
      <c r="B898" s="14">
        <v>757</v>
      </c>
      <c r="C898" s="15" t="s">
        <v>44</v>
      </c>
      <c r="D898" s="15" t="s">
        <v>19</v>
      </c>
      <c r="E898" s="15" t="s">
        <v>978</v>
      </c>
      <c r="F898" s="15" t="s">
        <v>31</v>
      </c>
      <c r="G898" s="8">
        <f>G899</f>
        <v>0</v>
      </c>
      <c r="H898" s="8">
        <f>H899</f>
        <v>0</v>
      </c>
      <c r="I898" s="8">
        <f>I899</f>
        <v>0</v>
      </c>
      <c r="J898" s="178"/>
      <c r="K898" s="186"/>
      <c r="L898" s="186"/>
      <c r="M898" s="186"/>
      <c r="N898" s="186"/>
      <c r="O898" s="186"/>
      <c r="P898" s="186"/>
      <c r="Q898" s="186"/>
      <c r="R898" s="186"/>
      <c r="S898" s="1"/>
      <c r="T898" s="1"/>
    </row>
    <row r="899" spans="1:20" hidden="1">
      <c r="A899" s="82" t="s">
        <v>32</v>
      </c>
      <c r="B899" s="14">
        <v>757</v>
      </c>
      <c r="C899" s="15" t="s">
        <v>44</v>
      </c>
      <c r="D899" s="15" t="s">
        <v>19</v>
      </c>
      <c r="E899" s="15" t="s">
        <v>978</v>
      </c>
      <c r="F899" s="15" t="s">
        <v>33</v>
      </c>
      <c r="G899" s="8"/>
      <c r="H899" s="8">
        <v>0</v>
      </c>
      <c r="I899" s="8">
        <v>0</v>
      </c>
      <c r="J899" s="178"/>
      <c r="K899" s="186"/>
      <c r="L899" s="186"/>
      <c r="M899" s="186"/>
      <c r="N899" s="186"/>
      <c r="O899" s="186"/>
      <c r="P899" s="186"/>
      <c r="Q899" s="186"/>
      <c r="R899" s="186"/>
      <c r="S899" s="1"/>
      <c r="T899" s="1"/>
    </row>
    <row r="900" spans="1:20" ht="29.25" customHeight="1">
      <c r="A900" s="135" t="s">
        <v>979</v>
      </c>
      <c r="B900" s="14">
        <v>757</v>
      </c>
      <c r="C900" s="15" t="s">
        <v>44</v>
      </c>
      <c r="D900" s="15" t="s">
        <v>19</v>
      </c>
      <c r="E900" s="15" t="s">
        <v>978</v>
      </c>
      <c r="F900" s="14"/>
      <c r="G900" s="8">
        <f>G901</f>
        <v>227000</v>
      </c>
      <c r="H900" s="8">
        <f t="shared" ref="H900:I900" si="256">H901</f>
        <v>0</v>
      </c>
      <c r="I900" s="8">
        <f t="shared" si="256"/>
        <v>0</v>
      </c>
      <c r="J900" s="178"/>
      <c r="K900" s="186"/>
      <c r="L900" s="186"/>
      <c r="M900" s="186"/>
      <c r="N900" s="186"/>
      <c r="O900" s="186"/>
      <c r="P900" s="186"/>
      <c r="Q900" s="186"/>
      <c r="R900" s="186"/>
      <c r="S900" s="1"/>
      <c r="T900" s="1"/>
    </row>
    <row r="901" spans="1:20" ht="49.5" customHeight="1">
      <c r="A901" s="82" t="s">
        <v>30</v>
      </c>
      <c r="B901" s="14">
        <v>757</v>
      </c>
      <c r="C901" s="15" t="s">
        <v>44</v>
      </c>
      <c r="D901" s="15" t="s">
        <v>19</v>
      </c>
      <c r="E901" s="15" t="s">
        <v>978</v>
      </c>
      <c r="F901" s="15" t="s">
        <v>31</v>
      </c>
      <c r="G901" s="8">
        <f>G902</f>
        <v>227000</v>
      </c>
      <c r="H901" s="8">
        <f>H902</f>
        <v>0</v>
      </c>
      <c r="I901" s="8">
        <f>I902</f>
        <v>0</v>
      </c>
      <c r="J901" s="178"/>
      <c r="K901" s="186"/>
      <c r="L901" s="186"/>
      <c r="M901" s="186"/>
      <c r="N901" s="186"/>
      <c r="O901" s="186"/>
      <c r="P901" s="186"/>
      <c r="Q901" s="186"/>
      <c r="R901" s="186"/>
      <c r="S901" s="1"/>
      <c r="T901" s="1"/>
    </row>
    <row r="902" spans="1:20">
      <c r="A902" s="82" t="s">
        <v>32</v>
      </c>
      <c r="B902" s="14">
        <v>757</v>
      </c>
      <c r="C902" s="15" t="s">
        <v>44</v>
      </c>
      <c r="D902" s="15" t="s">
        <v>19</v>
      </c>
      <c r="E902" s="15" t="s">
        <v>978</v>
      </c>
      <c r="F902" s="15" t="s">
        <v>33</v>
      </c>
      <c r="G902" s="8">
        <f>'прил 5,'!G204</f>
        <v>227000</v>
      </c>
      <c r="H902" s="8">
        <v>0</v>
      </c>
      <c r="I902" s="8">
        <v>0</v>
      </c>
      <c r="J902" s="178"/>
      <c r="K902" s="186"/>
      <c r="L902" s="186"/>
      <c r="M902" s="186"/>
      <c r="N902" s="186"/>
      <c r="O902" s="186"/>
      <c r="P902" s="186"/>
      <c r="Q902" s="186"/>
      <c r="R902" s="186"/>
      <c r="S902" s="1"/>
      <c r="T902" s="1"/>
    </row>
    <row r="903" spans="1:20" ht="39.75" customHeight="1">
      <c r="A903" s="143" t="s">
        <v>755</v>
      </c>
      <c r="B903" s="14">
        <v>757</v>
      </c>
      <c r="C903" s="15" t="s">
        <v>44</v>
      </c>
      <c r="D903" s="15" t="s">
        <v>19</v>
      </c>
      <c r="E903" s="15" t="s">
        <v>1050</v>
      </c>
      <c r="F903" s="14"/>
      <c r="G903" s="8">
        <f>G904</f>
        <v>155000</v>
      </c>
      <c r="H903" s="8">
        <f t="shared" ref="H903:I903" si="257">H904</f>
        <v>0</v>
      </c>
      <c r="I903" s="8">
        <f t="shared" si="257"/>
        <v>0</v>
      </c>
      <c r="J903" s="1"/>
    </row>
    <row r="904" spans="1:20" ht="49.5" customHeight="1">
      <c r="A904" s="82" t="s">
        <v>30</v>
      </c>
      <c r="B904" s="14">
        <v>757</v>
      </c>
      <c r="C904" s="15" t="s">
        <v>44</v>
      </c>
      <c r="D904" s="15" t="s">
        <v>19</v>
      </c>
      <c r="E904" s="15" t="s">
        <v>1050</v>
      </c>
      <c r="F904" s="15" t="s">
        <v>31</v>
      </c>
      <c r="G904" s="8">
        <f>G905</f>
        <v>155000</v>
      </c>
      <c r="H904" s="8">
        <f>H905</f>
        <v>0</v>
      </c>
      <c r="I904" s="8">
        <f>I905</f>
        <v>0</v>
      </c>
      <c r="J904" s="1"/>
    </row>
    <row r="905" spans="1:20">
      <c r="A905" s="82" t="s">
        <v>32</v>
      </c>
      <c r="B905" s="14">
        <v>757</v>
      </c>
      <c r="C905" s="15" t="s">
        <v>44</v>
      </c>
      <c r="D905" s="15" t="s">
        <v>19</v>
      </c>
      <c r="E905" s="15" t="s">
        <v>1050</v>
      </c>
      <c r="F905" s="15" t="s">
        <v>33</v>
      </c>
      <c r="G905" s="8">
        <v>155000</v>
      </c>
      <c r="H905" s="8">
        <v>0</v>
      </c>
      <c r="I905" s="8">
        <v>0</v>
      </c>
      <c r="J905" s="1"/>
    </row>
    <row r="906" spans="1:20" s="28" customFormat="1" ht="25.5">
      <c r="A906" s="13" t="s">
        <v>76</v>
      </c>
      <c r="B906" s="14">
        <v>757</v>
      </c>
      <c r="C906" s="15" t="s">
        <v>44</v>
      </c>
      <c r="D906" s="15" t="s">
        <v>54</v>
      </c>
      <c r="E906" s="15" t="s">
        <v>204</v>
      </c>
      <c r="F906" s="15"/>
      <c r="G906" s="93">
        <f>G907+G909+G911</f>
        <v>5335539</v>
      </c>
      <c r="H906" s="29">
        <f>H907+H909+H911</f>
        <v>5399005</v>
      </c>
      <c r="I906" s="29">
        <f>I907+I909+I911</f>
        <v>5449713</v>
      </c>
      <c r="J906" s="109"/>
      <c r="P906" s="109"/>
      <c r="Q906" s="109"/>
      <c r="R906" s="109"/>
      <c r="S906" s="109"/>
      <c r="T906" s="109"/>
    </row>
    <row r="907" spans="1:20" s="32" customFormat="1" ht="51">
      <c r="A907" s="16" t="s">
        <v>55</v>
      </c>
      <c r="B907" s="14">
        <v>757</v>
      </c>
      <c r="C907" s="15" t="s">
        <v>44</v>
      </c>
      <c r="D907" s="15" t="s">
        <v>54</v>
      </c>
      <c r="E907" s="15" t="s">
        <v>204</v>
      </c>
      <c r="F907" s="15" t="s">
        <v>58</v>
      </c>
      <c r="G907" s="87">
        <f>G908</f>
        <v>5165255</v>
      </c>
      <c r="H907" s="87">
        <f>H908</f>
        <v>5215460</v>
      </c>
      <c r="I907" s="87">
        <f>I908</f>
        <v>5266168</v>
      </c>
      <c r="J907" s="31"/>
      <c r="P907" s="31"/>
      <c r="Q907" s="31"/>
      <c r="R907" s="31"/>
      <c r="S907" s="31"/>
      <c r="T907" s="31"/>
    </row>
    <row r="908" spans="1:20" s="32" customFormat="1" ht="25.5">
      <c r="A908" s="16" t="s">
        <v>56</v>
      </c>
      <c r="B908" s="14">
        <v>757</v>
      </c>
      <c r="C908" s="15" t="s">
        <v>44</v>
      </c>
      <c r="D908" s="15" t="s">
        <v>54</v>
      </c>
      <c r="E908" s="15" t="s">
        <v>204</v>
      </c>
      <c r="F908" s="15" t="s">
        <v>59</v>
      </c>
      <c r="G908" s="87">
        <f>'прил 5,'!G348</f>
        <v>5165255</v>
      </c>
      <c r="H908" s="87">
        <f>'прил 5,'!H348</f>
        <v>5215460</v>
      </c>
      <c r="I908" s="87">
        <f>'прил 5,'!I348</f>
        <v>5266168</v>
      </c>
      <c r="J908" s="31"/>
      <c r="P908" s="31"/>
      <c r="Q908" s="31"/>
      <c r="R908" s="31"/>
      <c r="S908" s="31"/>
      <c r="T908" s="31"/>
    </row>
    <row r="909" spans="1:20" s="32" customFormat="1" ht="28.5" customHeight="1">
      <c r="A909" s="16" t="s">
        <v>36</v>
      </c>
      <c r="B909" s="14">
        <v>757</v>
      </c>
      <c r="C909" s="15" t="s">
        <v>44</v>
      </c>
      <c r="D909" s="15" t="s">
        <v>54</v>
      </c>
      <c r="E909" s="15" t="s">
        <v>204</v>
      </c>
      <c r="F909" s="15" t="s">
        <v>37</v>
      </c>
      <c r="G909" s="87">
        <f>G910</f>
        <v>169984</v>
      </c>
      <c r="H909" s="87">
        <f>H910</f>
        <v>183245</v>
      </c>
      <c r="I909" s="87">
        <f>I910</f>
        <v>183245</v>
      </c>
      <c r="J909" s="31"/>
      <c r="P909" s="31"/>
      <c r="Q909" s="31"/>
      <c r="R909" s="31"/>
      <c r="S909" s="31"/>
      <c r="T909" s="31"/>
    </row>
    <row r="910" spans="1:20" s="32" customFormat="1" ht="25.5">
      <c r="A910" s="16" t="s">
        <v>38</v>
      </c>
      <c r="B910" s="14">
        <v>757</v>
      </c>
      <c r="C910" s="15" t="s">
        <v>44</v>
      </c>
      <c r="D910" s="15" t="s">
        <v>54</v>
      </c>
      <c r="E910" s="15" t="s">
        <v>204</v>
      </c>
      <c r="F910" s="15" t="s">
        <v>39</v>
      </c>
      <c r="G910" s="87">
        <f>'прил 5,'!G350</f>
        <v>169984</v>
      </c>
      <c r="H910" s="87">
        <f>'прил 5,'!H350</f>
        <v>183245</v>
      </c>
      <c r="I910" s="87">
        <f>'прил 5,'!I350</f>
        <v>183245</v>
      </c>
      <c r="J910" s="31"/>
      <c r="P910" s="31"/>
      <c r="Q910" s="31"/>
      <c r="R910" s="31"/>
      <c r="S910" s="31"/>
      <c r="T910" s="31"/>
    </row>
    <row r="911" spans="1:20" s="32" customFormat="1">
      <c r="A911" s="16" t="s">
        <v>63</v>
      </c>
      <c r="B911" s="14"/>
      <c r="C911" s="15"/>
      <c r="D911" s="15"/>
      <c r="E911" s="15" t="s">
        <v>204</v>
      </c>
      <c r="F911" s="15" t="s">
        <v>64</v>
      </c>
      <c r="G911" s="87">
        <f>G912</f>
        <v>300</v>
      </c>
      <c r="H911" s="87">
        <f>H912</f>
        <v>300</v>
      </c>
      <c r="I911" s="87">
        <f>I912</f>
        <v>300</v>
      </c>
      <c r="J911" s="31"/>
      <c r="P911" s="31"/>
      <c r="Q911" s="31"/>
      <c r="R911" s="31"/>
      <c r="S911" s="31"/>
      <c r="T911" s="31"/>
    </row>
    <row r="912" spans="1:20">
      <c r="A912" s="16" t="s">
        <v>66</v>
      </c>
      <c r="B912" s="14">
        <v>757</v>
      </c>
      <c r="C912" s="15" t="s">
        <v>44</v>
      </c>
      <c r="D912" s="15" t="s">
        <v>54</v>
      </c>
      <c r="E912" s="15" t="s">
        <v>204</v>
      </c>
      <c r="F912" s="15" t="s">
        <v>67</v>
      </c>
      <c r="G912" s="94">
        <f>'прил 5,'!G352</f>
        <v>300</v>
      </c>
      <c r="H912" s="94">
        <f>'прил 5,'!H352</f>
        <v>300</v>
      </c>
      <c r="I912" s="94">
        <f>'прил 5,'!I352</f>
        <v>300</v>
      </c>
    </row>
    <row r="913" spans="1:10" ht="76.5" hidden="1">
      <c r="A913" s="16" t="s">
        <v>396</v>
      </c>
      <c r="B913" s="14">
        <v>757</v>
      </c>
      <c r="C913" s="15" t="s">
        <v>44</v>
      </c>
      <c r="D913" s="15" t="s">
        <v>19</v>
      </c>
      <c r="E913" s="15" t="s">
        <v>395</v>
      </c>
      <c r="F913" s="15"/>
      <c r="G913" s="85">
        <f>G914</f>
        <v>0</v>
      </c>
      <c r="H913" s="85">
        <f>H914</f>
        <v>0</v>
      </c>
      <c r="I913" s="85">
        <f>I914</f>
        <v>0</v>
      </c>
    </row>
    <row r="914" spans="1:10" hidden="1">
      <c r="A914" s="16" t="s">
        <v>32</v>
      </c>
      <c r="B914" s="14">
        <v>757</v>
      </c>
      <c r="C914" s="15" t="s">
        <v>44</v>
      </c>
      <c r="D914" s="15" t="s">
        <v>19</v>
      </c>
      <c r="E914" s="15" t="s">
        <v>395</v>
      </c>
      <c r="F914" s="15" t="s">
        <v>33</v>
      </c>
      <c r="G914" s="85">
        <f>'прил 5,'!G222</f>
        <v>0</v>
      </c>
      <c r="H914" s="85">
        <f>'прил 5,'!H222</f>
        <v>0</v>
      </c>
      <c r="I914" s="85">
        <f>'прил 5,'!I222</f>
        <v>0</v>
      </c>
    </row>
    <row r="915" spans="1:10" ht="45" hidden="1" customHeight="1">
      <c r="A915" s="16" t="s">
        <v>600</v>
      </c>
      <c r="B915" s="15"/>
      <c r="C915" s="15"/>
      <c r="D915" s="15"/>
      <c r="E915" s="15" t="s">
        <v>542</v>
      </c>
      <c r="F915" s="15"/>
      <c r="G915" s="87">
        <f>G916</f>
        <v>0</v>
      </c>
      <c r="H915" s="85">
        <v>0</v>
      </c>
      <c r="I915" s="85">
        <v>0</v>
      </c>
    </row>
    <row r="916" spans="1:10" ht="34.5" hidden="1" customHeight="1">
      <c r="A916" s="16" t="s">
        <v>96</v>
      </c>
      <c r="B916" s="15"/>
      <c r="C916" s="15"/>
      <c r="D916" s="15"/>
      <c r="E916" s="15" t="s">
        <v>542</v>
      </c>
      <c r="F916" s="15" t="s">
        <v>349</v>
      </c>
      <c r="G916" s="87">
        <f>G917</f>
        <v>0</v>
      </c>
      <c r="H916" s="85">
        <v>0</v>
      </c>
      <c r="I916" s="85">
        <v>0</v>
      </c>
    </row>
    <row r="917" spans="1:10" ht="68.25" hidden="1" customHeight="1">
      <c r="A917" s="50" t="s">
        <v>421</v>
      </c>
      <c r="B917" s="15"/>
      <c r="C917" s="15"/>
      <c r="D917" s="15"/>
      <c r="E917" s="15" t="s">
        <v>542</v>
      </c>
      <c r="F917" s="15" t="s">
        <v>420</v>
      </c>
      <c r="G917" s="87">
        <f>'прил 5,'!G149</f>
        <v>0</v>
      </c>
      <c r="H917" s="85">
        <v>0</v>
      </c>
      <c r="I917" s="85">
        <v>0</v>
      </c>
    </row>
    <row r="918" spans="1:10" ht="49.5" hidden="1" customHeight="1">
      <c r="A918" s="50" t="s">
        <v>601</v>
      </c>
      <c r="B918" s="15"/>
      <c r="C918" s="15"/>
      <c r="D918" s="15"/>
      <c r="E918" s="15" t="s">
        <v>543</v>
      </c>
      <c r="F918" s="15"/>
      <c r="G918" s="85">
        <f>G919</f>
        <v>0</v>
      </c>
      <c r="H918" s="85">
        <v>0</v>
      </c>
      <c r="I918" s="85">
        <v>0</v>
      </c>
    </row>
    <row r="919" spans="1:10" ht="39" hidden="1" customHeight="1">
      <c r="A919" s="16" t="s">
        <v>96</v>
      </c>
      <c r="B919" s="15"/>
      <c r="C919" s="15"/>
      <c r="D919" s="15"/>
      <c r="E919" s="15" t="s">
        <v>543</v>
      </c>
      <c r="F919" s="15" t="s">
        <v>349</v>
      </c>
      <c r="G919" s="85">
        <f>G920</f>
        <v>0</v>
      </c>
      <c r="H919" s="85">
        <v>0</v>
      </c>
      <c r="I919" s="85">
        <v>0</v>
      </c>
    </row>
    <row r="920" spans="1:10" ht="50.25" hidden="1" customHeight="1">
      <c r="A920" s="50" t="s">
        <v>421</v>
      </c>
      <c r="B920" s="15"/>
      <c r="C920" s="15"/>
      <c r="D920" s="15"/>
      <c r="E920" s="15" t="s">
        <v>544</v>
      </c>
      <c r="F920" s="15" t="s">
        <v>420</v>
      </c>
      <c r="G920" s="85"/>
      <c r="H920" s="85">
        <v>0</v>
      </c>
      <c r="I920" s="85">
        <v>0</v>
      </c>
    </row>
    <row r="921" spans="1:10" ht="29.25" customHeight="1">
      <c r="A921" s="16" t="s">
        <v>665</v>
      </c>
      <c r="B921" s="15"/>
      <c r="C921" s="15"/>
      <c r="D921" s="15"/>
      <c r="E921" s="15" t="s">
        <v>758</v>
      </c>
      <c r="F921" s="15"/>
      <c r="G921" s="85">
        <f>G922</f>
        <v>42300</v>
      </c>
      <c r="H921" s="85">
        <f t="shared" ref="H921:I922" si="258">H922</f>
        <v>42300</v>
      </c>
      <c r="I921" s="85">
        <f t="shared" si="258"/>
        <v>42300</v>
      </c>
    </row>
    <row r="922" spans="1:10" ht="18.75" customHeight="1">
      <c r="A922" s="50" t="s">
        <v>603</v>
      </c>
      <c r="B922" s="15"/>
      <c r="C922" s="15"/>
      <c r="D922" s="15"/>
      <c r="E922" s="15" t="s">
        <v>758</v>
      </c>
      <c r="F922" s="15" t="s">
        <v>37</v>
      </c>
      <c r="G922" s="85">
        <f>G923</f>
        <v>42300</v>
      </c>
      <c r="H922" s="85">
        <f t="shared" si="258"/>
        <v>42300</v>
      </c>
      <c r="I922" s="85">
        <f t="shared" si="258"/>
        <v>42300</v>
      </c>
    </row>
    <row r="923" spans="1:10" ht="27" customHeight="1">
      <c r="A923" s="50" t="s">
        <v>38</v>
      </c>
      <c r="B923" s="15"/>
      <c r="C923" s="15"/>
      <c r="D923" s="15"/>
      <c r="E923" s="15" t="s">
        <v>758</v>
      </c>
      <c r="F923" s="15" t="s">
        <v>39</v>
      </c>
      <c r="G923" s="85">
        <f>'прил 5,'!G1208</f>
        <v>42300</v>
      </c>
      <c r="H923" s="85">
        <f>'прил 5,'!H1208</f>
        <v>42300</v>
      </c>
      <c r="I923" s="85">
        <f>'прил 5,'!I1208</f>
        <v>42300</v>
      </c>
    </row>
    <row r="924" spans="1:10" ht="66" hidden="1" customHeight="1">
      <c r="A924" s="16" t="s">
        <v>541</v>
      </c>
      <c r="B924" s="14">
        <v>757</v>
      </c>
      <c r="C924" s="15" t="s">
        <v>26</v>
      </c>
      <c r="D924" s="15" t="s">
        <v>70</v>
      </c>
      <c r="E924" s="15" t="s">
        <v>629</v>
      </c>
      <c r="F924" s="15"/>
      <c r="G924" s="70">
        <f>G925</f>
        <v>0</v>
      </c>
      <c r="H924" s="70">
        <f t="shared" ref="H924:I925" si="259">H925</f>
        <v>0</v>
      </c>
      <c r="I924" s="87">
        <f t="shared" si="259"/>
        <v>0</v>
      </c>
      <c r="J924" s="1"/>
    </row>
    <row r="925" spans="1:10" ht="33.75" hidden="1" customHeight="1">
      <c r="A925" s="16" t="s">
        <v>30</v>
      </c>
      <c r="B925" s="14">
        <v>757</v>
      </c>
      <c r="C925" s="15" t="s">
        <v>26</v>
      </c>
      <c r="D925" s="15" t="s">
        <v>70</v>
      </c>
      <c r="E925" s="15" t="s">
        <v>629</v>
      </c>
      <c r="F925" s="15" t="s">
        <v>31</v>
      </c>
      <c r="G925" s="70">
        <f>G926</f>
        <v>0</v>
      </c>
      <c r="H925" s="70">
        <f t="shared" si="259"/>
        <v>0</v>
      </c>
      <c r="I925" s="87">
        <f t="shared" si="259"/>
        <v>0</v>
      </c>
      <c r="J925" s="1"/>
    </row>
    <row r="926" spans="1:10" ht="27.75" hidden="1" customHeight="1">
      <c r="A926" s="16" t="s">
        <v>32</v>
      </c>
      <c r="B926" s="14">
        <v>757</v>
      </c>
      <c r="C926" s="15" t="s">
        <v>26</v>
      </c>
      <c r="D926" s="15" t="s">
        <v>70</v>
      </c>
      <c r="E926" s="15" t="s">
        <v>629</v>
      </c>
      <c r="F926" s="15" t="s">
        <v>33</v>
      </c>
      <c r="G926" s="70"/>
      <c r="H926" s="70"/>
      <c r="I926" s="87">
        <f>'прил 5,'!I56</f>
        <v>0</v>
      </c>
      <c r="J926" s="1"/>
    </row>
    <row r="927" spans="1:10" ht="18" hidden="1" customHeight="1">
      <c r="A927" s="16" t="s">
        <v>663</v>
      </c>
      <c r="B927" s="14">
        <v>793</v>
      </c>
      <c r="C927" s="15" t="s">
        <v>19</v>
      </c>
      <c r="D927" s="15" t="s">
        <v>23</v>
      </c>
      <c r="E927" s="15" t="s">
        <v>662</v>
      </c>
      <c r="F927" s="15"/>
      <c r="G927" s="70">
        <f>G928</f>
        <v>0</v>
      </c>
      <c r="H927" s="70">
        <f t="shared" ref="H927:I928" si="260">H928</f>
        <v>0</v>
      </c>
      <c r="I927" s="70">
        <f t="shared" si="260"/>
        <v>0</v>
      </c>
      <c r="J927" s="1"/>
    </row>
    <row r="928" spans="1:10" ht="19.5" hidden="1" customHeight="1">
      <c r="A928" s="16" t="s">
        <v>324</v>
      </c>
      <c r="B928" s="14">
        <v>793</v>
      </c>
      <c r="C928" s="15" t="s">
        <v>19</v>
      </c>
      <c r="D928" s="15" t="s">
        <v>23</v>
      </c>
      <c r="E928" s="15" t="s">
        <v>662</v>
      </c>
      <c r="F928" s="15" t="s">
        <v>37</v>
      </c>
      <c r="G928" s="70">
        <f>G929</f>
        <v>0</v>
      </c>
      <c r="H928" s="70">
        <f t="shared" si="260"/>
        <v>0</v>
      </c>
      <c r="I928" s="70">
        <f t="shared" si="260"/>
        <v>0</v>
      </c>
      <c r="J928" s="1"/>
    </row>
    <row r="929" spans="1:11" ht="25.5" hidden="1" customHeight="1">
      <c r="A929" s="16" t="s">
        <v>38</v>
      </c>
      <c r="B929" s="14">
        <v>793</v>
      </c>
      <c r="C929" s="15" t="s">
        <v>19</v>
      </c>
      <c r="D929" s="15" t="s">
        <v>23</v>
      </c>
      <c r="E929" s="15" t="s">
        <v>662</v>
      </c>
      <c r="F929" s="15" t="s">
        <v>39</v>
      </c>
      <c r="G929" s="70">
        <f>'прил 5,'!G1211</f>
        <v>0</v>
      </c>
      <c r="H929" s="70">
        <f>'прил 5,'!H1211</f>
        <v>0</v>
      </c>
      <c r="I929" s="70">
        <f>'прил 5,'!I1211</f>
        <v>0</v>
      </c>
      <c r="J929" s="1"/>
    </row>
    <row r="930" spans="1:11" ht="81.75" hidden="1" customHeight="1">
      <c r="A930" s="16" t="s">
        <v>631</v>
      </c>
      <c r="B930" s="14">
        <v>757</v>
      </c>
      <c r="C930" s="15" t="s">
        <v>26</v>
      </c>
      <c r="D930" s="15" t="s">
        <v>70</v>
      </c>
      <c r="E930" s="15" t="s">
        <v>630</v>
      </c>
      <c r="F930" s="15"/>
      <c r="G930" s="70">
        <f>G931</f>
        <v>0</v>
      </c>
      <c r="H930" s="70">
        <f t="shared" ref="H930:I931" si="261">H931</f>
        <v>0</v>
      </c>
      <c r="I930" s="87">
        <f t="shared" si="261"/>
        <v>0</v>
      </c>
      <c r="J930" s="1"/>
    </row>
    <row r="931" spans="1:11" ht="47.25" hidden="1" customHeight="1">
      <c r="A931" s="16" t="s">
        <v>96</v>
      </c>
      <c r="B931" s="14">
        <v>757</v>
      </c>
      <c r="C931" s="15" t="s">
        <v>26</v>
      </c>
      <c r="D931" s="15" t="s">
        <v>70</v>
      </c>
      <c r="E931" s="15" t="s">
        <v>630</v>
      </c>
      <c r="F931" s="15" t="s">
        <v>349</v>
      </c>
      <c r="G931" s="70">
        <f>G932</f>
        <v>0</v>
      </c>
      <c r="H931" s="70">
        <f t="shared" si="261"/>
        <v>0</v>
      </c>
      <c r="I931" s="70">
        <f t="shared" si="261"/>
        <v>0</v>
      </c>
      <c r="J931" s="1"/>
    </row>
    <row r="932" spans="1:11" ht="98.25" hidden="1" customHeight="1">
      <c r="A932" s="50" t="s">
        <v>421</v>
      </c>
      <c r="B932" s="14">
        <v>757</v>
      </c>
      <c r="C932" s="15" t="s">
        <v>26</v>
      </c>
      <c r="D932" s="15" t="s">
        <v>70</v>
      </c>
      <c r="E932" s="15" t="s">
        <v>630</v>
      </c>
      <c r="F932" s="15" t="s">
        <v>420</v>
      </c>
      <c r="G932" s="70"/>
      <c r="H932" s="70">
        <v>0</v>
      </c>
      <c r="I932" s="70"/>
      <c r="J932" s="1"/>
    </row>
    <row r="933" spans="1:11" ht="19.5" hidden="1" customHeight="1">
      <c r="A933" s="16" t="s">
        <v>394</v>
      </c>
      <c r="B933" s="14">
        <v>757</v>
      </c>
      <c r="C933" s="15" t="s">
        <v>26</v>
      </c>
      <c r="D933" s="15" t="s">
        <v>70</v>
      </c>
      <c r="E933" s="15" t="s">
        <v>126</v>
      </c>
      <c r="F933" s="15"/>
      <c r="G933" s="87">
        <f>G934</f>
        <v>0</v>
      </c>
      <c r="H933" s="85">
        <v>0</v>
      </c>
      <c r="I933" s="85">
        <v>0</v>
      </c>
      <c r="J933" s="1"/>
    </row>
    <row r="934" spans="1:11" ht="39.75" hidden="1" customHeight="1">
      <c r="A934" s="16" t="s">
        <v>30</v>
      </c>
      <c r="B934" s="14">
        <v>757</v>
      </c>
      <c r="C934" s="15" t="s">
        <v>26</v>
      </c>
      <c r="D934" s="15" t="s">
        <v>70</v>
      </c>
      <c r="E934" s="15" t="s">
        <v>126</v>
      </c>
      <c r="F934" s="15" t="s">
        <v>31</v>
      </c>
      <c r="G934" s="87">
        <f>G935</f>
        <v>0</v>
      </c>
      <c r="H934" s="85">
        <v>0</v>
      </c>
      <c r="I934" s="85">
        <v>0</v>
      </c>
      <c r="J934" s="1"/>
    </row>
    <row r="935" spans="1:11" ht="20.25" hidden="1" customHeight="1">
      <c r="A935" s="16" t="s">
        <v>32</v>
      </c>
      <c r="B935" s="14">
        <v>757</v>
      </c>
      <c r="C935" s="15" t="s">
        <v>26</v>
      </c>
      <c r="D935" s="15" t="s">
        <v>70</v>
      </c>
      <c r="E935" s="15" t="s">
        <v>126</v>
      </c>
      <c r="F935" s="15" t="s">
        <v>33</v>
      </c>
      <c r="G935" s="87">
        <f>'прил 5,'!G65+'прил 5,'!G225</f>
        <v>0</v>
      </c>
      <c r="H935" s="85">
        <v>0</v>
      </c>
      <c r="I935" s="85">
        <v>0</v>
      </c>
      <c r="J935" s="1"/>
    </row>
    <row r="936" spans="1:11" ht="39" hidden="1" customHeight="1">
      <c r="A936" s="16" t="s">
        <v>184</v>
      </c>
      <c r="B936" s="14">
        <v>757</v>
      </c>
      <c r="C936" s="15" t="s">
        <v>44</v>
      </c>
      <c r="D936" s="15" t="s">
        <v>19</v>
      </c>
      <c r="E936" s="15" t="s">
        <v>183</v>
      </c>
      <c r="F936" s="15"/>
      <c r="G936" s="87">
        <f>G937</f>
        <v>0</v>
      </c>
      <c r="H936" s="70">
        <f t="shared" ref="H936:I937" si="262">H937</f>
        <v>0</v>
      </c>
      <c r="I936" s="70">
        <f t="shared" si="262"/>
        <v>0</v>
      </c>
      <c r="J936" s="1"/>
    </row>
    <row r="937" spans="1:11" ht="39.75" hidden="1" customHeight="1">
      <c r="A937" s="16" t="s">
        <v>30</v>
      </c>
      <c r="B937" s="14">
        <v>757</v>
      </c>
      <c r="C937" s="15" t="s">
        <v>44</v>
      </c>
      <c r="D937" s="15" t="s">
        <v>19</v>
      </c>
      <c r="E937" s="15" t="s">
        <v>183</v>
      </c>
      <c r="F937" s="15" t="s">
        <v>31</v>
      </c>
      <c r="G937" s="87">
        <f>G938</f>
        <v>0</v>
      </c>
      <c r="H937" s="70">
        <f t="shared" si="262"/>
        <v>0</v>
      </c>
      <c r="I937" s="70">
        <f t="shared" si="262"/>
        <v>0</v>
      </c>
      <c r="J937" s="1"/>
    </row>
    <row r="938" spans="1:11" ht="20.25" hidden="1" customHeight="1">
      <c r="A938" s="16" t="s">
        <v>32</v>
      </c>
      <c r="B938" s="14">
        <v>757</v>
      </c>
      <c r="C938" s="15" t="s">
        <v>44</v>
      </c>
      <c r="D938" s="15" t="s">
        <v>19</v>
      </c>
      <c r="E938" s="15" t="s">
        <v>183</v>
      </c>
      <c r="F938" s="15" t="s">
        <v>33</v>
      </c>
      <c r="G938" s="87">
        <v>0</v>
      </c>
      <c r="H938" s="70">
        <f>'прил 5,'!H228</f>
        <v>0</v>
      </c>
      <c r="I938" s="70">
        <v>0</v>
      </c>
      <c r="J938" s="1"/>
    </row>
    <row r="939" spans="1:11" ht="87.75" hidden="1" customHeight="1">
      <c r="A939" s="16" t="s">
        <v>512</v>
      </c>
      <c r="B939" s="14">
        <v>757</v>
      </c>
      <c r="C939" s="15" t="s">
        <v>26</v>
      </c>
      <c r="D939" s="15" t="s">
        <v>70</v>
      </c>
      <c r="E939" s="15" t="s">
        <v>513</v>
      </c>
      <c r="F939" s="15"/>
      <c r="G939" s="87">
        <f>G940</f>
        <v>0</v>
      </c>
      <c r="H939" s="70">
        <f t="shared" ref="H939:K940" si="263">H940</f>
        <v>0</v>
      </c>
      <c r="I939" s="70">
        <f t="shared" si="263"/>
        <v>0</v>
      </c>
      <c r="J939" s="1"/>
    </row>
    <row r="940" spans="1:11" ht="45" hidden="1" customHeight="1">
      <c r="A940" s="16" t="s">
        <v>30</v>
      </c>
      <c r="B940" s="14">
        <v>757</v>
      </c>
      <c r="C940" s="15" t="s">
        <v>26</v>
      </c>
      <c r="D940" s="15" t="s">
        <v>70</v>
      </c>
      <c r="E940" s="15" t="s">
        <v>513</v>
      </c>
      <c r="F940" s="15" t="s">
        <v>31</v>
      </c>
      <c r="G940" s="87">
        <f>G941</f>
        <v>0</v>
      </c>
      <c r="H940" s="70">
        <f t="shared" si="263"/>
        <v>0</v>
      </c>
      <c r="I940" s="70">
        <f t="shared" si="263"/>
        <v>0</v>
      </c>
      <c r="J940" s="70">
        <f t="shared" si="263"/>
        <v>0</v>
      </c>
      <c r="K940" s="70">
        <f t="shared" si="263"/>
        <v>0</v>
      </c>
    </row>
    <row r="941" spans="1:11" ht="19.5" hidden="1" customHeight="1">
      <c r="A941" s="16" t="s">
        <v>32</v>
      </c>
      <c r="B941" s="14">
        <v>757</v>
      </c>
      <c r="C941" s="15" t="s">
        <v>26</v>
      </c>
      <c r="D941" s="15" t="s">
        <v>70</v>
      </c>
      <c r="E941" s="15" t="s">
        <v>513</v>
      </c>
      <c r="F941" s="15" t="s">
        <v>33</v>
      </c>
      <c r="G941" s="87">
        <v>0</v>
      </c>
      <c r="H941" s="70">
        <f>'прил 5,'!H68</f>
        <v>0</v>
      </c>
      <c r="I941" s="70">
        <v>0</v>
      </c>
      <c r="J941" s="1"/>
    </row>
    <row r="942" spans="1:11" ht="36" hidden="1" customHeight="1">
      <c r="A942" s="16" t="s">
        <v>524</v>
      </c>
      <c r="B942" s="14">
        <v>757</v>
      </c>
      <c r="C942" s="15" t="s">
        <v>44</v>
      </c>
      <c r="D942" s="15" t="s">
        <v>19</v>
      </c>
      <c r="E942" s="15" t="s">
        <v>523</v>
      </c>
      <c r="F942" s="15"/>
      <c r="G942" s="87">
        <f>G943</f>
        <v>0</v>
      </c>
      <c r="H942" s="70">
        <f t="shared" ref="H942:K943" si="264">H943</f>
        <v>0</v>
      </c>
      <c r="I942" s="70">
        <f t="shared" si="264"/>
        <v>0</v>
      </c>
      <c r="J942" s="1"/>
    </row>
    <row r="943" spans="1:11" ht="45" hidden="1" customHeight="1">
      <c r="A943" s="16" t="s">
        <v>30</v>
      </c>
      <c r="B943" s="14">
        <v>757</v>
      </c>
      <c r="C943" s="15" t="s">
        <v>44</v>
      </c>
      <c r="D943" s="15" t="s">
        <v>19</v>
      </c>
      <c r="E943" s="15" t="s">
        <v>523</v>
      </c>
      <c r="F943" s="15" t="s">
        <v>31</v>
      </c>
      <c r="G943" s="87">
        <f>G944</f>
        <v>0</v>
      </c>
      <c r="H943" s="70">
        <f t="shared" si="264"/>
        <v>0</v>
      </c>
      <c r="I943" s="70">
        <f t="shared" si="264"/>
        <v>0</v>
      </c>
      <c r="J943" s="70">
        <f t="shared" si="264"/>
        <v>0</v>
      </c>
      <c r="K943" s="70">
        <f t="shared" si="264"/>
        <v>0</v>
      </c>
    </row>
    <row r="944" spans="1:11" ht="19.5" hidden="1" customHeight="1">
      <c r="A944" s="16" t="s">
        <v>32</v>
      </c>
      <c r="B944" s="14">
        <v>757</v>
      </c>
      <c r="C944" s="15" t="s">
        <v>44</v>
      </c>
      <c r="D944" s="15" t="s">
        <v>19</v>
      </c>
      <c r="E944" s="15" t="s">
        <v>523</v>
      </c>
      <c r="F944" s="15" t="s">
        <v>33</v>
      </c>
      <c r="G944" s="87">
        <v>0</v>
      </c>
      <c r="H944" s="70">
        <f>'прил 5,'!H247</f>
        <v>0</v>
      </c>
      <c r="I944" s="70">
        <f>'прил 5,'!I247</f>
        <v>0</v>
      </c>
      <c r="J944" s="1"/>
    </row>
    <row r="945" spans="1:10" ht="82.5" hidden="1" customHeight="1">
      <c r="A945" s="16" t="s">
        <v>576</v>
      </c>
      <c r="B945" s="14">
        <v>757</v>
      </c>
      <c r="C945" s="15" t="s">
        <v>44</v>
      </c>
      <c r="D945" s="15" t="s">
        <v>19</v>
      </c>
      <c r="E945" s="15" t="s">
        <v>575</v>
      </c>
      <c r="F945" s="15"/>
      <c r="G945" s="85">
        <f>G946+G951+G954+G957</f>
        <v>0</v>
      </c>
      <c r="H945" s="8">
        <f t="shared" ref="H945:I945" si="265">H946</f>
        <v>0</v>
      </c>
      <c r="I945" s="8">
        <f t="shared" si="265"/>
        <v>0</v>
      </c>
      <c r="J945" s="1"/>
    </row>
    <row r="946" spans="1:10" ht="91.5" hidden="1" customHeight="1">
      <c r="A946" s="23" t="s">
        <v>574</v>
      </c>
      <c r="B946" s="14">
        <v>757</v>
      </c>
      <c r="C946" s="15" t="s">
        <v>44</v>
      </c>
      <c r="D946" s="15" t="s">
        <v>19</v>
      </c>
      <c r="E946" s="15" t="s">
        <v>573</v>
      </c>
      <c r="F946" s="14"/>
      <c r="G946" s="85">
        <f>G947+G949</f>
        <v>0</v>
      </c>
      <c r="H946" s="85">
        <v>0</v>
      </c>
      <c r="I946" s="85">
        <v>0</v>
      </c>
      <c r="J946" s="1"/>
    </row>
    <row r="947" spans="1:10" ht="25.5" hidden="1">
      <c r="A947" s="16" t="s">
        <v>30</v>
      </c>
      <c r="B947" s="14">
        <v>757</v>
      </c>
      <c r="C947" s="15" t="s">
        <v>44</v>
      </c>
      <c r="D947" s="15" t="s">
        <v>19</v>
      </c>
      <c r="E947" s="15" t="s">
        <v>573</v>
      </c>
      <c r="F947" s="15" t="s">
        <v>31</v>
      </c>
      <c r="G947" s="85">
        <f>G948</f>
        <v>0</v>
      </c>
      <c r="H947" s="8">
        <f>H948</f>
        <v>0</v>
      </c>
      <c r="I947" s="8">
        <f>I948</f>
        <v>0</v>
      </c>
      <c r="J947" s="1"/>
    </row>
    <row r="948" spans="1:10" hidden="1">
      <c r="A948" s="16" t="s">
        <v>32</v>
      </c>
      <c r="B948" s="14">
        <v>757</v>
      </c>
      <c r="C948" s="15" t="s">
        <v>44</v>
      </c>
      <c r="D948" s="15" t="s">
        <v>19</v>
      </c>
      <c r="E948" s="15" t="s">
        <v>573</v>
      </c>
      <c r="F948" s="15" t="s">
        <v>33</v>
      </c>
      <c r="G948" s="85">
        <f>'прил 5,'!G173</f>
        <v>0</v>
      </c>
      <c r="H948" s="85">
        <v>0</v>
      </c>
      <c r="I948" s="85">
        <v>0</v>
      </c>
      <c r="J948" s="1"/>
    </row>
    <row r="949" spans="1:10" hidden="1">
      <c r="A949" s="16" t="s">
        <v>156</v>
      </c>
      <c r="B949" s="14">
        <v>757</v>
      </c>
      <c r="C949" s="15" t="s">
        <v>44</v>
      </c>
      <c r="D949" s="15" t="s">
        <v>19</v>
      </c>
      <c r="E949" s="15" t="s">
        <v>573</v>
      </c>
      <c r="F949" s="15" t="s">
        <v>157</v>
      </c>
      <c r="G949" s="85">
        <f>G950</f>
        <v>0</v>
      </c>
      <c r="H949" s="85">
        <v>0</v>
      </c>
      <c r="I949" s="85">
        <v>0</v>
      </c>
      <c r="J949" s="1"/>
    </row>
    <row r="950" spans="1:10" hidden="1">
      <c r="A950" s="16" t="s">
        <v>170</v>
      </c>
      <c r="B950" s="14">
        <v>757</v>
      </c>
      <c r="C950" s="15" t="s">
        <v>44</v>
      </c>
      <c r="D950" s="15" t="s">
        <v>19</v>
      </c>
      <c r="E950" s="15" t="s">
        <v>573</v>
      </c>
      <c r="F950" s="15" t="s">
        <v>171</v>
      </c>
      <c r="G950" s="85">
        <f>'прил 5,'!G175</f>
        <v>0</v>
      </c>
      <c r="H950" s="85">
        <v>0</v>
      </c>
      <c r="I950" s="85">
        <v>0</v>
      </c>
      <c r="J950" s="1"/>
    </row>
    <row r="951" spans="1:10" ht="91.5" hidden="1" customHeight="1">
      <c r="A951" s="23" t="s">
        <v>578</v>
      </c>
      <c r="B951" s="14">
        <v>757</v>
      </c>
      <c r="C951" s="15" t="s">
        <v>44</v>
      </c>
      <c r="D951" s="15" t="s">
        <v>19</v>
      </c>
      <c r="E951" s="15" t="s">
        <v>577</v>
      </c>
      <c r="F951" s="14"/>
      <c r="G951" s="85">
        <f>G952</f>
        <v>0</v>
      </c>
      <c r="H951" s="85">
        <v>0</v>
      </c>
      <c r="I951" s="85">
        <v>0</v>
      </c>
      <c r="J951" s="1"/>
    </row>
    <row r="952" spans="1:10" ht="25.5" hidden="1">
      <c r="A952" s="16" t="s">
        <v>30</v>
      </c>
      <c r="B952" s="14">
        <v>757</v>
      </c>
      <c r="C952" s="15" t="s">
        <v>44</v>
      </c>
      <c r="D952" s="15" t="s">
        <v>19</v>
      </c>
      <c r="E952" s="15" t="s">
        <v>577</v>
      </c>
      <c r="F952" s="15" t="s">
        <v>31</v>
      </c>
      <c r="G952" s="85">
        <f>G953</f>
        <v>0</v>
      </c>
      <c r="H952" s="8">
        <f>H953</f>
        <v>0</v>
      </c>
      <c r="I952" s="8">
        <f>I953</f>
        <v>0</v>
      </c>
      <c r="J952" s="1"/>
    </row>
    <row r="953" spans="1:10" hidden="1">
      <c r="A953" s="16" t="s">
        <v>32</v>
      </c>
      <c r="B953" s="14">
        <v>757</v>
      </c>
      <c r="C953" s="15" t="s">
        <v>44</v>
      </c>
      <c r="D953" s="15" t="s">
        <v>19</v>
      </c>
      <c r="E953" s="15" t="s">
        <v>577</v>
      </c>
      <c r="F953" s="15" t="s">
        <v>33</v>
      </c>
      <c r="G953" s="85">
        <f>'прил 5,'!G178</f>
        <v>0</v>
      </c>
      <c r="H953" s="85">
        <v>0</v>
      </c>
      <c r="I953" s="85">
        <v>0</v>
      </c>
      <c r="J953" s="1"/>
    </row>
    <row r="954" spans="1:10" ht="91.5" hidden="1" customHeight="1">
      <c r="A954" s="23" t="s">
        <v>579</v>
      </c>
      <c r="B954" s="14">
        <v>757</v>
      </c>
      <c r="C954" s="15" t="s">
        <v>44</v>
      </c>
      <c r="D954" s="15" t="s">
        <v>19</v>
      </c>
      <c r="E954" s="15" t="s">
        <v>580</v>
      </c>
      <c r="F954" s="14"/>
      <c r="G954" s="85">
        <f>G955</f>
        <v>0</v>
      </c>
      <c r="H954" s="85">
        <v>0</v>
      </c>
      <c r="I954" s="85">
        <v>0</v>
      </c>
      <c r="J954" s="1"/>
    </row>
    <row r="955" spans="1:10" ht="25.5" hidden="1">
      <c r="A955" s="16" t="s">
        <v>30</v>
      </c>
      <c r="B955" s="14">
        <v>757</v>
      </c>
      <c r="C955" s="15" t="s">
        <v>44</v>
      </c>
      <c r="D955" s="15" t="s">
        <v>19</v>
      </c>
      <c r="E955" s="15" t="s">
        <v>580</v>
      </c>
      <c r="F955" s="15" t="s">
        <v>31</v>
      </c>
      <c r="G955" s="85">
        <f>G956</f>
        <v>0</v>
      </c>
      <c r="H955" s="8">
        <f>H956</f>
        <v>0</v>
      </c>
      <c r="I955" s="8">
        <f>I956</f>
        <v>0</v>
      </c>
      <c r="J955" s="1"/>
    </row>
    <row r="956" spans="1:10" hidden="1">
      <c r="A956" s="16" t="s">
        <v>32</v>
      </c>
      <c r="B956" s="14">
        <v>757</v>
      </c>
      <c r="C956" s="15" t="s">
        <v>44</v>
      </c>
      <c r="D956" s="15" t="s">
        <v>19</v>
      </c>
      <c r="E956" s="15" t="s">
        <v>580</v>
      </c>
      <c r="F956" s="15" t="s">
        <v>33</v>
      </c>
      <c r="G956" s="85">
        <f>'прил 5,'!G181</f>
        <v>0</v>
      </c>
      <c r="H956" s="85">
        <v>0</v>
      </c>
      <c r="I956" s="85">
        <v>0</v>
      </c>
      <c r="J956" s="1"/>
    </row>
    <row r="957" spans="1:10" ht="68.25" hidden="1" customHeight="1">
      <c r="A957" s="23" t="s">
        <v>582</v>
      </c>
      <c r="B957" s="14">
        <v>757</v>
      </c>
      <c r="C957" s="15" t="s">
        <v>44</v>
      </c>
      <c r="D957" s="15" t="s">
        <v>19</v>
      </c>
      <c r="E957" s="15" t="s">
        <v>581</v>
      </c>
      <c r="F957" s="14"/>
      <c r="G957" s="85">
        <f>G960+G958</f>
        <v>0</v>
      </c>
      <c r="H957" s="85">
        <f t="shared" ref="H957:I957" si="266">H960+H958</f>
        <v>0</v>
      </c>
      <c r="I957" s="85">
        <f t="shared" si="266"/>
        <v>0</v>
      </c>
      <c r="J957" s="1"/>
    </row>
    <row r="958" spans="1:10" ht="19.5" hidden="1" customHeight="1">
      <c r="A958" s="130" t="s">
        <v>156</v>
      </c>
      <c r="B958" s="14">
        <v>757</v>
      </c>
      <c r="C958" s="15" t="s">
        <v>44</v>
      </c>
      <c r="D958" s="15" t="s">
        <v>19</v>
      </c>
      <c r="E958" s="15" t="s">
        <v>581</v>
      </c>
      <c r="F958" s="14">
        <v>500</v>
      </c>
      <c r="G958" s="85">
        <f>G959</f>
        <v>0</v>
      </c>
      <c r="H958" s="70"/>
      <c r="I958" s="70"/>
      <c r="J958" s="1"/>
    </row>
    <row r="959" spans="1:10" ht="21.75" hidden="1" customHeight="1">
      <c r="A959" s="130" t="s">
        <v>178</v>
      </c>
      <c r="B959" s="14">
        <v>757</v>
      </c>
      <c r="C959" s="15" t="s">
        <v>44</v>
      </c>
      <c r="D959" s="15" t="s">
        <v>19</v>
      </c>
      <c r="E959" s="15" t="s">
        <v>581</v>
      </c>
      <c r="F959" s="14">
        <v>520</v>
      </c>
      <c r="G959" s="85">
        <f>'прил 5,'!G185</f>
        <v>0</v>
      </c>
      <c r="H959" s="70"/>
      <c r="I959" s="70"/>
      <c r="J959" s="1"/>
    </row>
    <row r="960" spans="1:10" hidden="1">
      <c r="A960" s="16" t="s">
        <v>63</v>
      </c>
      <c r="B960" s="14">
        <v>757</v>
      </c>
      <c r="C960" s="15" t="s">
        <v>44</v>
      </c>
      <c r="D960" s="15" t="s">
        <v>19</v>
      </c>
      <c r="E960" s="15" t="s">
        <v>581</v>
      </c>
      <c r="F960" s="15" t="s">
        <v>64</v>
      </c>
      <c r="G960" s="85">
        <f>G961</f>
        <v>0</v>
      </c>
      <c r="H960" s="8">
        <f>H961</f>
        <v>0</v>
      </c>
      <c r="I960" s="8">
        <f>I961</f>
        <v>0</v>
      </c>
      <c r="J960" s="1"/>
    </row>
    <row r="961" spans="1:20" hidden="1">
      <c r="A961" s="16" t="s">
        <v>180</v>
      </c>
      <c r="B961" s="14">
        <v>757</v>
      </c>
      <c r="C961" s="15" t="s">
        <v>44</v>
      </c>
      <c r="D961" s="15" t="s">
        <v>19</v>
      </c>
      <c r="E961" s="15" t="s">
        <v>581</v>
      </c>
      <c r="F961" s="15" t="s">
        <v>181</v>
      </c>
      <c r="G961" s="85">
        <f>'прил 5,'!G189</f>
        <v>0</v>
      </c>
      <c r="H961" s="85">
        <v>0</v>
      </c>
      <c r="I961" s="85">
        <v>0</v>
      </c>
      <c r="J961" s="1"/>
    </row>
    <row r="962" spans="1:20" ht="84" hidden="1" customHeight="1">
      <c r="A962" s="16" t="s">
        <v>512</v>
      </c>
      <c r="B962" s="14">
        <v>757</v>
      </c>
      <c r="C962" s="15" t="s">
        <v>26</v>
      </c>
      <c r="D962" s="15" t="s">
        <v>70</v>
      </c>
      <c r="E962" s="15" t="s">
        <v>688</v>
      </c>
      <c r="F962" s="15"/>
      <c r="G962" s="70">
        <f>G963</f>
        <v>0</v>
      </c>
      <c r="H962" s="70">
        <v>0</v>
      </c>
      <c r="I962" s="70">
        <v>0</v>
      </c>
      <c r="J962" s="1"/>
    </row>
    <row r="963" spans="1:20" ht="60" hidden="1" customHeight="1">
      <c r="A963" s="16" t="s">
        <v>30</v>
      </c>
      <c r="B963" s="14">
        <v>757</v>
      </c>
      <c r="C963" s="15" t="s">
        <v>26</v>
      </c>
      <c r="D963" s="15" t="s">
        <v>70</v>
      </c>
      <c r="E963" s="15" t="s">
        <v>688</v>
      </c>
      <c r="F963" s="15" t="s">
        <v>31</v>
      </c>
      <c r="G963" s="70">
        <f>G964</f>
        <v>0</v>
      </c>
      <c r="H963" s="70">
        <v>0</v>
      </c>
      <c r="I963" s="70">
        <v>0</v>
      </c>
      <c r="J963" s="70">
        <f t="shared" ref="J963:K963" si="267">J964</f>
        <v>0</v>
      </c>
      <c r="K963" s="70">
        <f t="shared" si="267"/>
        <v>0</v>
      </c>
    </row>
    <row r="964" spans="1:20" ht="60" hidden="1" customHeight="1">
      <c r="A964" s="16" t="s">
        <v>32</v>
      </c>
      <c r="B964" s="14">
        <v>757</v>
      </c>
      <c r="C964" s="15" t="s">
        <v>26</v>
      </c>
      <c r="D964" s="15" t="s">
        <v>70</v>
      </c>
      <c r="E964" s="15" t="s">
        <v>688</v>
      </c>
      <c r="F964" s="15" t="s">
        <v>33</v>
      </c>
      <c r="G964" s="70"/>
      <c r="H964" s="70"/>
      <c r="I964" s="70"/>
      <c r="J964" s="1"/>
    </row>
    <row r="965" spans="1:20" ht="28.5" customHeight="1">
      <c r="A965" s="16" t="s">
        <v>932</v>
      </c>
      <c r="B965" s="14">
        <v>757</v>
      </c>
      <c r="C965" s="15" t="s">
        <v>44</v>
      </c>
      <c r="D965" s="15" t="s">
        <v>19</v>
      </c>
      <c r="E965" s="15" t="s">
        <v>931</v>
      </c>
      <c r="F965" s="15"/>
      <c r="G965" s="70">
        <f>G966</f>
        <v>12715225.859999999</v>
      </c>
      <c r="H965" s="70">
        <f t="shared" ref="H965:I965" si="268">H966</f>
        <v>0</v>
      </c>
      <c r="I965" s="70">
        <f t="shared" si="268"/>
        <v>0</v>
      </c>
      <c r="J965" s="1"/>
    </row>
    <row r="966" spans="1:20" ht="42" customHeight="1">
      <c r="A966" s="16" t="s">
        <v>30</v>
      </c>
      <c r="B966" s="14">
        <v>757</v>
      </c>
      <c r="C966" s="15" t="s">
        <v>44</v>
      </c>
      <c r="D966" s="15" t="s">
        <v>19</v>
      </c>
      <c r="E966" s="15" t="s">
        <v>931</v>
      </c>
      <c r="F966" s="15" t="s">
        <v>31</v>
      </c>
      <c r="G966" s="70">
        <f>G967</f>
        <v>12715225.859999999</v>
      </c>
      <c r="H966" s="70">
        <f t="shared" ref="H966:I966" si="269">H967</f>
        <v>0</v>
      </c>
      <c r="I966" s="70">
        <f t="shared" si="269"/>
        <v>0</v>
      </c>
      <c r="J966" s="70">
        <f t="shared" ref="J966:K966" si="270">J967</f>
        <v>0</v>
      </c>
      <c r="K966" s="70">
        <f t="shared" si="270"/>
        <v>0</v>
      </c>
    </row>
    <row r="967" spans="1:20" ht="30" customHeight="1">
      <c r="A967" s="16" t="s">
        <v>32</v>
      </c>
      <c r="B967" s="14">
        <v>757</v>
      </c>
      <c r="C967" s="15" t="s">
        <v>44</v>
      </c>
      <c r="D967" s="15" t="s">
        <v>19</v>
      </c>
      <c r="E967" s="15" t="s">
        <v>931</v>
      </c>
      <c r="F967" s="15" t="s">
        <v>33</v>
      </c>
      <c r="G967" s="70">
        <f>'прил 5,'!G256</f>
        <v>12715225.859999999</v>
      </c>
      <c r="H967" s="70">
        <f>'прил 5,'!H256</f>
        <v>0</v>
      </c>
      <c r="I967" s="70">
        <f>'прил 5,'!I256</f>
        <v>0</v>
      </c>
      <c r="J967" s="1"/>
    </row>
    <row r="968" spans="1:20" ht="52.5" customHeight="1">
      <c r="A968" s="16" t="s">
        <v>692</v>
      </c>
      <c r="B968" s="14">
        <v>757</v>
      </c>
      <c r="C968" s="15" t="s">
        <v>44</v>
      </c>
      <c r="D968" s="15" t="s">
        <v>19</v>
      </c>
      <c r="E968" s="15" t="s">
        <v>691</v>
      </c>
      <c r="F968" s="15"/>
      <c r="G968" s="70">
        <f>G969</f>
        <v>0</v>
      </c>
      <c r="H968" s="70">
        <f t="shared" ref="H968:K969" si="271">H969</f>
        <v>5261649.8699999992</v>
      </c>
      <c r="I968" s="70">
        <f t="shared" si="271"/>
        <v>0</v>
      </c>
      <c r="J968" s="1"/>
    </row>
    <row r="969" spans="1:20" ht="36" customHeight="1">
      <c r="A969" s="16" t="s">
        <v>30</v>
      </c>
      <c r="B969" s="14">
        <v>757</v>
      </c>
      <c r="C969" s="15" t="s">
        <v>44</v>
      </c>
      <c r="D969" s="15" t="s">
        <v>19</v>
      </c>
      <c r="E969" s="15" t="s">
        <v>691</v>
      </c>
      <c r="F969" s="15" t="s">
        <v>31</v>
      </c>
      <c r="G969" s="70">
        <f>G970</f>
        <v>0</v>
      </c>
      <c r="H969" s="70">
        <f t="shared" si="271"/>
        <v>5261649.8699999992</v>
      </c>
      <c r="I969" s="70">
        <f t="shared" si="271"/>
        <v>0</v>
      </c>
      <c r="J969" s="70">
        <f t="shared" si="271"/>
        <v>0</v>
      </c>
      <c r="K969" s="70">
        <f t="shared" si="271"/>
        <v>0</v>
      </c>
    </row>
    <row r="970" spans="1:20" ht="26.25" customHeight="1">
      <c r="A970" s="16" t="s">
        <v>32</v>
      </c>
      <c r="B970" s="14">
        <v>757</v>
      </c>
      <c r="C970" s="15" t="s">
        <v>44</v>
      </c>
      <c r="D970" s="15" t="s">
        <v>19</v>
      </c>
      <c r="E970" s="15" t="s">
        <v>691</v>
      </c>
      <c r="F970" s="15" t="s">
        <v>33</v>
      </c>
      <c r="G970" s="70">
        <f>'прил 5,'!G259</f>
        <v>0</v>
      </c>
      <c r="H970" s="70">
        <f>'прил 5,'!H259</f>
        <v>5261649.8699999992</v>
      </c>
      <c r="I970" s="70">
        <f>'прил 5,'!I259</f>
        <v>0</v>
      </c>
      <c r="J970" s="1"/>
    </row>
    <row r="971" spans="1:20" ht="84" hidden="1" customHeight="1">
      <c r="A971" s="16" t="s">
        <v>690</v>
      </c>
      <c r="B971" s="14">
        <v>757</v>
      </c>
      <c r="C971" s="15" t="s">
        <v>26</v>
      </c>
      <c r="D971" s="15" t="s">
        <v>70</v>
      </c>
      <c r="E971" s="15" t="s">
        <v>689</v>
      </c>
      <c r="F971" s="15"/>
      <c r="G971" s="70">
        <f>G972</f>
        <v>0</v>
      </c>
      <c r="H971" s="70">
        <f>H972</f>
        <v>0</v>
      </c>
      <c r="I971" s="70">
        <f>I972</f>
        <v>0</v>
      </c>
      <c r="J971" s="1"/>
    </row>
    <row r="972" spans="1:20" ht="60" hidden="1" customHeight="1">
      <c r="A972" s="16" t="s">
        <v>30</v>
      </c>
      <c r="B972" s="14">
        <v>757</v>
      </c>
      <c r="C972" s="15" t="s">
        <v>26</v>
      </c>
      <c r="D972" s="15" t="s">
        <v>70</v>
      </c>
      <c r="E972" s="15" t="s">
        <v>689</v>
      </c>
      <c r="F972" s="15" t="s">
        <v>31</v>
      </c>
      <c r="G972" s="70">
        <f>G973</f>
        <v>0</v>
      </c>
      <c r="H972" s="70">
        <f t="shared" ref="H972:K972" si="272">H973</f>
        <v>0</v>
      </c>
      <c r="I972" s="70">
        <f t="shared" si="272"/>
        <v>0</v>
      </c>
      <c r="J972" s="70">
        <f t="shared" si="272"/>
        <v>0</v>
      </c>
      <c r="K972" s="70">
        <f t="shared" si="272"/>
        <v>0</v>
      </c>
    </row>
    <row r="973" spans="1:20" ht="60" hidden="1" customHeight="1">
      <c r="A973" s="16" t="s">
        <v>32</v>
      </c>
      <c r="B973" s="14">
        <v>757</v>
      </c>
      <c r="C973" s="15" t="s">
        <v>26</v>
      </c>
      <c r="D973" s="15" t="s">
        <v>70</v>
      </c>
      <c r="E973" s="15" t="s">
        <v>689</v>
      </c>
      <c r="F973" s="15" t="s">
        <v>33</v>
      </c>
      <c r="G973" s="70"/>
      <c r="H973" s="70"/>
      <c r="I973" s="70"/>
      <c r="J973" s="1"/>
    </row>
    <row r="974" spans="1:20" ht="28.5" customHeight="1">
      <c r="A974" s="16" t="s">
        <v>939</v>
      </c>
      <c r="B974" s="14">
        <v>757</v>
      </c>
      <c r="C974" s="15" t="s">
        <v>44</v>
      </c>
      <c r="D974" s="15" t="s">
        <v>19</v>
      </c>
      <c r="E974" s="15" t="s">
        <v>938</v>
      </c>
      <c r="F974" s="15"/>
      <c r="G974" s="70">
        <f>G975</f>
        <v>65359.48</v>
      </c>
      <c r="H974" s="70">
        <f t="shared" ref="H974:I974" si="273">H975</f>
        <v>0</v>
      </c>
      <c r="I974" s="70">
        <f t="shared" si="273"/>
        <v>0</v>
      </c>
      <c r="J974" s="177"/>
      <c r="K974" s="186"/>
      <c r="L974" s="186"/>
      <c r="M974" s="186"/>
      <c r="N974" s="186"/>
      <c r="O974" s="186"/>
      <c r="P974" s="186"/>
      <c r="Q974" s="186"/>
      <c r="R974" s="186"/>
      <c r="S974" s="1"/>
      <c r="T974" s="1"/>
    </row>
    <row r="975" spans="1:20" ht="36" customHeight="1">
      <c r="A975" s="16" t="s">
        <v>940</v>
      </c>
      <c r="B975" s="14">
        <v>757</v>
      </c>
      <c r="C975" s="15" t="s">
        <v>44</v>
      </c>
      <c r="D975" s="15" t="s">
        <v>19</v>
      </c>
      <c r="E975" s="15" t="s">
        <v>937</v>
      </c>
      <c r="F975" s="15"/>
      <c r="G975" s="70">
        <f>G976</f>
        <v>65359.48</v>
      </c>
      <c r="H975" s="70">
        <f t="shared" ref="H975:I976" si="274">H976</f>
        <v>0</v>
      </c>
      <c r="I975" s="70">
        <f t="shared" si="274"/>
        <v>0</v>
      </c>
      <c r="J975" s="177"/>
      <c r="K975" s="186"/>
      <c r="L975" s="186"/>
      <c r="M975" s="186"/>
      <c r="N975" s="186"/>
      <c r="O975" s="186"/>
      <c r="P975" s="186"/>
      <c r="Q975" s="186"/>
      <c r="R975" s="186"/>
      <c r="S975" s="1"/>
      <c r="T975" s="1"/>
    </row>
    <row r="976" spans="1:20" ht="41.25" customHeight="1">
      <c r="A976" s="16" t="s">
        <v>30</v>
      </c>
      <c r="B976" s="14">
        <v>757</v>
      </c>
      <c r="C976" s="15" t="s">
        <v>44</v>
      </c>
      <c r="D976" s="15" t="s">
        <v>19</v>
      </c>
      <c r="E976" s="15" t="s">
        <v>937</v>
      </c>
      <c r="F976" s="15" t="s">
        <v>31</v>
      </c>
      <c r="G976" s="70">
        <f>G977</f>
        <v>65359.48</v>
      </c>
      <c r="H976" s="70">
        <f t="shared" si="274"/>
        <v>0</v>
      </c>
      <c r="I976" s="70">
        <f t="shared" si="274"/>
        <v>0</v>
      </c>
      <c r="J976" s="177"/>
      <c r="K976" s="177"/>
      <c r="L976" s="177"/>
      <c r="M976" s="186"/>
      <c r="N976" s="186"/>
      <c r="O976" s="186"/>
      <c r="P976" s="186"/>
      <c r="Q976" s="186"/>
      <c r="R976" s="186"/>
      <c r="S976" s="1"/>
      <c r="T976" s="1"/>
    </row>
    <row r="977" spans="1:20" ht="22.5" customHeight="1">
      <c r="A977" s="16" t="s">
        <v>32</v>
      </c>
      <c r="B977" s="14">
        <v>757</v>
      </c>
      <c r="C977" s="15" t="s">
        <v>44</v>
      </c>
      <c r="D977" s="15" t="s">
        <v>19</v>
      </c>
      <c r="E977" s="15" t="s">
        <v>937</v>
      </c>
      <c r="F977" s="15" t="s">
        <v>33</v>
      </c>
      <c r="G977" s="70">
        <v>65359.48</v>
      </c>
      <c r="H977" s="70">
        <v>0</v>
      </c>
      <c r="I977" s="70">
        <v>0</v>
      </c>
      <c r="J977" s="177"/>
      <c r="K977" s="186"/>
      <c r="L977" s="186"/>
      <c r="M977" s="186"/>
      <c r="N977" s="186"/>
      <c r="O977" s="186"/>
      <c r="P977" s="186"/>
      <c r="Q977" s="186"/>
      <c r="R977" s="186"/>
      <c r="S977" s="1"/>
      <c r="T977" s="1"/>
    </row>
    <row r="978" spans="1:20" ht="37.5" customHeight="1">
      <c r="A978" s="16" t="s">
        <v>184</v>
      </c>
      <c r="B978" s="14">
        <v>757</v>
      </c>
      <c r="C978" s="15" t="s">
        <v>44</v>
      </c>
      <c r="D978" s="15" t="s">
        <v>19</v>
      </c>
      <c r="E978" s="15" t="s">
        <v>183</v>
      </c>
      <c r="F978" s="15"/>
      <c r="G978" s="8">
        <f>G979</f>
        <v>0</v>
      </c>
      <c r="H978" s="8">
        <f t="shared" ref="H978:I979" si="275">H979</f>
        <v>1470600</v>
      </c>
      <c r="I978" s="8">
        <f t="shared" si="275"/>
        <v>0</v>
      </c>
      <c r="J978" s="1"/>
    </row>
    <row r="979" spans="1:20" ht="25.5">
      <c r="A979" s="16" t="s">
        <v>30</v>
      </c>
      <c r="B979" s="14">
        <v>757</v>
      </c>
      <c r="C979" s="15" t="s">
        <v>44</v>
      </c>
      <c r="D979" s="15" t="s">
        <v>19</v>
      </c>
      <c r="E979" s="15" t="s">
        <v>183</v>
      </c>
      <c r="F979" s="15" t="s">
        <v>31</v>
      </c>
      <c r="G979" s="8">
        <f>G980</f>
        <v>0</v>
      </c>
      <c r="H979" s="8">
        <f t="shared" si="275"/>
        <v>1470600</v>
      </c>
      <c r="I979" s="8">
        <f t="shared" si="275"/>
        <v>0</v>
      </c>
      <c r="J979" s="1"/>
    </row>
    <row r="980" spans="1:20">
      <c r="A980" s="16" t="s">
        <v>32</v>
      </c>
      <c r="B980" s="14">
        <v>757</v>
      </c>
      <c r="C980" s="15" t="s">
        <v>44</v>
      </c>
      <c r="D980" s="15" t="s">
        <v>19</v>
      </c>
      <c r="E980" s="15" t="s">
        <v>183</v>
      </c>
      <c r="F980" s="15" t="s">
        <v>33</v>
      </c>
      <c r="G980" s="8">
        <f>'прил 5,'!G253</f>
        <v>0</v>
      </c>
      <c r="H980" s="8">
        <f>'прил 5,'!H253</f>
        <v>1470600</v>
      </c>
      <c r="I980" s="8">
        <f>'прил 5,'!I253</f>
        <v>0</v>
      </c>
      <c r="J980" s="1"/>
    </row>
    <row r="981" spans="1:20" ht="101.25" hidden="1" customHeight="1">
      <c r="A981" s="16" t="s">
        <v>272</v>
      </c>
      <c r="B981" s="14">
        <v>757</v>
      </c>
      <c r="C981" s="15" t="s">
        <v>26</v>
      </c>
      <c r="D981" s="15" t="s">
        <v>70</v>
      </c>
      <c r="E981" s="15" t="s">
        <v>773</v>
      </c>
      <c r="F981" s="15"/>
      <c r="G981" s="70">
        <f>G982</f>
        <v>0</v>
      </c>
      <c r="H981" s="70">
        <f t="shared" ref="H981:K982" si="276">H982</f>
        <v>0</v>
      </c>
      <c r="I981" s="70">
        <f t="shared" si="276"/>
        <v>0</v>
      </c>
      <c r="J981" s="1"/>
    </row>
    <row r="982" spans="1:20" ht="47.25" hidden="1" customHeight="1">
      <c r="A982" s="16" t="s">
        <v>30</v>
      </c>
      <c r="B982" s="14">
        <v>757</v>
      </c>
      <c r="C982" s="15" t="s">
        <v>26</v>
      </c>
      <c r="D982" s="15" t="s">
        <v>70</v>
      </c>
      <c r="E982" s="15" t="s">
        <v>773</v>
      </c>
      <c r="F982" s="15" t="s">
        <v>31</v>
      </c>
      <c r="G982" s="70">
        <f>G983</f>
        <v>0</v>
      </c>
      <c r="H982" s="70">
        <f t="shared" si="276"/>
        <v>0</v>
      </c>
      <c r="I982" s="70">
        <f t="shared" si="276"/>
        <v>0</v>
      </c>
      <c r="J982" s="70">
        <f t="shared" si="276"/>
        <v>0</v>
      </c>
      <c r="K982" s="70">
        <f t="shared" si="276"/>
        <v>0</v>
      </c>
    </row>
    <row r="983" spans="1:20" ht="41.25" hidden="1" customHeight="1">
      <c r="A983" s="16" t="s">
        <v>32</v>
      </c>
      <c r="B983" s="14">
        <v>757</v>
      </c>
      <c r="C983" s="15" t="s">
        <v>26</v>
      </c>
      <c r="D983" s="15" t="s">
        <v>70</v>
      </c>
      <c r="E983" s="15" t="s">
        <v>773</v>
      </c>
      <c r="F983" s="15" t="s">
        <v>33</v>
      </c>
      <c r="G983" s="70"/>
      <c r="H983" s="70">
        <v>0</v>
      </c>
      <c r="I983" s="70"/>
      <c r="J983" s="1"/>
    </row>
    <row r="984" spans="1:20" s="3" customFormat="1" ht="49.5" hidden="1" customHeight="1">
      <c r="A984" s="140" t="s">
        <v>891</v>
      </c>
      <c r="B984" s="14">
        <v>757</v>
      </c>
      <c r="C984" s="15" t="s">
        <v>44</v>
      </c>
      <c r="D984" s="15" t="s">
        <v>19</v>
      </c>
      <c r="E984" s="15" t="s">
        <v>890</v>
      </c>
      <c r="F984" s="15"/>
      <c r="G984" s="25">
        <f>G985</f>
        <v>0</v>
      </c>
      <c r="H984" s="25">
        <f t="shared" ref="G984:I985" si="277">H985</f>
        <v>0</v>
      </c>
      <c r="I984" s="25">
        <f t="shared" si="277"/>
        <v>0</v>
      </c>
    </row>
    <row r="985" spans="1:20" ht="25.5" hidden="1">
      <c r="A985" s="82" t="s">
        <v>30</v>
      </c>
      <c r="B985" s="14">
        <v>757</v>
      </c>
      <c r="C985" s="15" t="s">
        <v>44</v>
      </c>
      <c r="D985" s="15" t="s">
        <v>19</v>
      </c>
      <c r="E985" s="15" t="s">
        <v>890</v>
      </c>
      <c r="F985" s="15" t="s">
        <v>31</v>
      </c>
      <c r="G985" s="8">
        <f t="shared" si="277"/>
        <v>0</v>
      </c>
      <c r="H985" s="8">
        <f t="shared" si="277"/>
        <v>0</v>
      </c>
      <c r="I985" s="8">
        <f t="shared" si="277"/>
        <v>0</v>
      </c>
      <c r="J985" s="1"/>
      <c r="P985" s="1"/>
      <c r="Q985" s="1"/>
      <c r="R985" s="1"/>
      <c r="S985" s="1"/>
      <c r="T985" s="1"/>
    </row>
    <row r="986" spans="1:20" hidden="1">
      <c r="A986" s="82" t="s">
        <v>32</v>
      </c>
      <c r="B986" s="14">
        <v>757</v>
      </c>
      <c r="C986" s="15" t="s">
        <v>44</v>
      </c>
      <c r="D986" s="15" t="s">
        <v>19</v>
      </c>
      <c r="E986" s="15" t="s">
        <v>890</v>
      </c>
      <c r="F986" s="15" t="s">
        <v>33</v>
      </c>
      <c r="G986" s="171">
        <v>0</v>
      </c>
      <c r="H986" s="171"/>
      <c r="I986" s="171">
        <v>0</v>
      </c>
      <c r="J986" s="1"/>
      <c r="P986" s="1"/>
      <c r="Q986" s="1"/>
      <c r="R986" s="1"/>
      <c r="S986" s="1"/>
      <c r="T986" s="1"/>
    </row>
    <row r="987" spans="1:20" ht="101.25" hidden="1" customHeight="1">
      <c r="A987" s="16" t="s">
        <v>272</v>
      </c>
      <c r="B987" s="14">
        <v>757</v>
      </c>
      <c r="C987" s="15" t="s">
        <v>26</v>
      </c>
      <c r="D987" s="15" t="s">
        <v>70</v>
      </c>
      <c r="E987" s="15" t="s">
        <v>593</v>
      </c>
      <c r="F987" s="15"/>
      <c r="G987" s="70">
        <f>G988+G991</f>
        <v>0</v>
      </c>
      <c r="H987" s="70">
        <f t="shared" ref="H987:K988" si="278">H988</f>
        <v>0</v>
      </c>
      <c r="I987" s="70">
        <f t="shared" si="278"/>
        <v>0</v>
      </c>
      <c r="J987" s="1"/>
    </row>
    <row r="988" spans="1:20" ht="47.25" hidden="1" customHeight="1">
      <c r="A988" s="16" t="s">
        <v>30</v>
      </c>
      <c r="B988" s="14">
        <v>757</v>
      </c>
      <c r="C988" s="15" t="s">
        <v>26</v>
      </c>
      <c r="D988" s="15" t="s">
        <v>70</v>
      </c>
      <c r="E988" s="15" t="s">
        <v>593</v>
      </c>
      <c r="F988" s="15" t="s">
        <v>31</v>
      </c>
      <c r="G988" s="70">
        <f>G989</f>
        <v>0</v>
      </c>
      <c r="H988" s="70">
        <f t="shared" si="278"/>
        <v>0</v>
      </c>
      <c r="I988" s="70">
        <f t="shared" si="278"/>
        <v>0</v>
      </c>
      <c r="J988" s="70">
        <f t="shared" si="278"/>
        <v>0</v>
      </c>
      <c r="K988" s="70">
        <f t="shared" si="278"/>
        <v>0</v>
      </c>
    </row>
    <row r="989" spans="1:20" ht="41.25" hidden="1" customHeight="1">
      <c r="A989" s="16" t="s">
        <v>32</v>
      </c>
      <c r="B989" s="14">
        <v>757</v>
      </c>
      <c r="C989" s="15" t="s">
        <v>26</v>
      </c>
      <c r="D989" s="15" t="s">
        <v>70</v>
      </c>
      <c r="E989" s="15" t="s">
        <v>593</v>
      </c>
      <c r="F989" s="15" t="s">
        <v>33</v>
      </c>
      <c r="G989" s="70">
        <f>'прил 5,'!G81</f>
        <v>0</v>
      </c>
      <c r="H989" s="70">
        <f>'прил 5,'!H81</f>
        <v>0</v>
      </c>
      <c r="I989" s="70">
        <f>'прил 5,'!I81</f>
        <v>0</v>
      </c>
      <c r="J989" s="1"/>
    </row>
    <row r="990" spans="1:20" ht="47.25" hidden="1" customHeight="1">
      <c r="A990" s="82" t="s">
        <v>63</v>
      </c>
      <c r="B990" s="14">
        <v>757</v>
      </c>
      <c r="C990" s="15" t="s">
        <v>26</v>
      </c>
      <c r="D990" s="15" t="s">
        <v>70</v>
      </c>
      <c r="E990" s="15" t="s">
        <v>593</v>
      </c>
      <c r="F990" s="15" t="s">
        <v>64</v>
      </c>
      <c r="G990" s="70">
        <f>G991</f>
        <v>0</v>
      </c>
      <c r="H990" s="70">
        <f t="shared" ref="H990:K990" si="279">H991</f>
        <v>0</v>
      </c>
      <c r="I990" s="70">
        <f t="shared" si="279"/>
        <v>0</v>
      </c>
      <c r="J990" s="70">
        <f t="shared" si="279"/>
        <v>0</v>
      </c>
      <c r="K990" s="70">
        <f t="shared" si="279"/>
        <v>0</v>
      </c>
    </row>
    <row r="991" spans="1:20" ht="41.25" hidden="1" customHeight="1">
      <c r="A991" s="82" t="s">
        <v>180</v>
      </c>
      <c r="B991" s="14">
        <v>757</v>
      </c>
      <c r="C991" s="15" t="s">
        <v>26</v>
      </c>
      <c r="D991" s="15" t="s">
        <v>70</v>
      </c>
      <c r="E991" s="15" t="s">
        <v>593</v>
      </c>
      <c r="F991" s="15" t="s">
        <v>181</v>
      </c>
      <c r="G991" s="70">
        <f>'прил 5,'!G83</f>
        <v>0</v>
      </c>
      <c r="H991" s="70">
        <f>'прил 5,'!H83</f>
        <v>0</v>
      </c>
      <c r="I991" s="70">
        <f>'прил 5,'!I83</f>
        <v>0</v>
      </c>
      <c r="J991" s="1"/>
    </row>
    <row r="992" spans="1:20" ht="84" hidden="1" customHeight="1">
      <c r="A992" s="16" t="s">
        <v>775</v>
      </c>
      <c r="B992" s="14">
        <v>757</v>
      </c>
      <c r="C992" s="15" t="s">
        <v>44</v>
      </c>
      <c r="D992" s="15" t="s">
        <v>19</v>
      </c>
      <c r="E992" s="15" t="s">
        <v>774</v>
      </c>
      <c r="F992" s="15"/>
      <c r="G992" s="70">
        <f>G993</f>
        <v>0</v>
      </c>
      <c r="H992" s="70">
        <f t="shared" ref="H992:K993" si="280">H993</f>
        <v>0</v>
      </c>
      <c r="I992" s="70">
        <f t="shared" si="280"/>
        <v>0</v>
      </c>
      <c r="J992" s="1"/>
    </row>
    <row r="993" spans="1:20" ht="60" hidden="1" customHeight="1">
      <c r="A993" s="82" t="s">
        <v>63</v>
      </c>
      <c r="B993" s="14">
        <v>757</v>
      </c>
      <c r="C993" s="15" t="s">
        <v>44</v>
      </c>
      <c r="D993" s="15" t="s">
        <v>19</v>
      </c>
      <c r="E993" s="15" t="s">
        <v>832</v>
      </c>
      <c r="F993" s="15" t="s">
        <v>64</v>
      </c>
      <c r="G993" s="70">
        <f>G994</f>
        <v>0</v>
      </c>
      <c r="H993" s="70">
        <f t="shared" si="280"/>
        <v>0</v>
      </c>
      <c r="I993" s="70">
        <f t="shared" si="280"/>
        <v>0</v>
      </c>
      <c r="J993" s="70">
        <f t="shared" si="280"/>
        <v>0</v>
      </c>
      <c r="K993" s="70">
        <f t="shared" si="280"/>
        <v>0</v>
      </c>
    </row>
    <row r="994" spans="1:20" ht="60" hidden="1" customHeight="1">
      <c r="A994" s="82" t="s">
        <v>180</v>
      </c>
      <c r="B994" s="14">
        <v>757</v>
      </c>
      <c r="C994" s="15" t="s">
        <v>44</v>
      </c>
      <c r="D994" s="15" t="s">
        <v>19</v>
      </c>
      <c r="E994" s="15" t="s">
        <v>774</v>
      </c>
      <c r="F994" s="15" t="s">
        <v>181</v>
      </c>
      <c r="G994" s="70">
        <f>'прил 5,'!G266</f>
        <v>0</v>
      </c>
      <c r="H994" s="70">
        <v>0</v>
      </c>
      <c r="I994" s="70">
        <v>0</v>
      </c>
      <c r="J994" s="1"/>
    </row>
    <row r="995" spans="1:20" ht="84" hidden="1" customHeight="1">
      <c r="A995" s="16" t="s">
        <v>775</v>
      </c>
      <c r="B995" s="14">
        <v>757</v>
      </c>
      <c r="C995" s="15" t="s">
        <v>44</v>
      </c>
      <c r="D995" s="15" t="s">
        <v>19</v>
      </c>
      <c r="E995" s="15" t="s">
        <v>575</v>
      </c>
      <c r="F995" s="15"/>
      <c r="G995" s="70">
        <f>G996</f>
        <v>0</v>
      </c>
      <c r="H995" s="70">
        <f t="shared" ref="H995:K996" si="281">H996</f>
        <v>0</v>
      </c>
      <c r="I995" s="70">
        <f t="shared" si="281"/>
        <v>0</v>
      </c>
      <c r="J995" s="1"/>
    </row>
    <row r="996" spans="1:20" ht="60" hidden="1" customHeight="1">
      <c r="A996" s="16" t="s">
        <v>30</v>
      </c>
      <c r="B996" s="14">
        <v>757</v>
      </c>
      <c r="C996" s="15" t="s">
        <v>44</v>
      </c>
      <c r="D996" s="15" t="s">
        <v>19</v>
      </c>
      <c r="E996" s="15" t="s">
        <v>575</v>
      </c>
      <c r="F996" s="15" t="s">
        <v>31</v>
      </c>
      <c r="G996" s="70">
        <f>G997</f>
        <v>0</v>
      </c>
      <c r="H996" s="70">
        <f t="shared" si="281"/>
        <v>0</v>
      </c>
      <c r="I996" s="70">
        <f t="shared" si="281"/>
        <v>0</v>
      </c>
      <c r="J996" s="70">
        <f t="shared" si="281"/>
        <v>0</v>
      </c>
      <c r="K996" s="70">
        <f t="shared" si="281"/>
        <v>0</v>
      </c>
    </row>
    <row r="997" spans="1:20" ht="60" hidden="1" customHeight="1">
      <c r="A997" s="16" t="s">
        <v>32</v>
      </c>
      <c r="B997" s="14">
        <v>757</v>
      </c>
      <c r="C997" s="15" t="s">
        <v>44</v>
      </c>
      <c r="D997" s="15" t="s">
        <v>19</v>
      </c>
      <c r="E997" s="15" t="s">
        <v>575</v>
      </c>
      <c r="F997" s="15" t="s">
        <v>33</v>
      </c>
      <c r="G997" s="70">
        <f>'прил 5,'!G269</f>
        <v>0</v>
      </c>
      <c r="H997" s="70">
        <v>0</v>
      </c>
      <c r="I997" s="70">
        <v>0</v>
      </c>
      <c r="J997" s="1"/>
    </row>
    <row r="998" spans="1:20" ht="27.75" customHeight="1">
      <c r="A998" s="82" t="s">
        <v>929</v>
      </c>
      <c r="B998" s="14">
        <v>757</v>
      </c>
      <c r="C998" s="15" t="s">
        <v>44</v>
      </c>
      <c r="D998" s="15" t="s">
        <v>19</v>
      </c>
      <c r="E998" s="15" t="s">
        <v>930</v>
      </c>
      <c r="F998" s="15"/>
      <c r="G998" s="8">
        <f>G999</f>
        <v>4682558</v>
      </c>
      <c r="H998" s="8">
        <f t="shared" ref="H998:I998" si="282">H999</f>
        <v>0</v>
      </c>
      <c r="I998" s="8">
        <f t="shared" si="282"/>
        <v>0</v>
      </c>
      <c r="J998" s="178"/>
      <c r="K998" s="90"/>
      <c r="L998" s="90"/>
      <c r="M998" s="90"/>
      <c r="N998" s="90"/>
      <c r="P998" s="1"/>
      <c r="Q998" s="1"/>
      <c r="R998" s="1"/>
      <c r="S998" s="1"/>
      <c r="T998" s="1"/>
    </row>
    <row r="999" spans="1:20" s="3" customFormat="1" ht="22.5" customHeight="1">
      <c r="A999" s="140" t="s">
        <v>892</v>
      </c>
      <c r="B999" s="14">
        <v>757</v>
      </c>
      <c r="C999" s="15" t="s">
        <v>44</v>
      </c>
      <c r="D999" s="15" t="s">
        <v>19</v>
      </c>
      <c r="E999" s="15" t="s">
        <v>928</v>
      </c>
      <c r="F999" s="15"/>
      <c r="G999" s="25">
        <f>G1000</f>
        <v>4682558</v>
      </c>
      <c r="H999" s="25">
        <f t="shared" ref="G999:I1000" si="283">H1000</f>
        <v>0</v>
      </c>
      <c r="I999" s="25">
        <f t="shared" si="283"/>
        <v>0</v>
      </c>
    </row>
    <row r="1000" spans="1:20" ht="25.5">
      <c r="A1000" s="82" t="s">
        <v>30</v>
      </c>
      <c r="B1000" s="14">
        <v>757</v>
      </c>
      <c r="C1000" s="15" t="s">
        <v>44</v>
      </c>
      <c r="D1000" s="15" t="s">
        <v>19</v>
      </c>
      <c r="E1000" s="15" t="s">
        <v>928</v>
      </c>
      <c r="F1000" s="15" t="s">
        <v>31</v>
      </c>
      <c r="G1000" s="8">
        <f t="shared" si="283"/>
        <v>4682558</v>
      </c>
      <c r="H1000" s="8">
        <f t="shared" si="283"/>
        <v>0</v>
      </c>
      <c r="I1000" s="8">
        <f t="shared" si="283"/>
        <v>0</v>
      </c>
      <c r="J1000" s="1"/>
      <c r="P1000" s="1"/>
      <c r="Q1000" s="1"/>
      <c r="R1000" s="1"/>
      <c r="S1000" s="1"/>
      <c r="T1000" s="1"/>
    </row>
    <row r="1001" spans="1:20">
      <c r="A1001" s="82" t="s">
        <v>32</v>
      </c>
      <c r="B1001" s="14">
        <v>757</v>
      </c>
      <c r="C1001" s="15" t="s">
        <v>44</v>
      </c>
      <c r="D1001" s="15" t="s">
        <v>19</v>
      </c>
      <c r="E1001" s="15" t="s">
        <v>928</v>
      </c>
      <c r="F1001" s="15" t="s">
        <v>33</v>
      </c>
      <c r="G1001" s="8">
        <f>'прил 5,'!G214</f>
        <v>4682558</v>
      </c>
      <c r="H1001" s="8">
        <v>0</v>
      </c>
      <c r="I1001" s="8">
        <v>0</v>
      </c>
      <c r="J1001" s="1"/>
      <c r="P1001" s="1"/>
      <c r="Q1001" s="1"/>
      <c r="R1001" s="1"/>
      <c r="S1001" s="1"/>
      <c r="T1001" s="1"/>
    </row>
    <row r="1002" spans="1:20" s="76" customFormat="1" ht="36.75" customHeight="1">
      <c r="A1002" s="233" t="s">
        <v>485</v>
      </c>
      <c r="B1002" s="35">
        <v>757</v>
      </c>
      <c r="C1002" s="36" t="s">
        <v>72</v>
      </c>
      <c r="D1002" s="36" t="s">
        <v>28</v>
      </c>
      <c r="E1002" s="36" t="s">
        <v>195</v>
      </c>
      <c r="F1002" s="36"/>
      <c r="G1002" s="71">
        <f>G1003+G1006+G1009+G1012+G1021+G1026+G1015+G1018</f>
        <v>2902920</v>
      </c>
      <c r="H1002" s="71">
        <f t="shared" ref="H1002:I1002" si="284">H1003+H1006+H1009+H1012+H1021+H1026+H1015</f>
        <v>445360</v>
      </c>
      <c r="I1002" s="71">
        <f t="shared" si="284"/>
        <v>445360</v>
      </c>
      <c r="J1002" s="239">
        <v>18813863</v>
      </c>
      <c r="P1002" s="239"/>
      <c r="Q1002" s="239"/>
      <c r="R1002" s="239"/>
      <c r="S1002" s="239"/>
      <c r="T1002" s="239"/>
    </row>
    <row r="1003" spans="1:20" s="28" customFormat="1" ht="27.75" customHeight="1">
      <c r="A1003" s="37" t="s">
        <v>73</v>
      </c>
      <c r="B1003" s="14">
        <v>757</v>
      </c>
      <c r="C1003" s="15" t="s">
        <v>72</v>
      </c>
      <c r="D1003" s="15" t="s">
        <v>28</v>
      </c>
      <c r="E1003" s="15" t="s">
        <v>206</v>
      </c>
      <c r="F1003" s="15"/>
      <c r="G1003" s="70">
        <f t="shared" ref="G1003:I1004" si="285">G1004</f>
        <v>441360</v>
      </c>
      <c r="H1003" s="70">
        <f t="shared" si="285"/>
        <v>445360</v>
      </c>
      <c r="I1003" s="70">
        <f t="shared" si="285"/>
        <v>445360</v>
      </c>
      <c r="J1003" s="109">
        <v>419925</v>
      </c>
      <c r="P1003" s="109"/>
      <c r="Q1003" s="109"/>
      <c r="R1003" s="109"/>
      <c r="S1003" s="109"/>
      <c r="T1003" s="109"/>
    </row>
    <row r="1004" spans="1:20" s="32" customFormat="1" ht="28.5" customHeight="1">
      <c r="A1004" s="16" t="s">
        <v>36</v>
      </c>
      <c r="B1004" s="14">
        <v>757</v>
      </c>
      <c r="C1004" s="15" t="s">
        <v>72</v>
      </c>
      <c r="D1004" s="15" t="s">
        <v>28</v>
      </c>
      <c r="E1004" s="15" t="s">
        <v>206</v>
      </c>
      <c r="F1004" s="15" t="s">
        <v>37</v>
      </c>
      <c r="G1004" s="70">
        <f t="shared" si="285"/>
        <v>441360</v>
      </c>
      <c r="H1004" s="70">
        <f t="shared" si="285"/>
        <v>445360</v>
      </c>
      <c r="I1004" s="70">
        <f t="shared" si="285"/>
        <v>445360</v>
      </c>
      <c r="J1004" s="31">
        <f>SUM(J1002:J1003)</f>
        <v>19233788</v>
      </c>
      <c r="P1004" s="31"/>
      <c r="Q1004" s="31"/>
      <c r="R1004" s="31"/>
      <c r="S1004" s="31"/>
      <c r="T1004" s="31"/>
    </row>
    <row r="1005" spans="1:20" s="32" customFormat="1" ht="25.5">
      <c r="A1005" s="16" t="s">
        <v>38</v>
      </c>
      <c r="B1005" s="14">
        <v>757</v>
      </c>
      <c r="C1005" s="15" t="s">
        <v>72</v>
      </c>
      <c r="D1005" s="15" t="s">
        <v>28</v>
      </c>
      <c r="E1005" s="15" t="s">
        <v>206</v>
      </c>
      <c r="F1005" s="15" t="s">
        <v>39</v>
      </c>
      <c r="G1005" s="70">
        <f>'прил 5,'!G379+'прил 5,'!G1755</f>
        <v>441360</v>
      </c>
      <c r="H1005" s="70">
        <f>'прил 5,'!H379+'прил 5,'!H1755</f>
        <v>445360</v>
      </c>
      <c r="I1005" s="70">
        <f>'прил 5,'!I379+'прил 5,'!I1755</f>
        <v>445360</v>
      </c>
      <c r="J1005" s="31"/>
      <c r="P1005" s="31"/>
      <c r="Q1005" s="31"/>
      <c r="R1005" s="31"/>
      <c r="S1005" s="31"/>
      <c r="T1005" s="31"/>
    </row>
    <row r="1006" spans="1:20" ht="46.5" hidden="1" customHeight="1">
      <c r="A1006" s="16" t="s">
        <v>112</v>
      </c>
      <c r="B1006" s="14">
        <v>757</v>
      </c>
      <c r="C1006" s="15" t="s">
        <v>26</v>
      </c>
      <c r="D1006" s="15" t="s">
        <v>28</v>
      </c>
      <c r="E1006" s="15" t="s">
        <v>196</v>
      </c>
      <c r="F1006" s="14"/>
      <c r="G1006" s="70">
        <f t="shared" ref="G1006:I1007" si="286">G1007</f>
        <v>0</v>
      </c>
      <c r="H1006" s="70">
        <f t="shared" si="286"/>
        <v>0</v>
      </c>
      <c r="I1006" s="70">
        <f t="shared" si="286"/>
        <v>0</v>
      </c>
    </row>
    <row r="1007" spans="1:20" ht="25.5" hidden="1">
      <c r="A1007" s="16" t="s">
        <v>30</v>
      </c>
      <c r="B1007" s="14">
        <v>757</v>
      </c>
      <c r="C1007" s="15" t="s">
        <v>26</v>
      </c>
      <c r="D1007" s="15" t="s">
        <v>28</v>
      </c>
      <c r="E1007" s="15" t="s">
        <v>196</v>
      </c>
      <c r="F1007" s="14">
        <v>600</v>
      </c>
      <c r="G1007" s="70">
        <f t="shared" si="286"/>
        <v>0</v>
      </c>
      <c r="H1007" s="70">
        <f t="shared" si="286"/>
        <v>0</v>
      </c>
      <c r="I1007" s="70">
        <f t="shared" si="286"/>
        <v>0</v>
      </c>
    </row>
    <row r="1008" spans="1:20" hidden="1">
      <c r="A1008" s="16" t="s">
        <v>32</v>
      </c>
      <c r="B1008" s="14">
        <v>757</v>
      </c>
      <c r="C1008" s="15" t="s">
        <v>26</v>
      </c>
      <c r="D1008" s="15" t="s">
        <v>28</v>
      </c>
      <c r="E1008" s="15" t="s">
        <v>196</v>
      </c>
      <c r="F1008" s="14">
        <v>610</v>
      </c>
      <c r="G1008" s="70">
        <f>'прил 5,'!G365</f>
        <v>0</v>
      </c>
      <c r="H1008" s="70">
        <f>'прил 5,'!H365</f>
        <v>0</v>
      </c>
      <c r="I1008" s="70">
        <f>'прил 5,'!I365</f>
        <v>0</v>
      </c>
    </row>
    <row r="1009" spans="1:20" ht="36" hidden="1" customHeight="1">
      <c r="A1009" s="16" t="s">
        <v>619</v>
      </c>
      <c r="B1009" s="15" t="s">
        <v>94</v>
      </c>
      <c r="C1009" s="15" t="s">
        <v>26</v>
      </c>
      <c r="D1009" s="15" t="s">
        <v>70</v>
      </c>
      <c r="E1009" s="15" t="s">
        <v>547</v>
      </c>
      <c r="F1009" s="15"/>
      <c r="G1009" s="70">
        <f t="shared" ref="G1009:I1010" si="287">G1010</f>
        <v>0</v>
      </c>
      <c r="H1009" s="70">
        <f t="shared" si="287"/>
        <v>0</v>
      </c>
      <c r="I1009" s="70">
        <f t="shared" si="287"/>
        <v>0</v>
      </c>
      <c r="J1009" s="1"/>
    </row>
    <row r="1010" spans="1:20" ht="25.5" hidden="1">
      <c r="A1010" s="16" t="s">
        <v>30</v>
      </c>
      <c r="B1010" s="15" t="s">
        <v>94</v>
      </c>
      <c r="C1010" s="15" t="s">
        <v>26</v>
      </c>
      <c r="D1010" s="15" t="s">
        <v>70</v>
      </c>
      <c r="E1010" s="15" t="s">
        <v>547</v>
      </c>
      <c r="F1010" s="15" t="s">
        <v>31</v>
      </c>
      <c r="G1010" s="70">
        <f t="shared" si="287"/>
        <v>0</v>
      </c>
      <c r="H1010" s="70">
        <f t="shared" si="287"/>
        <v>0</v>
      </c>
      <c r="I1010" s="70">
        <f t="shared" si="287"/>
        <v>0</v>
      </c>
      <c r="J1010" s="1"/>
    </row>
    <row r="1011" spans="1:20" ht="19.5" hidden="1" customHeight="1">
      <c r="A1011" s="16" t="s">
        <v>32</v>
      </c>
      <c r="B1011" s="15" t="s">
        <v>94</v>
      </c>
      <c r="C1011" s="15" t="s">
        <v>26</v>
      </c>
      <c r="D1011" s="15" t="s">
        <v>70</v>
      </c>
      <c r="E1011" s="15" t="s">
        <v>547</v>
      </c>
      <c r="F1011" s="15" t="s">
        <v>33</v>
      </c>
      <c r="G1011" s="70">
        <f>'прил 5,'!G853+'прил 5,'!G367</f>
        <v>0</v>
      </c>
      <c r="H1011" s="70">
        <f>'прил 5,'!H853+'прил 5,'!H367</f>
        <v>0</v>
      </c>
      <c r="I1011" s="70">
        <f>'прил 5,'!I853+'прил 5,'!I367</f>
        <v>0</v>
      </c>
      <c r="J1011" s="1"/>
    </row>
    <row r="1012" spans="1:20" s="32" customFormat="1" ht="65.25" hidden="1" customHeight="1">
      <c r="A1012" s="16" t="s">
        <v>616</v>
      </c>
      <c r="B1012" s="14">
        <v>757</v>
      </c>
      <c r="C1012" s="15" t="s">
        <v>72</v>
      </c>
      <c r="D1012" s="15" t="s">
        <v>19</v>
      </c>
      <c r="E1012" s="15" t="s">
        <v>615</v>
      </c>
      <c r="F1012" s="15"/>
      <c r="G1012" s="70">
        <f>G1013</f>
        <v>0</v>
      </c>
      <c r="H1012" s="70"/>
      <c r="I1012" s="70"/>
      <c r="P1012" s="31"/>
      <c r="Q1012" s="31"/>
      <c r="R1012" s="31"/>
      <c r="S1012" s="31"/>
      <c r="T1012" s="31"/>
    </row>
    <row r="1013" spans="1:20" s="32" customFormat="1" ht="25.5" hidden="1" customHeight="1">
      <c r="A1013" s="16" t="s">
        <v>30</v>
      </c>
      <c r="B1013" s="14">
        <v>757</v>
      </c>
      <c r="C1013" s="15" t="s">
        <v>72</v>
      </c>
      <c r="D1013" s="15" t="s">
        <v>19</v>
      </c>
      <c r="E1013" s="15" t="s">
        <v>615</v>
      </c>
      <c r="F1013" s="15" t="s">
        <v>31</v>
      </c>
      <c r="G1013" s="70">
        <f>G1014</f>
        <v>0</v>
      </c>
      <c r="H1013" s="70">
        <v>0</v>
      </c>
      <c r="I1013" s="70">
        <v>0</v>
      </c>
      <c r="P1013" s="31"/>
      <c r="Q1013" s="31"/>
      <c r="R1013" s="31"/>
      <c r="S1013" s="31"/>
      <c r="T1013" s="31"/>
    </row>
    <row r="1014" spans="1:20" s="32" customFormat="1" ht="17.25" hidden="1" customHeight="1">
      <c r="A1014" s="16" t="s">
        <v>32</v>
      </c>
      <c r="B1014" s="14">
        <v>757</v>
      </c>
      <c r="C1014" s="15" t="s">
        <v>72</v>
      </c>
      <c r="D1014" s="15" t="s">
        <v>19</v>
      </c>
      <c r="E1014" s="15" t="s">
        <v>615</v>
      </c>
      <c r="F1014" s="15" t="s">
        <v>33</v>
      </c>
      <c r="G1014" s="70">
        <f>'прил 5,'!G370</f>
        <v>0</v>
      </c>
      <c r="H1014" s="70">
        <f>'прил 5,'!H370</f>
        <v>0</v>
      </c>
      <c r="I1014" s="70">
        <f>'прил 5,'!I370</f>
        <v>0</v>
      </c>
      <c r="P1014" s="31"/>
      <c r="Q1014" s="31"/>
      <c r="R1014" s="31"/>
      <c r="S1014" s="31"/>
      <c r="T1014" s="31"/>
    </row>
    <row r="1015" spans="1:20" s="28" customFormat="1" ht="60.75" hidden="1" customHeight="1">
      <c r="A1015" s="37" t="s">
        <v>985</v>
      </c>
      <c r="B1015" s="14">
        <v>793</v>
      </c>
      <c r="C1015" s="15" t="s">
        <v>72</v>
      </c>
      <c r="D1015" s="15" t="s">
        <v>28</v>
      </c>
      <c r="E1015" s="15" t="s">
        <v>961</v>
      </c>
      <c r="F1015" s="15"/>
      <c r="G1015" s="70">
        <f>G1016</f>
        <v>0</v>
      </c>
      <c r="H1015" s="70">
        <f t="shared" ref="H1015:I1015" si="288">H1016</f>
        <v>0</v>
      </c>
      <c r="I1015" s="70">
        <f t="shared" si="288"/>
        <v>0</v>
      </c>
      <c r="P1015" s="109"/>
      <c r="Q1015" s="109"/>
      <c r="R1015" s="109"/>
      <c r="S1015" s="109"/>
      <c r="T1015" s="109"/>
    </row>
    <row r="1016" spans="1:20" s="32" customFormat="1" ht="28.5" hidden="1" customHeight="1">
      <c r="A1016" s="16" t="s">
        <v>30</v>
      </c>
      <c r="B1016" s="14">
        <v>793</v>
      </c>
      <c r="C1016" s="15" t="s">
        <v>72</v>
      </c>
      <c r="D1016" s="15" t="s">
        <v>28</v>
      </c>
      <c r="E1016" s="15" t="s">
        <v>961</v>
      </c>
      <c r="F1016" s="15" t="s">
        <v>31</v>
      </c>
      <c r="G1016" s="70">
        <f>G1017</f>
        <v>0</v>
      </c>
      <c r="H1016" s="70">
        <f>H1017</f>
        <v>0</v>
      </c>
      <c r="I1016" s="70">
        <f>I1017</f>
        <v>0</v>
      </c>
      <c r="P1016" s="31"/>
      <c r="Q1016" s="31"/>
      <c r="R1016" s="31"/>
      <c r="S1016" s="31"/>
      <c r="T1016" s="31"/>
    </row>
    <row r="1017" spans="1:20" s="32" customFormat="1" hidden="1">
      <c r="A1017" s="16" t="s">
        <v>32</v>
      </c>
      <c r="B1017" s="14">
        <v>793</v>
      </c>
      <c r="C1017" s="15" t="s">
        <v>72</v>
      </c>
      <c r="D1017" s="15" t="s">
        <v>28</v>
      </c>
      <c r="E1017" s="15" t="s">
        <v>961</v>
      </c>
      <c r="F1017" s="15" t="s">
        <v>33</v>
      </c>
      <c r="G1017" s="70">
        <f>'прил 5,'!G778</f>
        <v>0</v>
      </c>
      <c r="H1017" s="70">
        <f>'прил 5,'!H1758+'прил 5,'!H1042+'прил 5,'!H895</f>
        <v>0</v>
      </c>
      <c r="I1017" s="70">
        <f>'прил 5,'!I1758+'прил 5,'!I1042+'прил 5,'!I895</f>
        <v>0</v>
      </c>
      <c r="J1017" s="31">
        <f>J1024-G1024</f>
        <v>0</v>
      </c>
      <c r="P1017" s="31"/>
      <c r="Q1017" s="31"/>
      <c r="R1017" s="31"/>
      <c r="S1017" s="31"/>
      <c r="T1017" s="31"/>
    </row>
    <row r="1018" spans="1:20" s="28" customFormat="1" ht="31.5" customHeight="1">
      <c r="A1018" s="37" t="s">
        <v>619</v>
      </c>
      <c r="B1018" s="14">
        <v>793</v>
      </c>
      <c r="C1018" s="15" t="s">
        <v>72</v>
      </c>
      <c r="D1018" s="15" t="s">
        <v>28</v>
      </c>
      <c r="E1018" s="15" t="s">
        <v>547</v>
      </c>
      <c r="F1018" s="15"/>
      <c r="G1018" s="70">
        <f>G1019</f>
        <v>2461560</v>
      </c>
      <c r="H1018" s="70">
        <f t="shared" ref="H1018:I1018" si="289">H1019</f>
        <v>0</v>
      </c>
      <c r="I1018" s="70">
        <f t="shared" si="289"/>
        <v>0</v>
      </c>
      <c r="P1018" s="109"/>
      <c r="Q1018" s="109"/>
      <c r="R1018" s="109"/>
      <c r="S1018" s="109"/>
      <c r="T1018" s="109"/>
    </row>
    <row r="1019" spans="1:20" s="32" customFormat="1" ht="28.5" customHeight="1">
      <c r="A1019" s="16" t="s">
        <v>30</v>
      </c>
      <c r="B1019" s="14">
        <v>793</v>
      </c>
      <c r="C1019" s="15" t="s">
        <v>72</v>
      </c>
      <c r="D1019" s="15" t="s">
        <v>28</v>
      </c>
      <c r="E1019" s="15" t="s">
        <v>547</v>
      </c>
      <c r="F1019" s="15" t="s">
        <v>31</v>
      </c>
      <c r="G1019" s="70">
        <f>G1020</f>
        <v>2461560</v>
      </c>
      <c r="H1019" s="70">
        <f>H1020</f>
        <v>0</v>
      </c>
      <c r="I1019" s="70">
        <f>I1020</f>
        <v>0</v>
      </c>
      <c r="P1019" s="31"/>
      <c r="Q1019" s="31"/>
      <c r="R1019" s="31"/>
      <c r="S1019" s="31"/>
      <c r="T1019" s="31"/>
    </row>
    <row r="1020" spans="1:20" s="32" customFormat="1">
      <c r="A1020" s="16" t="s">
        <v>32</v>
      </c>
      <c r="B1020" s="14">
        <v>793</v>
      </c>
      <c r="C1020" s="15" t="s">
        <v>72</v>
      </c>
      <c r="D1020" s="15" t="s">
        <v>28</v>
      </c>
      <c r="E1020" s="15" t="s">
        <v>547</v>
      </c>
      <c r="F1020" s="15" t="s">
        <v>33</v>
      </c>
      <c r="G1020" s="70">
        <f>'прил 5,'!G898</f>
        <v>2461560</v>
      </c>
      <c r="H1020" s="70">
        <f>'прил 5,'!H898</f>
        <v>0</v>
      </c>
      <c r="I1020" s="70">
        <f>'прил 5,'!I898</f>
        <v>0</v>
      </c>
      <c r="J1020" s="31">
        <f>J1027-G1027</f>
        <v>230000</v>
      </c>
      <c r="P1020" s="31"/>
      <c r="Q1020" s="31"/>
      <c r="R1020" s="31"/>
      <c r="S1020" s="31"/>
      <c r="T1020" s="31"/>
    </row>
    <row r="1021" spans="1:20" s="28" customFormat="1" ht="27.75" hidden="1" customHeight="1">
      <c r="A1021" s="37" t="s">
        <v>703</v>
      </c>
      <c r="B1021" s="14">
        <v>757</v>
      </c>
      <c r="C1021" s="15" t="s">
        <v>26</v>
      </c>
      <c r="D1021" s="15" t="s">
        <v>70</v>
      </c>
      <c r="E1021" s="15" t="s">
        <v>702</v>
      </c>
      <c r="F1021" s="15"/>
      <c r="G1021" s="70">
        <f>G1022</f>
        <v>0</v>
      </c>
      <c r="H1021" s="70">
        <f t="shared" ref="H1021:I1021" si="290">H1022</f>
        <v>0</v>
      </c>
      <c r="I1021" s="70">
        <f t="shared" si="290"/>
        <v>0</v>
      </c>
      <c r="P1021" s="109"/>
      <c r="Q1021" s="109"/>
      <c r="R1021" s="109"/>
      <c r="S1021" s="109"/>
      <c r="T1021" s="109"/>
    </row>
    <row r="1022" spans="1:20" s="32" customFormat="1" ht="28.5" hidden="1" customHeight="1">
      <c r="A1022" s="16" t="s">
        <v>30</v>
      </c>
      <c r="B1022" s="14">
        <v>757</v>
      </c>
      <c r="C1022" s="15" t="s">
        <v>26</v>
      </c>
      <c r="D1022" s="15" t="s">
        <v>70</v>
      </c>
      <c r="E1022" s="15" t="s">
        <v>702</v>
      </c>
      <c r="F1022" s="15" t="s">
        <v>31</v>
      </c>
      <c r="G1022" s="70">
        <f>G1023</f>
        <v>0</v>
      </c>
      <c r="H1022" s="70">
        <f>H1023</f>
        <v>0</v>
      </c>
      <c r="I1022" s="70">
        <f>I1023</f>
        <v>0</v>
      </c>
      <c r="P1022" s="31"/>
      <c r="Q1022" s="31"/>
      <c r="R1022" s="31"/>
      <c r="S1022" s="31"/>
      <c r="T1022" s="31"/>
    </row>
    <row r="1023" spans="1:20" s="32" customFormat="1" hidden="1">
      <c r="A1023" s="16" t="s">
        <v>32</v>
      </c>
      <c r="B1023" s="14">
        <v>757</v>
      </c>
      <c r="C1023" s="15" t="s">
        <v>26</v>
      </c>
      <c r="D1023" s="15" t="s">
        <v>70</v>
      </c>
      <c r="E1023" s="15" t="s">
        <v>702</v>
      </c>
      <c r="F1023" s="15" t="s">
        <v>33</v>
      </c>
      <c r="G1023" s="70">
        <f>'прил 5,'!G865</f>
        <v>0</v>
      </c>
      <c r="H1023" s="70"/>
      <c r="I1023" s="70"/>
      <c r="J1023" s="31">
        <f>J1027-G1027</f>
        <v>230000</v>
      </c>
      <c r="P1023" s="31"/>
      <c r="Q1023" s="31"/>
      <c r="R1023" s="31"/>
      <c r="S1023" s="31"/>
      <c r="T1023" s="31"/>
    </row>
    <row r="1024" spans="1:20" s="28" customFormat="1" ht="27.75" hidden="1" customHeight="1">
      <c r="A1024" s="37" t="s">
        <v>619</v>
      </c>
      <c r="B1024" s="15" t="s">
        <v>94</v>
      </c>
      <c r="C1024" s="15" t="s">
        <v>26</v>
      </c>
      <c r="D1024" s="15" t="s">
        <v>70</v>
      </c>
      <c r="E1024" s="15" t="s">
        <v>547</v>
      </c>
      <c r="F1024" s="15"/>
      <c r="G1024" s="70">
        <f>G1025</f>
        <v>0</v>
      </c>
      <c r="H1024" s="70">
        <f t="shared" ref="H1024:I1024" si="291">H1025</f>
        <v>0</v>
      </c>
      <c r="I1024" s="70">
        <f t="shared" si="291"/>
        <v>0</v>
      </c>
      <c r="P1024" s="109"/>
      <c r="Q1024" s="109"/>
      <c r="R1024" s="109"/>
      <c r="S1024" s="109"/>
      <c r="T1024" s="109"/>
    </row>
    <row r="1025" spans="1:20" s="32" customFormat="1" ht="28.5" hidden="1" customHeight="1">
      <c r="A1025" s="16" t="s">
        <v>30</v>
      </c>
      <c r="B1025" s="15" t="s">
        <v>94</v>
      </c>
      <c r="C1025" s="15" t="s">
        <v>26</v>
      </c>
      <c r="D1025" s="15" t="s">
        <v>70</v>
      </c>
      <c r="E1025" s="15" t="s">
        <v>547</v>
      </c>
      <c r="F1025" s="15" t="s">
        <v>31</v>
      </c>
      <c r="G1025" s="70">
        <f>G1026</f>
        <v>0</v>
      </c>
      <c r="H1025" s="70">
        <f>H1026</f>
        <v>0</v>
      </c>
      <c r="I1025" s="70">
        <f>I1026</f>
        <v>0</v>
      </c>
      <c r="P1025" s="31"/>
      <c r="Q1025" s="31"/>
      <c r="R1025" s="31"/>
      <c r="S1025" s="31"/>
      <c r="T1025" s="31"/>
    </row>
    <row r="1026" spans="1:20" s="32" customFormat="1" hidden="1">
      <c r="A1026" s="16" t="s">
        <v>32</v>
      </c>
      <c r="B1026" s="15" t="s">
        <v>94</v>
      </c>
      <c r="C1026" s="15" t="s">
        <v>26</v>
      </c>
      <c r="D1026" s="15" t="s">
        <v>70</v>
      </c>
      <c r="E1026" s="15" t="s">
        <v>547</v>
      </c>
      <c r="F1026" s="15" t="s">
        <v>33</v>
      </c>
      <c r="G1026" s="70"/>
      <c r="H1026" s="70"/>
      <c r="I1026" s="70"/>
      <c r="J1026" s="31">
        <f>J1030-G1030</f>
        <v>-50000</v>
      </c>
      <c r="P1026" s="31"/>
      <c r="Q1026" s="31"/>
      <c r="R1026" s="31"/>
      <c r="S1026" s="31"/>
      <c r="T1026" s="31"/>
    </row>
    <row r="1027" spans="1:20" s="22" customFormat="1" ht="51.75" customHeight="1">
      <c r="A1027" s="34" t="s">
        <v>477</v>
      </c>
      <c r="B1027" s="35">
        <v>793</v>
      </c>
      <c r="C1027" s="36" t="s">
        <v>54</v>
      </c>
      <c r="D1027" s="36" t="s">
        <v>88</v>
      </c>
      <c r="E1027" s="35" t="s">
        <v>260</v>
      </c>
      <c r="F1027" s="35"/>
      <c r="G1027" s="71">
        <f>G1028</f>
        <v>50000</v>
      </c>
      <c r="H1027" s="71">
        <f t="shared" ref="H1027:I1030" si="292">H1028</f>
        <v>50000</v>
      </c>
      <c r="I1027" s="71">
        <f t="shared" si="292"/>
        <v>50000</v>
      </c>
      <c r="J1027" s="21">
        <v>280000</v>
      </c>
      <c r="P1027" s="21"/>
      <c r="Q1027" s="21"/>
      <c r="R1027" s="21"/>
      <c r="S1027" s="21"/>
      <c r="T1027" s="21"/>
    </row>
    <row r="1028" spans="1:20" ht="36" hidden="1" customHeight="1">
      <c r="A1028" s="16" t="s">
        <v>114</v>
      </c>
      <c r="B1028" s="14">
        <v>793</v>
      </c>
      <c r="C1028" s="15" t="s">
        <v>54</v>
      </c>
      <c r="D1028" s="15" t="s">
        <v>88</v>
      </c>
      <c r="E1028" s="14" t="s">
        <v>260</v>
      </c>
      <c r="F1028" s="14"/>
      <c r="G1028" s="87">
        <f>G1029</f>
        <v>50000</v>
      </c>
      <c r="H1028" s="87">
        <f t="shared" si="292"/>
        <v>50000</v>
      </c>
      <c r="I1028" s="87">
        <f t="shared" si="292"/>
        <v>50000</v>
      </c>
    </row>
    <row r="1029" spans="1:20" ht="39" customHeight="1">
      <c r="A1029" s="16" t="s">
        <v>370</v>
      </c>
      <c r="B1029" s="14">
        <v>793</v>
      </c>
      <c r="C1029" s="15" t="s">
        <v>54</v>
      </c>
      <c r="D1029" s="15" t="s">
        <v>88</v>
      </c>
      <c r="E1029" s="14" t="s">
        <v>261</v>
      </c>
      <c r="F1029" s="14"/>
      <c r="G1029" s="87">
        <f>G1030</f>
        <v>50000</v>
      </c>
      <c r="H1029" s="87">
        <f t="shared" si="292"/>
        <v>50000</v>
      </c>
      <c r="I1029" s="87">
        <f t="shared" si="292"/>
        <v>50000</v>
      </c>
    </row>
    <row r="1030" spans="1:20" ht="27.75" customHeight="1">
      <c r="A1030" s="16" t="s">
        <v>324</v>
      </c>
      <c r="B1030" s="14">
        <v>793</v>
      </c>
      <c r="C1030" s="15" t="s">
        <v>54</v>
      </c>
      <c r="D1030" s="15" t="s">
        <v>88</v>
      </c>
      <c r="E1030" s="14" t="s">
        <v>261</v>
      </c>
      <c r="F1030" s="14">
        <v>200</v>
      </c>
      <c r="G1030" s="87">
        <f>G1031</f>
        <v>50000</v>
      </c>
      <c r="H1030" s="87">
        <f t="shared" si="292"/>
        <v>50000</v>
      </c>
      <c r="I1030" s="87">
        <f t="shared" si="292"/>
        <v>50000</v>
      </c>
    </row>
    <row r="1031" spans="1:20" ht="27.75" customHeight="1">
      <c r="A1031" s="16" t="s">
        <v>38</v>
      </c>
      <c r="B1031" s="14">
        <v>793</v>
      </c>
      <c r="C1031" s="15" t="s">
        <v>54</v>
      </c>
      <c r="D1031" s="15" t="s">
        <v>88</v>
      </c>
      <c r="E1031" s="14" t="s">
        <v>261</v>
      </c>
      <c r="F1031" s="14">
        <v>240</v>
      </c>
      <c r="G1031" s="87">
        <f>'прил 5,'!G1431</f>
        <v>50000</v>
      </c>
      <c r="H1031" s="87">
        <f>'прил 5,'!H1431</f>
        <v>50000</v>
      </c>
      <c r="I1031" s="87">
        <f>'прил 5,'!I1431</f>
        <v>50000</v>
      </c>
    </row>
    <row r="1032" spans="1:20" s="235" customFormat="1" ht="35.25" customHeight="1">
      <c r="A1032" s="34" t="s">
        <v>481</v>
      </c>
      <c r="B1032" s="35">
        <v>757</v>
      </c>
      <c r="C1032" s="36" t="s">
        <v>26</v>
      </c>
      <c r="D1032" s="36" t="s">
        <v>26</v>
      </c>
      <c r="E1032" s="36" t="s">
        <v>197</v>
      </c>
      <c r="F1032" s="36"/>
      <c r="G1032" s="71">
        <f>G1033+G1041+G1037</f>
        <v>331400</v>
      </c>
      <c r="H1032" s="71">
        <f>H1033+H1041+H1037</f>
        <v>189000</v>
      </c>
      <c r="I1032" s="71">
        <f>I1033+I1041+I1037</f>
        <v>189000</v>
      </c>
      <c r="J1032" s="234">
        <v>30000</v>
      </c>
      <c r="P1032" s="234"/>
      <c r="Q1032" s="234"/>
      <c r="R1032" s="234"/>
      <c r="S1032" s="234"/>
      <c r="T1032" s="234"/>
    </row>
    <row r="1033" spans="1:20" s="18" customFormat="1">
      <c r="A1033" s="16" t="s">
        <v>340</v>
      </c>
      <c r="B1033" s="14">
        <v>757</v>
      </c>
      <c r="C1033" s="15" t="s">
        <v>26</v>
      </c>
      <c r="D1033" s="15" t="s">
        <v>26</v>
      </c>
      <c r="E1033" s="15" t="s">
        <v>198</v>
      </c>
      <c r="F1033" s="15"/>
      <c r="G1033" s="87">
        <f>G1034+G1036</f>
        <v>187400</v>
      </c>
      <c r="H1033" s="87">
        <f>H1034+H1036</f>
        <v>189000</v>
      </c>
      <c r="I1033" s="87">
        <f>I1034+I1036</f>
        <v>189000</v>
      </c>
      <c r="J1033" s="17">
        <v>100000</v>
      </c>
      <c r="P1033" s="17"/>
      <c r="Q1033" s="17"/>
      <c r="R1033" s="17"/>
      <c r="S1033" s="17"/>
      <c r="T1033" s="17"/>
    </row>
    <row r="1034" spans="1:20" s="18" customFormat="1" ht="25.5">
      <c r="A1034" s="16" t="s">
        <v>36</v>
      </c>
      <c r="B1034" s="14">
        <v>757</v>
      </c>
      <c r="C1034" s="15" t="s">
        <v>26</v>
      </c>
      <c r="D1034" s="15" t="s">
        <v>26</v>
      </c>
      <c r="E1034" s="15" t="s">
        <v>198</v>
      </c>
      <c r="F1034" s="15" t="s">
        <v>37</v>
      </c>
      <c r="G1034" s="87">
        <f>G1035</f>
        <v>187400</v>
      </c>
      <c r="H1034" s="87">
        <f>H1035</f>
        <v>189000</v>
      </c>
      <c r="I1034" s="87">
        <f>I1035</f>
        <v>189000</v>
      </c>
      <c r="J1034" s="17"/>
      <c r="P1034" s="17"/>
      <c r="Q1034" s="17"/>
      <c r="R1034" s="17"/>
      <c r="S1034" s="17"/>
      <c r="T1034" s="17"/>
    </row>
    <row r="1035" spans="1:20" s="18" customFormat="1" ht="25.5">
      <c r="A1035" s="16" t="s">
        <v>38</v>
      </c>
      <c r="B1035" s="14">
        <v>757</v>
      </c>
      <c r="C1035" s="15" t="s">
        <v>26</v>
      </c>
      <c r="D1035" s="15" t="s">
        <v>26</v>
      </c>
      <c r="E1035" s="15" t="s">
        <v>198</v>
      </c>
      <c r="F1035" s="15" t="s">
        <v>39</v>
      </c>
      <c r="G1035" s="87">
        <f>'прил 5,'!G123+'прил 5,'!G1650</f>
        <v>187400</v>
      </c>
      <c r="H1035" s="87">
        <f>'прил 5,'!H123+'прил 5,'!H1650</f>
        <v>189000</v>
      </c>
      <c r="I1035" s="87">
        <f>'прил 5,'!I123+'прил 5,'!I1650</f>
        <v>189000</v>
      </c>
      <c r="J1035" s="87">
        <f>'прил 5,'!K123+'прил 5,'!K1650</f>
        <v>0</v>
      </c>
      <c r="K1035" s="87">
        <f>'прил 5,'!L123+'прил 5,'!L1650</f>
        <v>0</v>
      </c>
      <c r="L1035" s="87">
        <f>'прил 5,'!M123+'прил 5,'!M1650</f>
        <v>0</v>
      </c>
      <c r="M1035" s="87">
        <f>'прил 5,'!N123+'прил 5,'!N1650</f>
        <v>0</v>
      </c>
      <c r="N1035" s="87">
        <f>'прил 5,'!O123+'прил 5,'!O1650</f>
        <v>0</v>
      </c>
      <c r="O1035" s="87">
        <f>'прил 5,'!P123+'прил 5,'!P1650</f>
        <v>0</v>
      </c>
      <c r="P1035" s="17"/>
      <c r="Q1035" s="17"/>
      <c r="R1035" s="17"/>
      <c r="S1035" s="17"/>
      <c r="T1035" s="17"/>
    </row>
    <row r="1036" spans="1:20" s="18" customFormat="1" ht="25.5" hidden="1">
      <c r="A1036" s="16" t="s">
        <v>30</v>
      </c>
      <c r="B1036" s="15" t="s">
        <v>94</v>
      </c>
      <c r="C1036" s="15" t="s">
        <v>26</v>
      </c>
      <c r="D1036" s="15" t="s">
        <v>70</v>
      </c>
      <c r="E1036" s="15" t="s">
        <v>198</v>
      </c>
      <c r="F1036" s="15" t="s">
        <v>31</v>
      </c>
      <c r="G1036" s="70">
        <f>G1040</f>
        <v>0</v>
      </c>
      <c r="H1036" s="70">
        <f t="shared" ref="H1036:I1036" si="293">H1040</f>
        <v>0</v>
      </c>
      <c r="I1036" s="70">
        <f t="shared" si="293"/>
        <v>0</v>
      </c>
      <c r="J1036" s="17"/>
      <c r="P1036" s="17"/>
      <c r="Q1036" s="17"/>
      <c r="R1036" s="17"/>
      <c r="S1036" s="17"/>
      <c r="T1036" s="17"/>
    </row>
    <row r="1037" spans="1:20" s="18" customFormat="1" ht="25.5">
      <c r="A1037" s="16" t="s">
        <v>299</v>
      </c>
      <c r="B1037" s="14">
        <v>793</v>
      </c>
      <c r="C1037" s="15" t="s">
        <v>26</v>
      </c>
      <c r="D1037" s="15" t="s">
        <v>26</v>
      </c>
      <c r="E1037" s="15" t="s">
        <v>804</v>
      </c>
      <c r="F1037" s="15"/>
      <c r="G1037" s="70">
        <f>G1038</f>
        <v>144000</v>
      </c>
      <c r="H1037" s="70"/>
      <c r="I1037" s="70"/>
      <c r="J1037" s="177"/>
      <c r="K1037" s="200"/>
      <c r="L1037" s="200"/>
      <c r="M1037" s="200"/>
      <c r="N1037" s="200"/>
      <c r="O1037" s="200"/>
      <c r="P1037" s="200"/>
      <c r="Q1037" s="200"/>
      <c r="R1037" s="200"/>
    </row>
    <row r="1038" spans="1:20" s="18" customFormat="1" ht="25.5">
      <c r="A1038" s="16" t="s">
        <v>36</v>
      </c>
      <c r="B1038" s="15" t="s">
        <v>845</v>
      </c>
      <c r="C1038" s="15" t="s">
        <v>26</v>
      </c>
      <c r="D1038" s="15" t="s">
        <v>26</v>
      </c>
      <c r="E1038" s="15" t="s">
        <v>804</v>
      </c>
      <c r="F1038" s="15" t="s">
        <v>37</v>
      </c>
      <c r="G1038" s="70">
        <f>G1039</f>
        <v>144000</v>
      </c>
      <c r="H1038" s="70">
        <f>H1039</f>
        <v>0</v>
      </c>
      <c r="I1038" s="70">
        <f>I1039</f>
        <v>0</v>
      </c>
      <c r="J1038" s="177"/>
      <c r="K1038" s="200"/>
      <c r="L1038" s="200"/>
      <c r="M1038" s="200"/>
      <c r="N1038" s="200"/>
      <c r="O1038" s="200"/>
      <c r="P1038" s="200"/>
      <c r="Q1038" s="200"/>
      <c r="R1038" s="200"/>
    </row>
    <row r="1039" spans="1:20" s="18" customFormat="1" ht="25.5">
      <c r="A1039" s="16" t="s">
        <v>38</v>
      </c>
      <c r="B1039" s="15" t="s">
        <v>845</v>
      </c>
      <c r="C1039" s="15" t="s">
        <v>26</v>
      </c>
      <c r="D1039" s="15" t="s">
        <v>26</v>
      </c>
      <c r="E1039" s="15" t="s">
        <v>804</v>
      </c>
      <c r="F1039" s="15" t="s">
        <v>39</v>
      </c>
      <c r="G1039" s="70">
        <f>'прил 5,'!G1653</f>
        <v>144000</v>
      </c>
      <c r="H1039" s="70"/>
      <c r="I1039" s="70"/>
      <c r="J1039" s="177"/>
      <c r="K1039" s="200"/>
      <c r="L1039" s="200"/>
      <c r="M1039" s="200"/>
      <c r="N1039" s="200"/>
      <c r="O1039" s="200"/>
      <c r="P1039" s="200"/>
      <c r="Q1039" s="200"/>
      <c r="R1039" s="200"/>
    </row>
    <row r="1040" spans="1:20" s="18" customFormat="1">
      <c r="A1040" s="16" t="s">
        <v>32</v>
      </c>
      <c r="B1040" s="15" t="s">
        <v>94</v>
      </c>
      <c r="C1040" s="15" t="s">
        <v>26</v>
      </c>
      <c r="D1040" s="15" t="s">
        <v>70</v>
      </c>
      <c r="E1040" s="15" t="s">
        <v>198</v>
      </c>
      <c r="F1040" s="15" t="s">
        <v>33</v>
      </c>
      <c r="G1040" s="70">
        <f>'прил 5,'!G125+'прил 5,'!G957</f>
        <v>0</v>
      </c>
      <c r="H1040" s="70">
        <f>'прил 5,'!H125+'прил 5,'!H957</f>
        <v>0</v>
      </c>
      <c r="I1040" s="70">
        <f>'прил 5,'!I125+'прил 5,'!I957</f>
        <v>0</v>
      </c>
      <c r="J1040" s="17"/>
      <c r="P1040" s="17"/>
      <c r="Q1040" s="17"/>
      <c r="R1040" s="17"/>
      <c r="S1040" s="17"/>
      <c r="T1040" s="17"/>
    </row>
    <row r="1041" spans="1:20" s="18" customFormat="1" ht="25.5" hidden="1">
      <c r="A1041" s="82" t="s">
        <v>299</v>
      </c>
      <c r="B1041" s="14">
        <v>757</v>
      </c>
      <c r="C1041" s="15" t="s">
        <v>26</v>
      </c>
      <c r="D1041" s="15" t="s">
        <v>26</v>
      </c>
      <c r="E1041" s="15" t="s">
        <v>804</v>
      </c>
      <c r="F1041" s="15"/>
      <c r="G1041" s="87">
        <f>G1042</f>
        <v>0</v>
      </c>
      <c r="H1041" s="70"/>
      <c r="I1041" s="70"/>
      <c r="P1041" s="17"/>
      <c r="Q1041" s="17"/>
      <c r="R1041" s="17"/>
      <c r="S1041" s="17"/>
      <c r="T1041" s="17"/>
    </row>
    <row r="1042" spans="1:20" s="18" customFormat="1" ht="25.5" hidden="1">
      <c r="A1042" s="82" t="s">
        <v>36</v>
      </c>
      <c r="B1042" s="14">
        <v>757</v>
      </c>
      <c r="C1042" s="15" t="s">
        <v>26</v>
      </c>
      <c r="D1042" s="15" t="s">
        <v>26</v>
      </c>
      <c r="E1042" s="15" t="s">
        <v>804</v>
      </c>
      <c r="F1042" s="15" t="s">
        <v>37</v>
      </c>
      <c r="G1042" s="87">
        <f>G1043</f>
        <v>0</v>
      </c>
      <c r="H1042" s="70"/>
      <c r="I1042" s="70"/>
      <c r="P1042" s="17"/>
      <c r="Q1042" s="17"/>
      <c r="R1042" s="17"/>
      <c r="S1042" s="17"/>
      <c r="T1042" s="17"/>
    </row>
    <row r="1043" spans="1:20" s="18" customFormat="1" ht="25.5" hidden="1">
      <c r="A1043" s="82" t="s">
        <v>38</v>
      </c>
      <c r="B1043" s="14">
        <v>757</v>
      </c>
      <c r="C1043" s="15" t="s">
        <v>26</v>
      </c>
      <c r="D1043" s="15" t="s">
        <v>26</v>
      </c>
      <c r="E1043" s="15" t="s">
        <v>804</v>
      </c>
      <c r="F1043" s="15" t="s">
        <v>39</v>
      </c>
      <c r="G1043" s="70">
        <f>'прил 5,'!G128</f>
        <v>0</v>
      </c>
      <c r="H1043" s="70"/>
      <c r="I1043" s="70"/>
      <c r="P1043" s="17"/>
      <c r="Q1043" s="17"/>
      <c r="R1043" s="17"/>
      <c r="S1043" s="17"/>
      <c r="T1043" s="17"/>
    </row>
    <row r="1044" spans="1:20" s="22" customFormat="1" ht="51">
      <c r="A1044" s="34" t="s">
        <v>472</v>
      </c>
      <c r="B1044" s="35">
        <v>793</v>
      </c>
      <c r="C1044" s="36" t="s">
        <v>70</v>
      </c>
      <c r="D1044" s="36" t="s">
        <v>310</v>
      </c>
      <c r="E1044" s="36" t="s">
        <v>255</v>
      </c>
      <c r="F1044" s="36"/>
      <c r="G1044" s="71">
        <f>G1045+G1048+G1051</f>
        <v>186600</v>
      </c>
      <c r="H1044" s="71">
        <f t="shared" ref="H1044:I1044" si="294">H1045+H1048+H1051</f>
        <v>110000</v>
      </c>
      <c r="I1044" s="71">
        <f t="shared" si="294"/>
        <v>105000</v>
      </c>
      <c r="J1044" s="21">
        <v>100000</v>
      </c>
      <c r="P1044" s="21"/>
      <c r="Q1044" s="21"/>
      <c r="R1044" s="21"/>
      <c r="S1044" s="21"/>
      <c r="T1044" s="21"/>
    </row>
    <row r="1045" spans="1:20" ht="63.75">
      <c r="A1045" s="16" t="s">
        <v>520</v>
      </c>
      <c r="B1045" s="14">
        <v>793</v>
      </c>
      <c r="C1045" s="15" t="s">
        <v>70</v>
      </c>
      <c r="D1045" s="15" t="s">
        <v>310</v>
      </c>
      <c r="E1045" s="15" t="s">
        <v>256</v>
      </c>
      <c r="F1045" s="15"/>
      <c r="G1045" s="87">
        <f t="shared" ref="G1045:I1046" si="295">G1046</f>
        <v>166600</v>
      </c>
      <c r="H1045" s="87">
        <f t="shared" si="295"/>
        <v>105000</v>
      </c>
      <c r="I1045" s="87">
        <f t="shared" si="295"/>
        <v>105000</v>
      </c>
    </row>
    <row r="1046" spans="1:20" ht="25.5">
      <c r="A1046" s="16" t="s">
        <v>38</v>
      </c>
      <c r="B1046" s="14">
        <v>793</v>
      </c>
      <c r="C1046" s="15" t="s">
        <v>70</v>
      </c>
      <c r="D1046" s="15" t="s">
        <v>310</v>
      </c>
      <c r="E1046" s="15" t="s">
        <v>256</v>
      </c>
      <c r="F1046" s="15" t="s">
        <v>37</v>
      </c>
      <c r="G1046" s="87">
        <f t="shared" si="295"/>
        <v>166600</v>
      </c>
      <c r="H1046" s="87">
        <f t="shared" si="295"/>
        <v>105000</v>
      </c>
      <c r="I1046" s="87">
        <f t="shared" si="295"/>
        <v>105000</v>
      </c>
    </row>
    <row r="1047" spans="1:20" ht="33" customHeight="1">
      <c r="A1047" s="16" t="s">
        <v>38</v>
      </c>
      <c r="B1047" s="14">
        <v>793</v>
      </c>
      <c r="C1047" s="15" t="s">
        <v>70</v>
      </c>
      <c r="D1047" s="15" t="s">
        <v>310</v>
      </c>
      <c r="E1047" s="15" t="s">
        <v>256</v>
      </c>
      <c r="F1047" s="15" t="s">
        <v>39</v>
      </c>
      <c r="G1047" s="87">
        <f>'прил 5,'!G1333</f>
        <v>166600</v>
      </c>
      <c r="H1047" s="87">
        <f>'прил 5,'!H1333</f>
        <v>105000</v>
      </c>
      <c r="I1047" s="87">
        <f>'прил 5,'!I1333</f>
        <v>105000</v>
      </c>
    </row>
    <row r="1048" spans="1:20" ht="38.25">
      <c r="A1048" s="16" t="s">
        <v>417</v>
      </c>
      <c r="B1048" s="14">
        <v>793</v>
      </c>
      <c r="C1048" s="15" t="s">
        <v>70</v>
      </c>
      <c r="D1048" s="15" t="s">
        <v>310</v>
      </c>
      <c r="E1048" s="15" t="s">
        <v>416</v>
      </c>
      <c r="F1048" s="15"/>
      <c r="G1048" s="70">
        <f>G1049</f>
        <v>20000</v>
      </c>
      <c r="H1048" s="70">
        <f t="shared" ref="H1048:I1048" si="296">H1049</f>
        <v>5000</v>
      </c>
      <c r="I1048" s="70">
        <f t="shared" si="296"/>
        <v>0</v>
      </c>
      <c r="J1048" s="1"/>
    </row>
    <row r="1049" spans="1:20" ht="25.5">
      <c r="A1049" s="16" t="s">
        <v>38</v>
      </c>
      <c r="B1049" s="14">
        <v>793</v>
      </c>
      <c r="C1049" s="15" t="s">
        <v>70</v>
      </c>
      <c r="D1049" s="15" t="s">
        <v>310</v>
      </c>
      <c r="E1049" s="15" t="s">
        <v>416</v>
      </c>
      <c r="F1049" s="15" t="s">
        <v>37</v>
      </c>
      <c r="G1049" s="70">
        <f>G1050</f>
        <v>20000</v>
      </c>
      <c r="H1049" s="70">
        <f t="shared" ref="H1049:O1049" si="297">H1050</f>
        <v>5000</v>
      </c>
      <c r="I1049" s="70">
        <f t="shared" si="297"/>
        <v>0</v>
      </c>
      <c r="J1049" s="70">
        <f t="shared" si="297"/>
        <v>0</v>
      </c>
      <c r="K1049" s="70">
        <f t="shared" si="297"/>
        <v>0</v>
      </c>
      <c r="L1049" s="70">
        <f t="shared" si="297"/>
        <v>0</v>
      </c>
      <c r="M1049" s="70">
        <f t="shared" si="297"/>
        <v>0</v>
      </c>
      <c r="N1049" s="70">
        <f t="shared" si="297"/>
        <v>0</v>
      </c>
      <c r="O1049" s="70">
        <f t="shared" si="297"/>
        <v>0</v>
      </c>
    </row>
    <row r="1050" spans="1:20" ht="25.5">
      <c r="A1050" s="16" t="s">
        <v>38</v>
      </c>
      <c r="B1050" s="14">
        <v>793</v>
      </c>
      <c r="C1050" s="15" t="s">
        <v>70</v>
      </c>
      <c r="D1050" s="15" t="s">
        <v>310</v>
      </c>
      <c r="E1050" s="15" t="s">
        <v>416</v>
      </c>
      <c r="F1050" s="15" t="s">
        <v>39</v>
      </c>
      <c r="G1050" s="70">
        <f>'прил 5,'!G1336</f>
        <v>20000</v>
      </c>
      <c r="H1050" s="70">
        <f>'прил 5,'!H1336</f>
        <v>5000</v>
      </c>
      <c r="I1050" s="70">
        <f>'прил 5,'!I1336</f>
        <v>0</v>
      </c>
      <c r="J1050" s="1"/>
    </row>
    <row r="1051" spans="1:20" ht="46.5" hidden="1" customHeight="1">
      <c r="A1051" s="57" t="s">
        <v>500</v>
      </c>
      <c r="B1051" s="14">
        <v>793</v>
      </c>
      <c r="C1051" s="15" t="s">
        <v>70</v>
      </c>
      <c r="D1051" s="15" t="s">
        <v>310</v>
      </c>
      <c r="E1051" s="15" t="s">
        <v>785</v>
      </c>
      <c r="F1051" s="15"/>
      <c r="G1051" s="70">
        <f>G1052</f>
        <v>0</v>
      </c>
      <c r="H1051" s="70">
        <f t="shared" ref="H1051:I1051" si="298">H1052</f>
        <v>0</v>
      </c>
      <c r="I1051" s="70">
        <f t="shared" si="298"/>
        <v>0</v>
      </c>
      <c r="J1051" s="1"/>
    </row>
    <row r="1052" spans="1:20" hidden="1">
      <c r="A1052" s="16" t="s">
        <v>324</v>
      </c>
      <c r="B1052" s="14">
        <v>793</v>
      </c>
      <c r="C1052" s="15" t="s">
        <v>70</v>
      </c>
      <c r="D1052" s="15" t="s">
        <v>310</v>
      </c>
      <c r="E1052" s="15" t="s">
        <v>785</v>
      </c>
      <c r="F1052" s="15" t="s">
        <v>37</v>
      </c>
      <c r="G1052" s="70">
        <f>G1053</f>
        <v>0</v>
      </c>
      <c r="H1052" s="70">
        <f>H1053</f>
        <v>0</v>
      </c>
      <c r="I1052" s="70">
        <f>I1053</f>
        <v>0</v>
      </c>
      <c r="J1052" s="1"/>
    </row>
    <row r="1053" spans="1:20" ht="25.5" hidden="1">
      <c r="A1053" s="16" t="s">
        <v>38</v>
      </c>
      <c r="B1053" s="14">
        <v>793</v>
      </c>
      <c r="C1053" s="15" t="s">
        <v>70</v>
      </c>
      <c r="D1053" s="15" t="s">
        <v>310</v>
      </c>
      <c r="E1053" s="15" t="s">
        <v>785</v>
      </c>
      <c r="F1053" s="15" t="s">
        <v>39</v>
      </c>
      <c r="G1053" s="70"/>
      <c r="H1053" s="70"/>
      <c r="I1053" s="70"/>
      <c r="J1053" s="1"/>
    </row>
    <row r="1054" spans="1:20" s="235" customFormat="1" ht="30" hidden="1" customHeight="1">
      <c r="A1054" s="77" t="s">
        <v>483</v>
      </c>
      <c r="B1054" s="36" t="s">
        <v>94</v>
      </c>
      <c r="C1054" s="36" t="s">
        <v>26</v>
      </c>
      <c r="D1054" s="36" t="s">
        <v>19</v>
      </c>
      <c r="E1054" s="36" t="s">
        <v>220</v>
      </c>
      <c r="F1054" s="36"/>
      <c r="G1054" s="71">
        <f>G1055</f>
        <v>0</v>
      </c>
      <c r="H1054" s="71">
        <f>H1055</f>
        <v>0</v>
      </c>
      <c r="I1054" s="71">
        <f>I1055</f>
        <v>0</v>
      </c>
      <c r="J1054" s="234">
        <v>100000</v>
      </c>
      <c r="P1054" s="234"/>
      <c r="Q1054" s="234"/>
      <c r="R1054" s="234"/>
      <c r="S1054" s="234"/>
      <c r="T1054" s="234"/>
    </row>
    <row r="1055" spans="1:20" s="18" customFormat="1" ht="25.5" hidden="1">
      <c r="A1055" s="16" t="s">
        <v>99</v>
      </c>
      <c r="B1055" s="15" t="s">
        <v>94</v>
      </c>
      <c r="C1055" s="15" t="s">
        <v>26</v>
      </c>
      <c r="D1055" s="15" t="s">
        <v>19</v>
      </c>
      <c r="E1055" s="15" t="s">
        <v>221</v>
      </c>
      <c r="F1055" s="15"/>
      <c r="G1055" s="87">
        <f>G1056+G1058</f>
        <v>0</v>
      </c>
      <c r="H1055" s="87">
        <f>H1056+H1058</f>
        <v>0</v>
      </c>
      <c r="I1055" s="87">
        <f>I1056+I1058</f>
        <v>0</v>
      </c>
      <c r="J1055" s="17">
        <v>50000</v>
      </c>
      <c r="P1055" s="17"/>
      <c r="Q1055" s="17"/>
      <c r="R1055" s="17"/>
      <c r="S1055" s="17"/>
      <c r="T1055" s="17"/>
    </row>
    <row r="1056" spans="1:20" s="18" customFormat="1" ht="25.5" hidden="1" customHeight="1">
      <c r="A1056" s="16" t="s">
        <v>354</v>
      </c>
      <c r="B1056" s="14">
        <v>793</v>
      </c>
      <c r="C1056" s="15" t="s">
        <v>69</v>
      </c>
      <c r="D1056" s="15" t="s">
        <v>70</v>
      </c>
      <c r="E1056" s="15" t="s">
        <v>221</v>
      </c>
      <c r="F1056" s="15" t="s">
        <v>149</v>
      </c>
      <c r="G1056" s="87">
        <f>G1057</f>
        <v>0</v>
      </c>
      <c r="H1056" s="87">
        <f>H1057</f>
        <v>0</v>
      </c>
      <c r="I1056" s="87">
        <f>I1057</f>
        <v>0</v>
      </c>
      <c r="J1056" s="17">
        <v>630000</v>
      </c>
      <c r="P1056" s="17"/>
      <c r="Q1056" s="17"/>
      <c r="R1056" s="17"/>
      <c r="S1056" s="17"/>
      <c r="T1056" s="17"/>
    </row>
    <row r="1057" spans="1:20" s="18" customFormat="1" ht="25.5" hidden="1">
      <c r="A1057" s="16" t="s">
        <v>150</v>
      </c>
      <c r="B1057" s="14">
        <v>793</v>
      </c>
      <c r="C1057" s="15" t="s">
        <v>69</v>
      </c>
      <c r="D1057" s="15" t="s">
        <v>70</v>
      </c>
      <c r="E1057" s="15" t="s">
        <v>221</v>
      </c>
      <c r="F1057" s="15" t="s">
        <v>151</v>
      </c>
      <c r="G1057" s="87">
        <f>'прил 5,'!G1695</f>
        <v>0</v>
      </c>
      <c r="H1057" s="87">
        <f>'прил 5,'!H1695</f>
        <v>0</v>
      </c>
      <c r="I1057" s="87">
        <f>'прил 5,'!I1695</f>
        <v>0</v>
      </c>
      <c r="J1057" s="17">
        <f>SUM(J1054:J1056)</f>
        <v>780000</v>
      </c>
      <c r="P1057" s="17"/>
      <c r="Q1057" s="17"/>
      <c r="R1057" s="17"/>
      <c r="S1057" s="17"/>
      <c r="T1057" s="17"/>
    </row>
    <row r="1058" spans="1:20" s="18" customFormat="1" ht="25.5" hidden="1">
      <c r="A1058" s="16" t="s">
        <v>30</v>
      </c>
      <c r="B1058" s="15" t="s">
        <v>94</v>
      </c>
      <c r="C1058" s="15" t="s">
        <v>26</v>
      </c>
      <c r="D1058" s="15" t="s">
        <v>19</v>
      </c>
      <c r="E1058" s="15" t="s">
        <v>221</v>
      </c>
      <c r="F1058" s="15" t="s">
        <v>31</v>
      </c>
      <c r="G1058" s="87">
        <f>G1059</f>
        <v>0</v>
      </c>
      <c r="H1058" s="87">
        <f>H1059</f>
        <v>0</v>
      </c>
      <c r="I1058" s="87">
        <f>I1059</f>
        <v>0</v>
      </c>
      <c r="J1058" s="17"/>
      <c r="P1058" s="17"/>
      <c r="Q1058" s="17"/>
      <c r="R1058" s="17"/>
      <c r="S1058" s="17"/>
      <c r="T1058" s="17"/>
    </row>
    <row r="1059" spans="1:20" s="18" customFormat="1" hidden="1">
      <c r="A1059" s="16" t="s">
        <v>32</v>
      </c>
      <c r="B1059" s="15" t="s">
        <v>94</v>
      </c>
      <c r="C1059" s="15" t="s">
        <v>26</v>
      </c>
      <c r="D1059" s="15" t="s">
        <v>19</v>
      </c>
      <c r="E1059" s="15" t="s">
        <v>221</v>
      </c>
      <c r="F1059" s="15" t="s">
        <v>33</v>
      </c>
      <c r="G1059" s="87">
        <f>'прил 5,'!G545+'прил 5,'!G729</f>
        <v>0</v>
      </c>
      <c r="H1059" s="87">
        <f>'прил 5,'!H545+'прил 5,'!H729</f>
        <v>0</v>
      </c>
      <c r="I1059" s="87">
        <f>'прил 5,'!I545+'прил 5,'!I729</f>
        <v>0</v>
      </c>
      <c r="J1059" s="17"/>
      <c r="P1059" s="17"/>
      <c r="Q1059" s="17"/>
      <c r="R1059" s="17"/>
      <c r="S1059" s="17"/>
      <c r="T1059" s="17"/>
    </row>
    <row r="1060" spans="1:20" s="22" customFormat="1" ht="38.25">
      <c r="A1060" s="34" t="s">
        <v>484</v>
      </c>
      <c r="B1060" s="35">
        <v>793</v>
      </c>
      <c r="C1060" s="36" t="s">
        <v>70</v>
      </c>
      <c r="D1060" s="36" t="s">
        <v>310</v>
      </c>
      <c r="E1060" s="36" t="s">
        <v>257</v>
      </c>
      <c r="F1060" s="36"/>
      <c r="G1060" s="71">
        <f>G1061</f>
        <v>323000</v>
      </c>
      <c r="H1060" s="71">
        <f>H1063+H1064</f>
        <v>328000</v>
      </c>
      <c r="I1060" s="71">
        <f>I1063+I1064</f>
        <v>323000</v>
      </c>
      <c r="J1060" s="21">
        <v>100000</v>
      </c>
      <c r="P1060" s="21"/>
      <c r="Q1060" s="21"/>
      <c r="R1060" s="21"/>
      <c r="S1060" s="21"/>
      <c r="T1060" s="21"/>
    </row>
    <row r="1061" spans="1:20" ht="38.25">
      <c r="A1061" s="16" t="s">
        <v>337</v>
      </c>
      <c r="B1061" s="14">
        <v>793</v>
      </c>
      <c r="C1061" s="15" t="s">
        <v>70</v>
      </c>
      <c r="D1061" s="15" t="s">
        <v>310</v>
      </c>
      <c r="E1061" s="15" t="s">
        <v>258</v>
      </c>
      <c r="F1061" s="15"/>
      <c r="G1061" s="87">
        <f>G1062+G1064</f>
        <v>323000</v>
      </c>
      <c r="H1061" s="87">
        <f t="shared" ref="H1061:I1061" si="299">H1062+H1064</f>
        <v>328000</v>
      </c>
      <c r="I1061" s="87">
        <f t="shared" si="299"/>
        <v>323000</v>
      </c>
      <c r="J1061" s="2">
        <v>75000</v>
      </c>
    </row>
    <row r="1062" spans="1:20" ht="25.5">
      <c r="A1062" s="16" t="s">
        <v>38</v>
      </c>
      <c r="B1062" s="14">
        <v>793</v>
      </c>
      <c r="C1062" s="15" t="s">
        <v>70</v>
      </c>
      <c r="D1062" s="15" t="s">
        <v>310</v>
      </c>
      <c r="E1062" s="15" t="s">
        <v>258</v>
      </c>
      <c r="F1062" s="15" t="s">
        <v>37</v>
      </c>
      <c r="G1062" s="87">
        <f>G1063</f>
        <v>123000</v>
      </c>
      <c r="H1062" s="87">
        <f t="shared" ref="H1062:I1062" si="300">H1063</f>
        <v>128000</v>
      </c>
      <c r="I1062" s="87">
        <f t="shared" si="300"/>
        <v>123000</v>
      </c>
    </row>
    <row r="1063" spans="1:20" ht="31.5" customHeight="1">
      <c r="A1063" s="16" t="s">
        <v>38</v>
      </c>
      <c r="B1063" s="14">
        <v>793</v>
      </c>
      <c r="C1063" s="15" t="s">
        <v>70</v>
      </c>
      <c r="D1063" s="15" t="s">
        <v>310</v>
      </c>
      <c r="E1063" s="15" t="s">
        <v>258</v>
      </c>
      <c r="F1063" s="15" t="s">
        <v>39</v>
      </c>
      <c r="G1063" s="87">
        <f>'прил 5,'!G1343+'прил 5,'!G465</f>
        <v>123000</v>
      </c>
      <c r="H1063" s="87">
        <f>'прил 5,'!H465+'прил 5,'!H1343</f>
        <v>128000</v>
      </c>
      <c r="I1063" s="87">
        <f>'прил 5,'!I465+'прил 5,'!I1343</f>
        <v>123000</v>
      </c>
    </row>
    <row r="1064" spans="1:20" s="18" customFormat="1" ht="25.5">
      <c r="A1064" s="16" t="s">
        <v>30</v>
      </c>
      <c r="B1064" s="14">
        <v>774</v>
      </c>
      <c r="C1064" s="15" t="s">
        <v>70</v>
      </c>
      <c r="D1064" s="15" t="s">
        <v>310</v>
      </c>
      <c r="E1064" s="15" t="s">
        <v>258</v>
      </c>
      <c r="F1064" s="15" t="s">
        <v>31</v>
      </c>
      <c r="G1064" s="70">
        <f t="shared" ref="G1064:I1064" si="301">G1065</f>
        <v>200000</v>
      </c>
      <c r="H1064" s="70">
        <f t="shared" si="301"/>
        <v>200000</v>
      </c>
      <c r="I1064" s="70">
        <f t="shared" si="301"/>
        <v>200000</v>
      </c>
      <c r="P1064" s="17"/>
      <c r="Q1064" s="17"/>
      <c r="R1064" s="17"/>
      <c r="S1064" s="17"/>
      <c r="T1064" s="17"/>
    </row>
    <row r="1065" spans="1:20" s="18" customFormat="1">
      <c r="A1065" s="16" t="s">
        <v>32</v>
      </c>
      <c r="B1065" s="14">
        <v>774</v>
      </c>
      <c r="C1065" s="15" t="s">
        <v>70</v>
      </c>
      <c r="D1065" s="15" t="s">
        <v>310</v>
      </c>
      <c r="E1065" s="15" t="s">
        <v>258</v>
      </c>
      <c r="F1065" s="15" t="s">
        <v>33</v>
      </c>
      <c r="G1065" s="70">
        <f>'прил 5,'!G467</f>
        <v>200000</v>
      </c>
      <c r="H1065" s="70">
        <f>'прил 5,'!H467</f>
        <v>200000</v>
      </c>
      <c r="I1065" s="70">
        <f>'прил 5,'!I467</f>
        <v>200000</v>
      </c>
      <c r="L1065" s="17"/>
      <c r="P1065" s="17"/>
      <c r="Q1065" s="17"/>
      <c r="R1065" s="17"/>
      <c r="S1065" s="17"/>
      <c r="T1065" s="17"/>
    </row>
    <row r="1066" spans="1:20" s="76" customFormat="1" ht="45" customHeight="1">
      <c r="A1066" s="34" t="s">
        <v>443</v>
      </c>
      <c r="B1066" s="35">
        <v>792</v>
      </c>
      <c r="C1066" s="36" t="s">
        <v>19</v>
      </c>
      <c r="D1066" s="36" t="s">
        <v>54</v>
      </c>
      <c r="E1066" s="36" t="s">
        <v>230</v>
      </c>
      <c r="F1066" s="75"/>
      <c r="G1066" s="71">
        <f>G1067+G1075+G1079</f>
        <v>65605954.609999999</v>
      </c>
      <c r="H1066" s="71">
        <f>H1067+H1075+H1079</f>
        <v>40964083.840000004</v>
      </c>
      <c r="I1066" s="71">
        <f>I1067+I1075+I1079</f>
        <v>41911059.609999999</v>
      </c>
      <c r="J1066" s="239">
        <v>1012500</v>
      </c>
      <c r="P1066" s="175"/>
      <c r="Q1066" s="239"/>
      <c r="R1066" s="239"/>
      <c r="S1066" s="239"/>
      <c r="T1066" s="239"/>
    </row>
    <row r="1067" spans="1:20" s="46" customFormat="1" ht="51" customHeight="1">
      <c r="A1067" s="16" t="s">
        <v>162</v>
      </c>
      <c r="B1067" s="14">
        <v>792</v>
      </c>
      <c r="C1067" s="15" t="s">
        <v>19</v>
      </c>
      <c r="D1067" s="15" t="s">
        <v>161</v>
      </c>
      <c r="E1067" s="15" t="s">
        <v>232</v>
      </c>
      <c r="F1067" s="15"/>
      <c r="G1067" s="87">
        <f>G1068</f>
        <v>11937631</v>
      </c>
      <c r="H1067" s="87">
        <f t="shared" ref="H1067:I1067" si="302">H1068</f>
        <v>12101328</v>
      </c>
      <c r="I1067" s="87">
        <f t="shared" si="302"/>
        <v>12270065</v>
      </c>
      <c r="J1067" s="110">
        <v>11992167</v>
      </c>
      <c r="P1067" s="110"/>
      <c r="Q1067" s="110"/>
      <c r="R1067" s="110"/>
      <c r="S1067" s="110"/>
      <c r="T1067" s="110"/>
    </row>
    <row r="1068" spans="1:20" s="46" customFormat="1" ht="34.5" customHeight="1">
      <c r="A1068" s="16" t="s">
        <v>76</v>
      </c>
      <c r="B1068" s="14">
        <v>792</v>
      </c>
      <c r="C1068" s="15" t="s">
        <v>19</v>
      </c>
      <c r="D1068" s="15" t="s">
        <v>161</v>
      </c>
      <c r="E1068" s="15" t="s">
        <v>233</v>
      </c>
      <c r="F1068" s="15"/>
      <c r="G1068" s="87">
        <f>G1069+G1071+G1073</f>
        <v>11937631</v>
      </c>
      <c r="H1068" s="87">
        <f t="shared" ref="H1068:I1068" si="303">H1069+H1071+H1073</f>
        <v>12101328</v>
      </c>
      <c r="I1068" s="87">
        <f t="shared" si="303"/>
        <v>12270065</v>
      </c>
      <c r="J1068" s="110">
        <v>967059</v>
      </c>
      <c r="P1068" s="110"/>
      <c r="Q1068" s="110"/>
      <c r="R1068" s="110"/>
      <c r="S1068" s="110"/>
      <c r="T1068" s="110"/>
    </row>
    <row r="1069" spans="1:20" s="46" customFormat="1" ht="51">
      <c r="A1069" s="16" t="s">
        <v>55</v>
      </c>
      <c r="B1069" s="14">
        <v>792</v>
      </c>
      <c r="C1069" s="15" t="s">
        <v>19</v>
      </c>
      <c r="D1069" s="15" t="s">
        <v>161</v>
      </c>
      <c r="E1069" s="15" t="s">
        <v>233</v>
      </c>
      <c r="F1069" s="15" t="s">
        <v>58</v>
      </c>
      <c r="G1069" s="87">
        <f>G1070</f>
        <v>10759115</v>
      </c>
      <c r="H1069" s="87">
        <f>H1070</f>
        <v>10864936</v>
      </c>
      <c r="I1069" s="87">
        <f>I1070</f>
        <v>10971816</v>
      </c>
      <c r="J1069" s="110">
        <v>26000</v>
      </c>
      <c r="P1069" s="110"/>
      <c r="Q1069" s="110"/>
      <c r="R1069" s="110"/>
      <c r="S1069" s="110"/>
      <c r="T1069" s="110"/>
    </row>
    <row r="1070" spans="1:20" s="46" customFormat="1" ht="25.5">
      <c r="A1070" s="16" t="s">
        <v>56</v>
      </c>
      <c r="B1070" s="14">
        <v>792</v>
      </c>
      <c r="C1070" s="15" t="s">
        <v>19</v>
      </c>
      <c r="D1070" s="15" t="s">
        <v>161</v>
      </c>
      <c r="E1070" s="15" t="s">
        <v>233</v>
      </c>
      <c r="F1070" s="15" t="s">
        <v>59</v>
      </c>
      <c r="G1070" s="87">
        <f>'прил 5,'!G1061</f>
        <v>10759115</v>
      </c>
      <c r="H1070" s="87">
        <f>'прил 5,'!H1061</f>
        <v>10864936</v>
      </c>
      <c r="I1070" s="87">
        <f>'прил 5,'!I1061</f>
        <v>10971816</v>
      </c>
      <c r="J1070" s="110">
        <v>3043600</v>
      </c>
      <c r="P1070" s="110"/>
      <c r="Q1070" s="110"/>
      <c r="R1070" s="110"/>
      <c r="S1070" s="110"/>
      <c r="T1070" s="110"/>
    </row>
    <row r="1071" spans="1:20" s="46" customFormat="1" ht="25.5">
      <c r="A1071" s="16" t="s">
        <v>36</v>
      </c>
      <c r="B1071" s="14">
        <v>792</v>
      </c>
      <c r="C1071" s="15" t="s">
        <v>19</v>
      </c>
      <c r="D1071" s="15" t="s">
        <v>161</v>
      </c>
      <c r="E1071" s="15" t="s">
        <v>233</v>
      </c>
      <c r="F1071" s="15" t="s">
        <v>37</v>
      </c>
      <c r="G1071" s="87">
        <f>G1072</f>
        <v>1152516</v>
      </c>
      <c r="H1071" s="87">
        <f>H1072</f>
        <v>1209392</v>
      </c>
      <c r="I1071" s="87">
        <f>I1072</f>
        <v>1270249</v>
      </c>
      <c r="J1071" s="110">
        <v>50000</v>
      </c>
      <c r="P1071" s="110"/>
      <c r="Q1071" s="110"/>
      <c r="R1071" s="110"/>
      <c r="S1071" s="110"/>
      <c r="T1071" s="110"/>
    </row>
    <row r="1072" spans="1:20" s="46" customFormat="1" ht="25.5">
      <c r="A1072" s="16" t="s">
        <v>38</v>
      </c>
      <c r="B1072" s="14">
        <v>792</v>
      </c>
      <c r="C1072" s="15" t="s">
        <v>19</v>
      </c>
      <c r="D1072" s="15" t="s">
        <v>161</v>
      </c>
      <c r="E1072" s="15" t="s">
        <v>233</v>
      </c>
      <c r="F1072" s="15" t="s">
        <v>39</v>
      </c>
      <c r="G1072" s="87">
        <f>'прил 5,'!G1063</f>
        <v>1152516</v>
      </c>
      <c r="H1072" s="87">
        <f>'прил 5,'!H1063</f>
        <v>1209392</v>
      </c>
      <c r="I1072" s="87">
        <f>'прил 5,'!I1063</f>
        <v>1270249</v>
      </c>
      <c r="J1072" s="110">
        <v>15487188</v>
      </c>
      <c r="P1072" s="110"/>
      <c r="Q1072" s="110"/>
      <c r="R1072" s="110"/>
      <c r="S1072" s="110"/>
      <c r="T1072" s="110"/>
    </row>
    <row r="1073" spans="1:20" s="46" customFormat="1">
      <c r="A1073" s="30" t="s">
        <v>63</v>
      </c>
      <c r="B1073" s="14">
        <v>792</v>
      </c>
      <c r="C1073" s="15" t="s">
        <v>19</v>
      </c>
      <c r="D1073" s="15" t="s">
        <v>161</v>
      </c>
      <c r="E1073" s="15" t="s">
        <v>233</v>
      </c>
      <c r="F1073" s="15" t="s">
        <v>64</v>
      </c>
      <c r="G1073" s="70">
        <f>G1074</f>
        <v>26000</v>
      </c>
      <c r="H1073" s="70">
        <f>H1074</f>
        <v>27000</v>
      </c>
      <c r="I1073" s="70">
        <f>I1074</f>
        <v>28000</v>
      </c>
      <c r="J1073" s="110">
        <v>4802400</v>
      </c>
      <c r="P1073" s="110"/>
      <c r="Q1073" s="110"/>
      <c r="R1073" s="110"/>
      <c r="S1073" s="110"/>
      <c r="T1073" s="110"/>
    </row>
    <row r="1074" spans="1:20" s="46" customFormat="1">
      <c r="A1074" s="30" t="s">
        <v>144</v>
      </c>
      <c r="B1074" s="14">
        <v>792</v>
      </c>
      <c r="C1074" s="15" t="s">
        <v>19</v>
      </c>
      <c r="D1074" s="15" t="s">
        <v>161</v>
      </c>
      <c r="E1074" s="15" t="s">
        <v>233</v>
      </c>
      <c r="F1074" s="15" t="s">
        <v>67</v>
      </c>
      <c r="G1074" s="70">
        <f>'прил 5,'!G1065</f>
        <v>26000</v>
      </c>
      <c r="H1074" s="70">
        <f>'прил 5,'!H1065</f>
        <v>27000</v>
      </c>
      <c r="I1074" s="70">
        <f>'прил 5,'!I1065</f>
        <v>28000</v>
      </c>
      <c r="J1074" s="110">
        <v>16556640</v>
      </c>
      <c r="P1074" s="110"/>
      <c r="Q1074" s="110"/>
      <c r="R1074" s="110"/>
      <c r="S1074" s="110"/>
      <c r="T1074" s="110"/>
    </row>
    <row r="1075" spans="1:20" s="28" customFormat="1" ht="25.5">
      <c r="A1075" s="16" t="s">
        <v>303</v>
      </c>
      <c r="B1075" s="14">
        <v>792</v>
      </c>
      <c r="C1075" s="15" t="s">
        <v>23</v>
      </c>
      <c r="D1075" s="15" t="s">
        <v>19</v>
      </c>
      <c r="E1075" s="15" t="s">
        <v>236</v>
      </c>
      <c r="F1075" s="39"/>
      <c r="G1075" s="87">
        <f>G1076</f>
        <v>5220000</v>
      </c>
      <c r="H1075" s="87">
        <f t="shared" ref="H1075:I1077" si="304">H1076</f>
        <v>5220000</v>
      </c>
      <c r="I1075" s="87">
        <f t="shared" si="304"/>
        <v>5220000</v>
      </c>
      <c r="J1075" s="109">
        <v>3200000</v>
      </c>
      <c r="P1075" s="109"/>
      <c r="Q1075" s="109"/>
      <c r="R1075" s="109"/>
      <c r="S1075" s="109"/>
      <c r="T1075" s="109"/>
    </row>
    <row r="1076" spans="1:20">
      <c r="A1076" s="16" t="s">
        <v>304</v>
      </c>
      <c r="B1076" s="14">
        <v>792</v>
      </c>
      <c r="C1076" s="15" t="s">
        <v>23</v>
      </c>
      <c r="D1076" s="15" t="s">
        <v>19</v>
      </c>
      <c r="E1076" s="15" t="s">
        <v>237</v>
      </c>
      <c r="F1076" s="15"/>
      <c r="G1076" s="87">
        <f>G1077</f>
        <v>5220000</v>
      </c>
      <c r="H1076" s="87">
        <f t="shared" si="304"/>
        <v>5220000</v>
      </c>
      <c r="I1076" s="87">
        <f t="shared" si="304"/>
        <v>5220000</v>
      </c>
      <c r="J1076" s="2">
        <f>SUM(J1066:J1075)</f>
        <v>57137554</v>
      </c>
    </row>
    <row r="1077" spans="1:20">
      <c r="A1077" s="16" t="s">
        <v>305</v>
      </c>
      <c r="B1077" s="14">
        <v>792</v>
      </c>
      <c r="C1077" s="15" t="s">
        <v>23</v>
      </c>
      <c r="D1077" s="15" t="s">
        <v>19</v>
      </c>
      <c r="E1077" s="15" t="s">
        <v>237</v>
      </c>
      <c r="F1077" s="15" t="s">
        <v>306</v>
      </c>
      <c r="G1077" s="87">
        <f>G1078</f>
        <v>5220000</v>
      </c>
      <c r="H1077" s="87">
        <f t="shared" si="304"/>
        <v>5220000</v>
      </c>
      <c r="I1077" s="87">
        <f t="shared" si="304"/>
        <v>5220000</v>
      </c>
      <c r="J1077" s="2">
        <f>H1066-J1076</f>
        <v>-16173470.159999996</v>
      </c>
    </row>
    <row r="1078" spans="1:20">
      <c r="A1078" s="16" t="s">
        <v>307</v>
      </c>
      <c r="B1078" s="14">
        <v>792</v>
      </c>
      <c r="C1078" s="15" t="s">
        <v>23</v>
      </c>
      <c r="D1078" s="15" t="s">
        <v>19</v>
      </c>
      <c r="E1078" s="15" t="s">
        <v>237</v>
      </c>
      <c r="F1078" s="15" t="s">
        <v>308</v>
      </c>
      <c r="G1078" s="87">
        <f>'прил 5,'!G1095+'прил 5,'!G1768</f>
        <v>5220000</v>
      </c>
      <c r="H1078" s="87">
        <f>'прил 5,'!H1095+'прил 5,'!H1768</f>
        <v>5220000</v>
      </c>
      <c r="I1078" s="87">
        <f>'прил 5,'!I1095+'прил 5,'!I1768</f>
        <v>5220000</v>
      </c>
    </row>
    <row r="1079" spans="1:20" s="18" customFormat="1" ht="38.25">
      <c r="A1079" s="16" t="s">
        <v>155</v>
      </c>
      <c r="B1079" s="14">
        <v>792</v>
      </c>
      <c r="C1079" s="15" t="s">
        <v>310</v>
      </c>
      <c r="D1079" s="15" t="s">
        <v>19</v>
      </c>
      <c r="E1079" s="15" t="s">
        <v>231</v>
      </c>
      <c r="F1079" s="15"/>
      <c r="G1079" s="87">
        <f>G1088+G1092+G1095+G1080+G1083</f>
        <v>48448323.609999999</v>
      </c>
      <c r="H1079" s="87">
        <f t="shared" ref="H1079:I1079" si="305">H1088+H1092+H1095+H1080+H1083</f>
        <v>23642755.84</v>
      </c>
      <c r="I1079" s="87">
        <f t="shared" si="305"/>
        <v>24420994.609999999</v>
      </c>
      <c r="J1079" s="17"/>
      <c r="P1079" s="17"/>
      <c r="Q1079" s="17"/>
      <c r="R1079" s="17"/>
      <c r="S1079" s="17"/>
      <c r="T1079" s="17"/>
    </row>
    <row r="1080" spans="1:20" s="28" customFormat="1" ht="25.5">
      <c r="A1080" s="16" t="s">
        <v>167</v>
      </c>
      <c r="B1080" s="14">
        <v>792</v>
      </c>
      <c r="C1080" s="15" t="s">
        <v>28</v>
      </c>
      <c r="D1080" s="15" t="s">
        <v>70</v>
      </c>
      <c r="E1080" s="15" t="s">
        <v>386</v>
      </c>
      <c r="F1080" s="39"/>
      <c r="G1080" s="87">
        <f t="shared" ref="G1080:I1081" si="306">G1081</f>
        <v>3750613.11</v>
      </c>
      <c r="H1080" s="87">
        <f t="shared" si="306"/>
        <v>3663447.84</v>
      </c>
      <c r="I1080" s="87">
        <f t="shared" si="306"/>
        <v>3793072.21</v>
      </c>
      <c r="J1080" s="109"/>
      <c r="P1080" s="109"/>
      <c r="Q1080" s="109"/>
      <c r="R1080" s="109"/>
      <c r="S1080" s="109"/>
      <c r="T1080" s="109"/>
    </row>
    <row r="1081" spans="1:20">
      <c r="A1081" s="16" t="s">
        <v>156</v>
      </c>
      <c r="B1081" s="14">
        <v>792</v>
      </c>
      <c r="C1081" s="15" t="s">
        <v>28</v>
      </c>
      <c r="D1081" s="15" t="s">
        <v>70</v>
      </c>
      <c r="E1081" s="15" t="s">
        <v>386</v>
      </c>
      <c r="F1081" s="15" t="s">
        <v>157</v>
      </c>
      <c r="G1081" s="87">
        <f t="shared" si="306"/>
        <v>3750613.11</v>
      </c>
      <c r="H1081" s="87">
        <f t="shared" si="306"/>
        <v>3663447.84</v>
      </c>
      <c r="I1081" s="87">
        <f t="shared" si="306"/>
        <v>3793072.21</v>
      </c>
    </row>
    <row r="1082" spans="1:20">
      <c r="A1082" s="16" t="s">
        <v>158</v>
      </c>
      <c r="B1082" s="14">
        <v>792</v>
      </c>
      <c r="C1082" s="15" t="s">
        <v>28</v>
      </c>
      <c r="D1082" s="15" t="s">
        <v>70</v>
      </c>
      <c r="E1082" s="15" t="s">
        <v>386</v>
      </c>
      <c r="F1082" s="15" t="s">
        <v>159</v>
      </c>
      <c r="G1082" s="87">
        <f>'прил 5,'!G1077</f>
        <v>3750613.11</v>
      </c>
      <c r="H1082" s="87">
        <f>'прил 5,'!H1077</f>
        <v>3663447.84</v>
      </c>
      <c r="I1082" s="87">
        <f>'прил 5,'!I1077</f>
        <v>3793072.21</v>
      </c>
    </row>
    <row r="1083" spans="1:20" ht="63.75">
      <c r="A1083" s="16" t="s">
        <v>683</v>
      </c>
      <c r="B1083" s="14">
        <v>792</v>
      </c>
      <c r="C1083" s="15" t="s">
        <v>19</v>
      </c>
      <c r="D1083" s="15" t="s">
        <v>54</v>
      </c>
      <c r="E1083" s="15" t="s">
        <v>681</v>
      </c>
      <c r="F1083" s="15"/>
      <c r="G1083" s="87">
        <f t="shared" ref="G1083:I1084" si="307">G1084</f>
        <v>1330000</v>
      </c>
      <c r="H1083" s="87">
        <f t="shared" si="307"/>
        <v>1330000</v>
      </c>
      <c r="I1083" s="87">
        <f t="shared" si="307"/>
        <v>1330000</v>
      </c>
    </row>
    <row r="1084" spans="1:20">
      <c r="A1084" s="16" t="s">
        <v>156</v>
      </c>
      <c r="B1084" s="14">
        <v>792</v>
      </c>
      <c r="C1084" s="15" t="s">
        <v>19</v>
      </c>
      <c r="D1084" s="15" t="s">
        <v>54</v>
      </c>
      <c r="E1084" s="15" t="s">
        <v>681</v>
      </c>
      <c r="F1084" s="15" t="s">
        <v>157</v>
      </c>
      <c r="G1084" s="87">
        <f t="shared" si="307"/>
        <v>1330000</v>
      </c>
      <c r="H1084" s="87">
        <f t="shared" si="307"/>
        <v>1330000</v>
      </c>
      <c r="I1084" s="87">
        <f t="shared" si="307"/>
        <v>1330000</v>
      </c>
    </row>
    <row r="1085" spans="1:20">
      <c r="A1085" s="16" t="s">
        <v>158</v>
      </c>
      <c r="B1085" s="14">
        <v>792</v>
      </c>
      <c r="C1085" s="15" t="s">
        <v>19</v>
      </c>
      <c r="D1085" s="15" t="s">
        <v>54</v>
      </c>
      <c r="E1085" s="15" t="s">
        <v>681</v>
      </c>
      <c r="F1085" s="15" t="s">
        <v>159</v>
      </c>
      <c r="G1085" s="87">
        <f>'прил 5,'!G1055</f>
        <v>1330000</v>
      </c>
      <c r="H1085" s="87">
        <f>'прил 5,'!H1055</f>
        <v>1330000</v>
      </c>
      <c r="I1085" s="87">
        <f>'прил 5,'!I1055</f>
        <v>1330000</v>
      </c>
    </row>
    <row r="1086" spans="1:20" s="28" customFormat="1" ht="29.25" customHeight="1">
      <c r="A1086" s="16" t="s">
        <v>315</v>
      </c>
      <c r="B1086" s="14">
        <v>792</v>
      </c>
      <c r="C1086" s="15" t="s">
        <v>310</v>
      </c>
      <c r="D1086" s="15" t="s">
        <v>19</v>
      </c>
      <c r="E1086" s="15" t="s">
        <v>238</v>
      </c>
      <c r="F1086" s="15"/>
      <c r="G1086" s="87">
        <f t="shared" ref="G1086:I1087" si="308">G1087</f>
        <v>6314750.5</v>
      </c>
      <c r="H1086" s="87">
        <f t="shared" si="308"/>
        <v>5061414</v>
      </c>
      <c r="I1086" s="87">
        <f t="shared" si="308"/>
        <v>5051800.4000000004</v>
      </c>
      <c r="J1086" s="109"/>
      <c r="P1086" s="109"/>
      <c r="Q1086" s="109"/>
      <c r="R1086" s="109"/>
      <c r="S1086" s="109"/>
      <c r="T1086" s="109"/>
    </row>
    <row r="1087" spans="1:20" s="28" customFormat="1">
      <c r="A1087" s="16" t="s">
        <v>156</v>
      </c>
      <c r="B1087" s="14">
        <v>792</v>
      </c>
      <c r="C1087" s="15" t="s">
        <v>310</v>
      </c>
      <c r="D1087" s="15" t="s">
        <v>19</v>
      </c>
      <c r="E1087" s="15" t="s">
        <v>238</v>
      </c>
      <c r="F1087" s="15" t="s">
        <v>157</v>
      </c>
      <c r="G1087" s="87">
        <f t="shared" si="308"/>
        <v>6314750.5</v>
      </c>
      <c r="H1087" s="87">
        <f t="shared" si="308"/>
        <v>5061414</v>
      </c>
      <c r="I1087" s="87">
        <f t="shared" si="308"/>
        <v>5051800.4000000004</v>
      </c>
      <c r="J1087" s="109"/>
      <c r="P1087" s="109"/>
      <c r="Q1087" s="109"/>
      <c r="R1087" s="109"/>
      <c r="S1087" s="109"/>
      <c r="T1087" s="109"/>
    </row>
    <row r="1088" spans="1:20" s="3" customFormat="1">
      <c r="A1088" s="16" t="s">
        <v>313</v>
      </c>
      <c r="B1088" s="14">
        <v>792</v>
      </c>
      <c r="C1088" s="15" t="s">
        <v>310</v>
      </c>
      <c r="D1088" s="15" t="s">
        <v>19</v>
      </c>
      <c r="E1088" s="15" t="s">
        <v>238</v>
      </c>
      <c r="F1088" s="15" t="s">
        <v>314</v>
      </c>
      <c r="G1088" s="87">
        <f>'прил 5,'!G1105</f>
        <v>6314750.5</v>
      </c>
      <c r="H1088" s="87">
        <f>'прил 5,'!H1105</f>
        <v>5061414</v>
      </c>
      <c r="I1088" s="87">
        <f>'прил 5,'!I1105</f>
        <v>5051800.4000000004</v>
      </c>
      <c r="J1088" s="111"/>
      <c r="P1088" s="111"/>
      <c r="Q1088" s="111"/>
      <c r="R1088" s="111"/>
      <c r="S1088" s="111"/>
      <c r="T1088" s="111"/>
    </row>
    <row r="1089" spans="1:20" s="3" customFormat="1" hidden="1">
      <c r="A1089" s="16" t="s">
        <v>7</v>
      </c>
      <c r="B1089" s="14">
        <v>792</v>
      </c>
      <c r="C1089" s="15" t="s">
        <v>310</v>
      </c>
      <c r="D1089" s="15" t="s">
        <v>19</v>
      </c>
      <c r="E1089" s="15" t="s">
        <v>238</v>
      </c>
      <c r="F1089" s="15" t="s">
        <v>6</v>
      </c>
      <c r="G1089" s="87"/>
      <c r="H1089" s="87"/>
      <c r="I1089" s="87"/>
      <c r="J1089" s="111"/>
      <c r="P1089" s="111"/>
      <c r="Q1089" s="111"/>
      <c r="R1089" s="111"/>
      <c r="S1089" s="111"/>
      <c r="T1089" s="111"/>
    </row>
    <row r="1090" spans="1:20" s="18" customFormat="1" ht="25.5">
      <c r="A1090" s="16" t="s">
        <v>312</v>
      </c>
      <c r="B1090" s="14">
        <v>792</v>
      </c>
      <c r="C1090" s="15" t="s">
        <v>310</v>
      </c>
      <c r="D1090" s="15" t="s">
        <v>19</v>
      </c>
      <c r="E1090" s="15" t="s">
        <v>284</v>
      </c>
      <c r="F1090" s="15"/>
      <c r="G1090" s="87">
        <f t="shared" ref="G1090:I1091" si="309">G1091</f>
        <v>13832299</v>
      </c>
      <c r="H1090" s="87">
        <f t="shared" si="309"/>
        <v>13587894</v>
      </c>
      <c r="I1090" s="87">
        <f t="shared" si="309"/>
        <v>14246122</v>
      </c>
      <c r="J1090" s="17"/>
      <c r="P1090" s="17"/>
      <c r="Q1090" s="17"/>
      <c r="R1090" s="17"/>
      <c r="S1090" s="17"/>
      <c r="T1090" s="17"/>
    </row>
    <row r="1091" spans="1:20" s="18" customFormat="1">
      <c r="A1091" s="16" t="s">
        <v>156</v>
      </c>
      <c r="B1091" s="14">
        <v>792</v>
      </c>
      <c r="C1091" s="15" t="s">
        <v>310</v>
      </c>
      <c r="D1091" s="15" t="s">
        <v>19</v>
      </c>
      <c r="E1091" s="15" t="s">
        <v>284</v>
      </c>
      <c r="F1091" s="15" t="s">
        <v>157</v>
      </c>
      <c r="G1091" s="87">
        <f t="shared" si="309"/>
        <v>13832299</v>
      </c>
      <c r="H1091" s="87">
        <f t="shared" si="309"/>
        <v>13587894</v>
      </c>
      <c r="I1091" s="87">
        <f t="shared" si="309"/>
        <v>14246122</v>
      </c>
      <c r="J1091" s="17"/>
      <c r="P1091" s="17"/>
      <c r="Q1091" s="17"/>
      <c r="R1091" s="17"/>
      <c r="S1091" s="17"/>
      <c r="T1091" s="17"/>
    </row>
    <row r="1092" spans="1:20" s="18" customFormat="1">
      <c r="A1092" s="16" t="s">
        <v>313</v>
      </c>
      <c r="B1092" s="14">
        <v>792</v>
      </c>
      <c r="C1092" s="15" t="s">
        <v>310</v>
      </c>
      <c r="D1092" s="15" t="s">
        <v>19</v>
      </c>
      <c r="E1092" s="15" t="s">
        <v>284</v>
      </c>
      <c r="F1092" s="15" t="s">
        <v>314</v>
      </c>
      <c r="G1092" s="87">
        <f>'прил 5,'!G1102</f>
        <v>13832299</v>
      </c>
      <c r="H1092" s="87">
        <f>'прил 5,'!H1102</f>
        <v>13587894</v>
      </c>
      <c r="I1092" s="87">
        <f>'прил 5,'!I1102</f>
        <v>14246122</v>
      </c>
      <c r="J1092" s="17"/>
      <c r="P1092" s="17"/>
      <c r="Q1092" s="17"/>
      <c r="R1092" s="17"/>
      <c r="S1092" s="17"/>
      <c r="T1092" s="17"/>
    </row>
    <row r="1093" spans="1:20" s="3" customFormat="1" ht="25.5">
      <c r="A1093" s="16" t="s">
        <v>476</v>
      </c>
      <c r="B1093" s="14"/>
      <c r="C1093" s="15"/>
      <c r="D1093" s="15"/>
      <c r="E1093" s="15" t="s">
        <v>239</v>
      </c>
      <c r="F1093" s="15"/>
      <c r="G1093" s="87">
        <f t="shared" ref="G1093:I1094" si="310">G1094</f>
        <v>23220661</v>
      </c>
      <c r="H1093" s="87">
        <f t="shared" si="310"/>
        <v>0</v>
      </c>
      <c r="I1093" s="87">
        <f t="shared" si="310"/>
        <v>0</v>
      </c>
      <c r="J1093" s="111"/>
      <c r="P1093" s="111"/>
      <c r="Q1093" s="111"/>
      <c r="R1093" s="111"/>
      <c r="S1093" s="111"/>
      <c r="T1093" s="111"/>
    </row>
    <row r="1094" spans="1:20" s="3" customFormat="1">
      <c r="A1094" s="16" t="s">
        <v>156</v>
      </c>
      <c r="B1094" s="14">
        <v>792</v>
      </c>
      <c r="C1094" s="15" t="s">
        <v>310</v>
      </c>
      <c r="D1094" s="15" t="s">
        <v>70</v>
      </c>
      <c r="E1094" s="15" t="s">
        <v>239</v>
      </c>
      <c r="F1094" s="15" t="s">
        <v>157</v>
      </c>
      <c r="G1094" s="87">
        <f t="shared" si="310"/>
        <v>23220661</v>
      </c>
      <c r="H1094" s="87">
        <f t="shared" si="310"/>
        <v>0</v>
      </c>
      <c r="I1094" s="87">
        <f t="shared" si="310"/>
        <v>0</v>
      </c>
      <c r="J1094" s="111"/>
      <c r="P1094" s="111"/>
      <c r="Q1094" s="111"/>
      <c r="R1094" s="111"/>
      <c r="S1094" s="111"/>
      <c r="T1094" s="111"/>
    </row>
    <row r="1095" spans="1:20" s="3" customFormat="1">
      <c r="A1095" s="16" t="s">
        <v>178</v>
      </c>
      <c r="B1095" s="14">
        <v>792</v>
      </c>
      <c r="C1095" s="15" t="s">
        <v>310</v>
      </c>
      <c r="D1095" s="15" t="s">
        <v>70</v>
      </c>
      <c r="E1095" s="15" t="s">
        <v>239</v>
      </c>
      <c r="F1095" s="15" t="s">
        <v>179</v>
      </c>
      <c r="G1095" s="87">
        <f>'прил 5,'!G1111</f>
        <v>23220661</v>
      </c>
      <c r="H1095" s="87">
        <f>'прил 5,'!H1111</f>
        <v>0</v>
      </c>
      <c r="I1095" s="87">
        <f>'прил 5,'!I1111</f>
        <v>0</v>
      </c>
      <c r="J1095" s="111"/>
      <c r="P1095" s="111"/>
      <c r="Q1095" s="111"/>
      <c r="R1095" s="111"/>
      <c r="S1095" s="111"/>
      <c r="T1095" s="111"/>
    </row>
    <row r="1096" spans="1:20" s="76" customFormat="1" ht="51">
      <c r="A1096" s="240" t="s">
        <v>486</v>
      </c>
      <c r="B1096" s="35">
        <v>793</v>
      </c>
      <c r="C1096" s="36" t="s">
        <v>70</v>
      </c>
      <c r="D1096" s="36" t="s">
        <v>123</v>
      </c>
      <c r="E1096" s="36" t="s">
        <v>252</v>
      </c>
      <c r="F1096" s="75"/>
      <c r="G1096" s="71">
        <f>G1103+G1108+G1111+G1120+G1123+G1102+G1097+G1114+G1126+G1117</f>
        <v>5697990.8799999999</v>
      </c>
      <c r="H1096" s="71">
        <f>H1102+H1107+H1110+H1113+H1116+H1122</f>
        <v>600000</v>
      </c>
      <c r="I1096" s="71">
        <f>I1102+I1107+I1110+I1113+I1116+I1122</f>
        <v>570000</v>
      </c>
      <c r="J1096" s="239">
        <v>162500</v>
      </c>
      <c r="P1096" s="175"/>
      <c r="Q1096" s="241"/>
      <c r="R1096" s="239"/>
      <c r="S1096" s="239"/>
      <c r="T1096" s="239"/>
    </row>
    <row r="1097" spans="1:20" s="28" customFormat="1" ht="25.5" hidden="1">
      <c r="A1097" s="40" t="s">
        <v>621</v>
      </c>
      <c r="B1097" s="14">
        <v>793</v>
      </c>
      <c r="C1097" s="15" t="s">
        <v>70</v>
      </c>
      <c r="D1097" s="15" t="s">
        <v>69</v>
      </c>
      <c r="E1097" s="15" t="s">
        <v>657</v>
      </c>
      <c r="F1097" s="39"/>
      <c r="G1097" s="87">
        <f>G1098</f>
        <v>0</v>
      </c>
      <c r="H1097" s="70"/>
      <c r="I1097" s="70"/>
      <c r="P1097" s="109"/>
      <c r="Q1097" s="109"/>
      <c r="R1097" s="109"/>
      <c r="S1097" s="109"/>
      <c r="T1097" s="109"/>
    </row>
    <row r="1098" spans="1:20" s="28" customFormat="1" hidden="1">
      <c r="A1098" s="16" t="s">
        <v>156</v>
      </c>
      <c r="B1098" s="14">
        <v>793</v>
      </c>
      <c r="C1098" s="15" t="s">
        <v>70</v>
      </c>
      <c r="D1098" s="15" t="s">
        <v>69</v>
      </c>
      <c r="E1098" s="15" t="s">
        <v>657</v>
      </c>
      <c r="F1098" s="15" t="s">
        <v>157</v>
      </c>
      <c r="G1098" s="87">
        <f>G1099</f>
        <v>0</v>
      </c>
      <c r="H1098" s="70"/>
      <c r="I1098" s="70"/>
      <c r="P1098" s="109"/>
      <c r="Q1098" s="109"/>
      <c r="R1098" s="109"/>
      <c r="S1098" s="109"/>
      <c r="T1098" s="109"/>
    </row>
    <row r="1099" spans="1:20" s="28" customFormat="1" hidden="1">
      <c r="A1099" s="16" t="s">
        <v>170</v>
      </c>
      <c r="B1099" s="14">
        <v>793</v>
      </c>
      <c r="C1099" s="15" t="s">
        <v>70</v>
      </c>
      <c r="D1099" s="15" t="s">
        <v>69</v>
      </c>
      <c r="E1099" s="15" t="s">
        <v>657</v>
      </c>
      <c r="F1099" s="15" t="s">
        <v>171</v>
      </c>
      <c r="G1099" s="87">
        <f>'прил 5,'!G1300</f>
        <v>0</v>
      </c>
      <c r="H1099" s="70"/>
      <c r="I1099" s="70"/>
      <c r="P1099" s="109"/>
      <c r="Q1099" s="109"/>
      <c r="R1099" s="109"/>
      <c r="S1099" s="109"/>
      <c r="T1099" s="109"/>
    </row>
    <row r="1100" spans="1:20" s="28" customFormat="1" ht="54.75" customHeight="1">
      <c r="A1100" s="40" t="s">
        <v>335</v>
      </c>
      <c r="B1100" s="14">
        <v>793</v>
      </c>
      <c r="C1100" s="15" t="s">
        <v>70</v>
      </c>
      <c r="D1100" s="15" t="s">
        <v>123</v>
      </c>
      <c r="E1100" s="15" t="s">
        <v>138</v>
      </c>
      <c r="F1100" s="39"/>
      <c r="G1100" s="70">
        <f>G1101</f>
        <v>90489.88</v>
      </c>
      <c r="H1100" s="70">
        <f t="shared" ref="H1100:I1100" si="311">H1101</f>
        <v>30000</v>
      </c>
      <c r="I1100" s="70">
        <f t="shared" si="311"/>
        <v>0</v>
      </c>
      <c r="P1100" s="109"/>
      <c r="Q1100" s="109"/>
      <c r="R1100" s="109"/>
      <c r="S1100" s="109"/>
      <c r="T1100" s="109"/>
    </row>
    <row r="1101" spans="1:20" s="28" customFormat="1">
      <c r="A1101" s="16" t="s">
        <v>324</v>
      </c>
      <c r="B1101" s="14">
        <v>793</v>
      </c>
      <c r="C1101" s="15" t="s">
        <v>70</v>
      </c>
      <c r="D1101" s="15" t="s">
        <v>123</v>
      </c>
      <c r="E1101" s="15" t="s">
        <v>138</v>
      </c>
      <c r="F1101" s="15" t="s">
        <v>37</v>
      </c>
      <c r="G1101" s="70">
        <f>G1102</f>
        <v>90489.88</v>
      </c>
      <c r="H1101" s="70">
        <f t="shared" ref="H1101:I1101" si="312">H1102</f>
        <v>30000</v>
      </c>
      <c r="I1101" s="70">
        <f t="shared" si="312"/>
        <v>0</v>
      </c>
      <c r="P1101" s="109"/>
      <c r="Q1101" s="109"/>
      <c r="R1101" s="109"/>
      <c r="S1101" s="109"/>
      <c r="T1101" s="109"/>
    </row>
    <row r="1102" spans="1:20" s="28" customFormat="1" ht="25.5">
      <c r="A1102" s="16" t="s">
        <v>38</v>
      </c>
      <c r="B1102" s="14">
        <v>793</v>
      </c>
      <c r="C1102" s="15" t="s">
        <v>70</v>
      </c>
      <c r="D1102" s="15" t="s">
        <v>123</v>
      </c>
      <c r="E1102" s="15" t="s">
        <v>138</v>
      </c>
      <c r="F1102" s="15" t="s">
        <v>39</v>
      </c>
      <c r="G1102" s="70">
        <f>'прил 5,'!G1308</f>
        <v>90489.88</v>
      </c>
      <c r="H1102" s="70">
        <f>'прил 5,'!H1268+'прил 5,'!H1308</f>
        <v>30000</v>
      </c>
      <c r="I1102" s="70">
        <f>'прил 5,'!I1268+'прил 5,'!I1308</f>
        <v>0</v>
      </c>
      <c r="P1102" s="109"/>
      <c r="Q1102" s="109"/>
      <c r="R1102" s="109"/>
      <c r="S1102" s="109"/>
      <c r="T1102" s="109"/>
    </row>
    <row r="1103" spans="1:20" ht="57.75" customHeight="1">
      <c r="A1103" s="57" t="s">
        <v>498</v>
      </c>
      <c r="B1103" s="14">
        <v>793</v>
      </c>
      <c r="C1103" s="15" t="s">
        <v>70</v>
      </c>
      <c r="D1103" s="15" t="s">
        <v>123</v>
      </c>
      <c r="E1103" s="15" t="s">
        <v>253</v>
      </c>
      <c r="F1103" s="15"/>
      <c r="G1103" s="70">
        <f>G1104+G1106</f>
        <v>20000</v>
      </c>
      <c r="H1103" s="70">
        <f>H1104+H1106</f>
        <v>250000</v>
      </c>
      <c r="I1103" s="70">
        <f>I1104+I1106</f>
        <v>250000</v>
      </c>
      <c r="J1103" s="2">
        <v>50000</v>
      </c>
    </row>
    <row r="1104" spans="1:20" hidden="1">
      <c r="A1104" s="16" t="s">
        <v>324</v>
      </c>
      <c r="B1104" s="14">
        <v>793</v>
      </c>
      <c r="C1104" s="15" t="s">
        <v>70</v>
      </c>
      <c r="D1104" s="15" t="s">
        <v>123</v>
      </c>
      <c r="E1104" s="15" t="s">
        <v>253</v>
      </c>
      <c r="F1104" s="15" t="s">
        <v>37</v>
      </c>
      <c r="G1104" s="70">
        <f>G1105</f>
        <v>0</v>
      </c>
      <c r="H1104" s="70">
        <f t="shared" ref="H1104:O1104" si="313">H1105</f>
        <v>0</v>
      </c>
      <c r="I1104" s="70">
        <f t="shared" si="313"/>
        <v>0</v>
      </c>
      <c r="J1104" s="70">
        <f t="shared" si="313"/>
        <v>60000</v>
      </c>
      <c r="K1104" s="70">
        <f t="shared" si="313"/>
        <v>0</v>
      </c>
      <c r="L1104" s="70">
        <f t="shared" si="313"/>
        <v>0</v>
      </c>
      <c r="M1104" s="70">
        <f t="shared" si="313"/>
        <v>0</v>
      </c>
      <c r="N1104" s="70">
        <f t="shared" si="313"/>
        <v>0</v>
      </c>
      <c r="O1104" s="70">
        <f t="shared" si="313"/>
        <v>0</v>
      </c>
    </row>
    <row r="1105" spans="1:20" ht="25.5" hidden="1">
      <c r="A1105" s="16" t="s">
        <v>38</v>
      </c>
      <c r="B1105" s="14">
        <v>793</v>
      </c>
      <c r="C1105" s="15" t="s">
        <v>70</v>
      </c>
      <c r="D1105" s="15" t="s">
        <v>123</v>
      </c>
      <c r="E1105" s="15" t="s">
        <v>253</v>
      </c>
      <c r="F1105" s="15" t="s">
        <v>39</v>
      </c>
      <c r="G1105" s="70">
        <f>'прил 5,'!G1271+'прил 5,'!G1311</f>
        <v>0</v>
      </c>
      <c r="H1105" s="70">
        <f>'прил 5,'!H1271+'прил 5,'!H1311</f>
        <v>0</v>
      </c>
      <c r="I1105" s="70">
        <f>'прил 5,'!I1271+'прил 5,'!I1311</f>
        <v>0</v>
      </c>
      <c r="J1105" s="2">
        <v>60000</v>
      </c>
    </row>
    <row r="1106" spans="1:20" ht="18" customHeight="1">
      <c r="A1106" s="16" t="s">
        <v>115</v>
      </c>
      <c r="B1106" s="14">
        <v>793</v>
      </c>
      <c r="C1106" s="15" t="s">
        <v>70</v>
      </c>
      <c r="D1106" s="15" t="s">
        <v>123</v>
      </c>
      <c r="E1106" s="15" t="s">
        <v>254</v>
      </c>
      <c r="F1106" s="15" t="s">
        <v>64</v>
      </c>
      <c r="G1106" s="70">
        <f>G1107</f>
        <v>20000</v>
      </c>
      <c r="H1106" s="70">
        <f>H1107</f>
        <v>250000</v>
      </c>
      <c r="I1106" s="70">
        <f>I1107</f>
        <v>250000</v>
      </c>
    </row>
    <row r="1107" spans="1:20" ht="18.75" customHeight="1">
      <c r="A1107" s="16" t="s">
        <v>180</v>
      </c>
      <c r="B1107" s="14"/>
      <c r="C1107" s="15"/>
      <c r="D1107" s="15"/>
      <c r="E1107" s="15" t="s">
        <v>254</v>
      </c>
      <c r="F1107" s="15" t="s">
        <v>181</v>
      </c>
      <c r="G1107" s="70">
        <f>'прил 5,'!G1273+'прил 5,'!G1313</f>
        <v>20000</v>
      </c>
      <c r="H1107" s="70">
        <f>'прил 5,'!H1273+'прил 5,'!H1313</f>
        <v>250000</v>
      </c>
      <c r="I1107" s="70">
        <f>'прил 5,'!I1273+'прил 5,'!I1313</f>
        <v>250000</v>
      </c>
      <c r="J1107" s="70">
        <f>'прил 5,'!K1273+'прил 5,'!K1313</f>
        <v>0</v>
      </c>
      <c r="K1107" s="70">
        <f>'прил 5,'!L1273+'прил 5,'!L1313</f>
        <v>0</v>
      </c>
      <c r="L1107" s="70">
        <f>'прил 5,'!M1273+'прил 5,'!M1313</f>
        <v>0</v>
      </c>
      <c r="M1107" s="70">
        <f>'прил 5,'!N1273+'прил 5,'!N1313</f>
        <v>0</v>
      </c>
      <c r="N1107" s="70">
        <f>'прил 5,'!O1273+'прил 5,'!O1313</f>
        <v>0</v>
      </c>
      <c r="O1107" s="70">
        <f>'прил 5,'!P1273+'прил 5,'!P1313</f>
        <v>0</v>
      </c>
    </row>
    <row r="1108" spans="1:20" ht="21" customHeight="1">
      <c r="A1108" s="16" t="s">
        <v>186</v>
      </c>
      <c r="B1108" s="14">
        <v>793</v>
      </c>
      <c r="C1108" s="15" t="s">
        <v>70</v>
      </c>
      <c r="D1108" s="15" t="s">
        <v>69</v>
      </c>
      <c r="E1108" s="15" t="s">
        <v>136</v>
      </c>
      <c r="F1108" s="15"/>
      <c r="G1108" s="70">
        <f t="shared" ref="G1108:G1109" si="314">G1109</f>
        <v>70000</v>
      </c>
      <c r="H1108" s="103">
        <f>H1109</f>
        <v>100000</v>
      </c>
      <c r="I1108" s="103">
        <f>I1109</f>
        <v>100000</v>
      </c>
    </row>
    <row r="1109" spans="1:20" ht="24.75" customHeight="1">
      <c r="A1109" s="16" t="s">
        <v>324</v>
      </c>
      <c r="B1109" s="14">
        <v>793</v>
      </c>
      <c r="C1109" s="15" t="s">
        <v>70</v>
      </c>
      <c r="D1109" s="15" t="s">
        <v>69</v>
      </c>
      <c r="E1109" s="15" t="s">
        <v>136</v>
      </c>
      <c r="F1109" s="15" t="s">
        <v>37</v>
      </c>
      <c r="G1109" s="70">
        <f t="shared" si="314"/>
        <v>70000</v>
      </c>
      <c r="H1109" s="103">
        <f>H1110</f>
        <v>100000</v>
      </c>
      <c r="I1109" s="103">
        <f>I1110</f>
        <v>100000</v>
      </c>
      <c r="J1109" s="2">
        <f>J1107-H1096</f>
        <v>-600000</v>
      </c>
    </row>
    <row r="1110" spans="1:20" ht="25.5">
      <c r="A1110" s="16" t="s">
        <v>38</v>
      </c>
      <c r="B1110" s="14">
        <v>793</v>
      </c>
      <c r="C1110" s="15" t="s">
        <v>70</v>
      </c>
      <c r="D1110" s="15" t="s">
        <v>69</v>
      </c>
      <c r="E1110" s="15" t="s">
        <v>136</v>
      </c>
      <c r="F1110" s="15" t="s">
        <v>39</v>
      </c>
      <c r="G1110" s="70">
        <f>'прил 5,'!G1305</f>
        <v>70000</v>
      </c>
      <c r="H1110" s="70">
        <f>'прил 5,'!H1305</f>
        <v>100000</v>
      </c>
      <c r="I1110" s="70">
        <f>'прил 5,'!I1305</f>
        <v>100000</v>
      </c>
      <c r="J1110" s="70">
        <f>'прил 5,'!K1305</f>
        <v>0</v>
      </c>
      <c r="K1110" s="70">
        <f>'прил 5,'!L1305</f>
        <v>0</v>
      </c>
      <c r="L1110" s="70">
        <f>'прил 5,'!M1305</f>
        <v>0</v>
      </c>
      <c r="M1110" s="70">
        <f>'прил 5,'!N1305</f>
        <v>0</v>
      </c>
      <c r="N1110" s="70">
        <f>'прил 5,'!O1305</f>
        <v>0</v>
      </c>
      <c r="O1110" s="70">
        <f>'прил 5,'!P1305</f>
        <v>0</v>
      </c>
    </row>
    <row r="1111" spans="1:20" ht="38.25" customHeight="1">
      <c r="A1111" s="16" t="s">
        <v>450</v>
      </c>
      <c r="B1111" s="14">
        <v>793</v>
      </c>
      <c r="C1111" s="15" t="s">
        <v>70</v>
      </c>
      <c r="D1111" s="15" t="s">
        <v>123</v>
      </c>
      <c r="E1111" s="15" t="s">
        <v>451</v>
      </c>
      <c r="F1111" s="15"/>
      <c r="G1111" s="70">
        <f t="shared" ref="G1111:I1112" si="315">G1112</f>
        <v>67500</v>
      </c>
      <c r="H1111" s="103">
        <f t="shared" si="315"/>
        <v>67500</v>
      </c>
      <c r="I1111" s="103">
        <f t="shared" si="315"/>
        <v>67500</v>
      </c>
    </row>
    <row r="1112" spans="1:20" ht="21.75" customHeight="1">
      <c r="A1112" s="16" t="s">
        <v>38</v>
      </c>
      <c r="B1112" s="14">
        <v>793</v>
      </c>
      <c r="C1112" s="15" t="s">
        <v>70</v>
      </c>
      <c r="D1112" s="15" t="s">
        <v>123</v>
      </c>
      <c r="E1112" s="15" t="s">
        <v>451</v>
      </c>
      <c r="F1112" s="15" t="s">
        <v>37</v>
      </c>
      <c r="G1112" s="70">
        <f t="shared" si="315"/>
        <v>67500</v>
      </c>
      <c r="H1112" s="103">
        <f t="shared" si="315"/>
        <v>67500</v>
      </c>
      <c r="I1112" s="103">
        <f t="shared" si="315"/>
        <v>67500</v>
      </c>
    </row>
    <row r="1113" spans="1:20" ht="25.5">
      <c r="A1113" s="16" t="s">
        <v>38</v>
      </c>
      <c r="B1113" s="14">
        <v>793</v>
      </c>
      <c r="C1113" s="15" t="s">
        <v>70</v>
      </c>
      <c r="D1113" s="15" t="s">
        <v>123</v>
      </c>
      <c r="E1113" s="15" t="s">
        <v>451</v>
      </c>
      <c r="F1113" s="15" t="s">
        <v>39</v>
      </c>
      <c r="G1113" s="70">
        <f>'прил 5,'!G1276</f>
        <v>67500</v>
      </c>
      <c r="H1113" s="70">
        <f>'прил 5,'!H1276</f>
        <v>67500</v>
      </c>
      <c r="I1113" s="70">
        <f>'прил 5,'!I1276</f>
        <v>67500</v>
      </c>
    </row>
    <row r="1114" spans="1:20" ht="38.25" hidden="1" customHeight="1">
      <c r="A1114" s="16" t="s">
        <v>800</v>
      </c>
      <c r="B1114" s="14">
        <v>793</v>
      </c>
      <c r="C1114" s="15" t="s">
        <v>70</v>
      </c>
      <c r="D1114" s="15" t="s">
        <v>123</v>
      </c>
      <c r="E1114" s="15" t="s">
        <v>799</v>
      </c>
      <c r="F1114" s="15"/>
      <c r="G1114" s="70">
        <f>G1115</f>
        <v>0</v>
      </c>
      <c r="H1114" s="70">
        <f t="shared" ref="H1114:I1115" si="316">H1115</f>
        <v>0</v>
      </c>
      <c r="I1114" s="70">
        <f t="shared" si="316"/>
        <v>0</v>
      </c>
      <c r="J1114" s="1"/>
    </row>
    <row r="1115" spans="1:20" ht="28.5" hidden="1" customHeight="1">
      <c r="A1115" s="16" t="s">
        <v>38</v>
      </c>
      <c r="B1115" s="14">
        <v>793</v>
      </c>
      <c r="C1115" s="15" t="s">
        <v>70</v>
      </c>
      <c r="D1115" s="15" t="s">
        <v>123</v>
      </c>
      <c r="E1115" s="15" t="s">
        <v>799</v>
      </c>
      <c r="F1115" s="15" t="s">
        <v>37</v>
      </c>
      <c r="G1115" s="70">
        <f>G1116</f>
        <v>0</v>
      </c>
      <c r="H1115" s="70">
        <f t="shared" si="316"/>
        <v>0</v>
      </c>
      <c r="I1115" s="70">
        <f t="shared" si="316"/>
        <v>0</v>
      </c>
      <c r="J1115" s="1"/>
    </row>
    <row r="1116" spans="1:20" ht="25.5" hidden="1">
      <c r="A1116" s="16" t="s">
        <v>38</v>
      </c>
      <c r="B1116" s="14">
        <v>793</v>
      </c>
      <c r="C1116" s="15" t="s">
        <v>70</v>
      </c>
      <c r="D1116" s="15" t="s">
        <v>123</v>
      </c>
      <c r="E1116" s="15" t="s">
        <v>799</v>
      </c>
      <c r="F1116" s="15" t="s">
        <v>39</v>
      </c>
      <c r="G1116" s="70">
        <f>'прил 5,'!G1279</f>
        <v>0</v>
      </c>
      <c r="H1116" s="70">
        <v>0</v>
      </c>
      <c r="I1116" s="70">
        <v>0</v>
      </c>
      <c r="J1116" s="1"/>
    </row>
    <row r="1117" spans="1:20" ht="38.25" hidden="1" customHeight="1">
      <c r="A1117" s="16" t="s">
        <v>1078</v>
      </c>
      <c r="B1117" s="14">
        <v>793</v>
      </c>
      <c r="C1117" s="15" t="s">
        <v>70</v>
      </c>
      <c r="D1117" s="15" t="s">
        <v>123</v>
      </c>
      <c r="E1117" s="15" t="s">
        <v>1075</v>
      </c>
      <c r="F1117" s="15"/>
      <c r="G1117" s="70">
        <f>G1118</f>
        <v>0</v>
      </c>
      <c r="H1117" s="70">
        <f t="shared" ref="H1117:I1118" si="317">H1118</f>
        <v>0</v>
      </c>
      <c r="I1117" s="70">
        <f t="shared" si="317"/>
        <v>0</v>
      </c>
      <c r="J1117" s="177"/>
      <c r="K1117" s="186"/>
      <c r="L1117" s="186"/>
      <c r="M1117" s="186"/>
      <c r="N1117" s="186"/>
      <c r="O1117" s="186"/>
      <c r="P1117" s="186"/>
      <c r="Q1117" s="186"/>
      <c r="R1117" s="186"/>
      <c r="S1117" s="1"/>
      <c r="T1117" s="1"/>
    </row>
    <row r="1118" spans="1:20" ht="28.5" hidden="1" customHeight="1">
      <c r="A1118" s="16" t="s">
        <v>38</v>
      </c>
      <c r="B1118" s="14">
        <v>793</v>
      </c>
      <c r="C1118" s="15" t="s">
        <v>70</v>
      </c>
      <c r="D1118" s="15" t="s">
        <v>123</v>
      </c>
      <c r="E1118" s="15" t="s">
        <v>1075</v>
      </c>
      <c r="F1118" s="15" t="s">
        <v>37</v>
      </c>
      <c r="G1118" s="70">
        <f>G1119</f>
        <v>0</v>
      </c>
      <c r="H1118" s="70">
        <f t="shared" si="317"/>
        <v>0</v>
      </c>
      <c r="I1118" s="70">
        <f t="shared" si="317"/>
        <v>0</v>
      </c>
      <c r="J1118" s="177"/>
      <c r="K1118" s="186"/>
      <c r="L1118" s="186"/>
      <c r="M1118" s="186"/>
      <c r="N1118" s="186"/>
      <c r="O1118" s="186"/>
      <c r="P1118" s="186"/>
      <c r="Q1118" s="186"/>
      <c r="R1118" s="186"/>
      <c r="S1118" s="1"/>
      <c r="T1118" s="1"/>
    </row>
    <row r="1119" spans="1:20" ht="25.5" hidden="1">
      <c r="A1119" s="16" t="s">
        <v>38</v>
      </c>
      <c r="B1119" s="14">
        <v>793</v>
      </c>
      <c r="C1119" s="15" t="s">
        <v>70</v>
      </c>
      <c r="D1119" s="15" t="s">
        <v>123</v>
      </c>
      <c r="E1119" s="15" t="s">
        <v>1075</v>
      </c>
      <c r="F1119" s="15" t="s">
        <v>39</v>
      </c>
      <c r="G1119" s="70">
        <f>'прил 5,'!G1316</f>
        <v>0</v>
      </c>
      <c r="H1119" s="70">
        <v>0</v>
      </c>
      <c r="I1119" s="70">
        <v>0</v>
      </c>
      <c r="J1119" s="177"/>
      <c r="K1119" s="186"/>
      <c r="L1119" s="186"/>
      <c r="M1119" s="186"/>
      <c r="N1119" s="186"/>
      <c r="O1119" s="186"/>
      <c r="P1119" s="186"/>
      <c r="Q1119" s="186"/>
      <c r="R1119" s="186"/>
      <c r="S1119" s="1"/>
      <c r="T1119" s="1"/>
    </row>
    <row r="1120" spans="1:20" ht="46.5" customHeight="1">
      <c r="A1120" s="57" t="s">
        <v>789</v>
      </c>
      <c r="B1120" s="14">
        <v>793</v>
      </c>
      <c r="C1120" s="15" t="s">
        <v>70</v>
      </c>
      <c r="D1120" s="15" t="s">
        <v>123</v>
      </c>
      <c r="E1120" s="15" t="s">
        <v>497</v>
      </c>
      <c r="F1120" s="15"/>
      <c r="G1120" s="70">
        <f>G1122</f>
        <v>2950001</v>
      </c>
      <c r="H1120" s="70">
        <f t="shared" ref="H1120:I1120" si="318">H1122</f>
        <v>152500</v>
      </c>
      <c r="I1120" s="70">
        <f t="shared" si="318"/>
        <v>152500</v>
      </c>
      <c r="J1120" s="1"/>
    </row>
    <row r="1121" spans="1:20">
      <c r="A1121" s="16" t="s">
        <v>324</v>
      </c>
      <c r="B1121" s="14">
        <v>793</v>
      </c>
      <c r="C1121" s="15" t="s">
        <v>70</v>
      </c>
      <c r="D1121" s="15" t="s">
        <v>123</v>
      </c>
      <c r="E1121" s="15" t="s">
        <v>497</v>
      </c>
      <c r="F1121" s="15" t="s">
        <v>37</v>
      </c>
      <c r="G1121" s="70">
        <f>G1122</f>
        <v>2950001</v>
      </c>
      <c r="H1121" s="70">
        <f>H1122</f>
        <v>152500</v>
      </c>
      <c r="I1121" s="70">
        <f>I1122</f>
        <v>152500</v>
      </c>
      <c r="J1121" s="1"/>
    </row>
    <row r="1122" spans="1:20" ht="25.5">
      <c r="A1122" s="16" t="s">
        <v>38</v>
      </c>
      <c r="B1122" s="14">
        <v>793</v>
      </c>
      <c r="C1122" s="15" t="s">
        <v>70</v>
      </c>
      <c r="D1122" s="15" t="s">
        <v>123</v>
      </c>
      <c r="E1122" s="15" t="s">
        <v>497</v>
      </c>
      <c r="F1122" s="15" t="s">
        <v>39</v>
      </c>
      <c r="G1122" s="70">
        <f>'прил 5,'!G1282+'прил 5,'!G1319</f>
        <v>2950001</v>
      </c>
      <c r="H1122" s="70">
        <f>'прил 5,'!H1319+'прил 5,'!H1282</f>
        <v>152500</v>
      </c>
      <c r="I1122" s="70">
        <f>'прил 5,'!I1282+'прил 5,'!I1326+'прил 5,'!I1319</f>
        <v>152500</v>
      </c>
      <c r="J1122" s="1"/>
    </row>
    <row r="1123" spans="1:20" ht="46.5" hidden="1" customHeight="1">
      <c r="A1123" s="57" t="s">
        <v>500</v>
      </c>
      <c r="B1123" s="14">
        <v>793</v>
      </c>
      <c r="C1123" s="15" t="s">
        <v>70</v>
      </c>
      <c r="D1123" s="15" t="s">
        <v>123</v>
      </c>
      <c r="E1123" s="15" t="s">
        <v>499</v>
      </c>
      <c r="F1123" s="15"/>
      <c r="G1123" s="70">
        <f>G1124</f>
        <v>0</v>
      </c>
      <c r="H1123" s="70">
        <f t="shared" ref="H1123:I1123" si="319">H1124</f>
        <v>0</v>
      </c>
      <c r="I1123" s="70">
        <f t="shared" si="319"/>
        <v>0</v>
      </c>
      <c r="J1123" s="1"/>
    </row>
    <row r="1124" spans="1:20" hidden="1">
      <c r="A1124" s="16" t="s">
        <v>324</v>
      </c>
      <c r="B1124" s="14">
        <v>793</v>
      </c>
      <c r="C1124" s="15" t="s">
        <v>70</v>
      </c>
      <c r="D1124" s="15" t="s">
        <v>123</v>
      </c>
      <c r="E1124" s="15" t="s">
        <v>499</v>
      </c>
      <c r="F1124" s="15" t="s">
        <v>37</v>
      </c>
      <c r="G1124" s="70">
        <f>G1125</f>
        <v>0</v>
      </c>
      <c r="H1124" s="70">
        <f>H1125</f>
        <v>0</v>
      </c>
      <c r="I1124" s="70">
        <f>I1125</f>
        <v>0</v>
      </c>
      <c r="J1124" s="1"/>
    </row>
    <row r="1125" spans="1:20" ht="25.5" hidden="1">
      <c r="A1125" s="16" t="s">
        <v>38</v>
      </c>
      <c r="B1125" s="14">
        <v>793</v>
      </c>
      <c r="C1125" s="15" t="s">
        <v>70</v>
      </c>
      <c r="D1125" s="15" t="s">
        <v>123</v>
      </c>
      <c r="E1125" s="15" t="s">
        <v>499</v>
      </c>
      <c r="F1125" s="15" t="s">
        <v>39</v>
      </c>
      <c r="G1125" s="70">
        <f>'прил 5,'!G1285</f>
        <v>0</v>
      </c>
      <c r="H1125" s="164">
        <f>'прил 5,'!H1285</f>
        <v>0</v>
      </c>
      <c r="I1125" s="70">
        <f>'прил 5,'!I1285</f>
        <v>0</v>
      </c>
      <c r="J1125" s="70">
        <f>'прил 5,'!K1285</f>
        <v>0</v>
      </c>
      <c r="K1125" s="70">
        <f>'прил 5,'!L1285</f>
        <v>0</v>
      </c>
      <c r="L1125" s="70">
        <f>'прил 5,'!M1285</f>
        <v>0</v>
      </c>
      <c r="M1125" s="70">
        <f>'прил 5,'!N1285</f>
        <v>0</v>
      </c>
      <c r="N1125" s="70">
        <f>'прил 5,'!O1285</f>
        <v>0</v>
      </c>
      <c r="O1125" s="70">
        <f>'прил 5,'!P1285</f>
        <v>0</v>
      </c>
    </row>
    <row r="1126" spans="1:20" ht="79.5" customHeight="1">
      <c r="A1126" s="57" t="s">
        <v>1019</v>
      </c>
      <c r="B1126" s="14">
        <v>793</v>
      </c>
      <c r="C1126" s="15" t="s">
        <v>70</v>
      </c>
      <c r="D1126" s="15" t="s">
        <v>69</v>
      </c>
      <c r="E1126" s="15" t="s">
        <v>499</v>
      </c>
      <c r="F1126" s="15"/>
      <c r="G1126" s="70">
        <f>G1127</f>
        <v>2500000</v>
      </c>
      <c r="H1126" s="70">
        <f t="shared" ref="H1126:I1126" si="320">H1127</f>
        <v>0</v>
      </c>
      <c r="I1126" s="70">
        <f t="shared" si="320"/>
        <v>0</v>
      </c>
      <c r="J1126" s="177"/>
      <c r="K1126" s="177"/>
      <c r="L1126" s="177"/>
      <c r="M1126" s="177"/>
      <c r="N1126" s="177"/>
      <c r="O1126" s="177"/>
      <c r="P1126" s="186"/>
      <c r="Q1126" s="186"/>
      <c r="R1126" s="186"/>
      <c r="S1126" s="1"/>
      <c r="T1126" s="1"/>
    </row>
    <row r="1127" spans="1:20">
      <c r="A1127" s="16" t="s">
        <v>324</v>
      </c>
      <c r="B1127" s="14">
        <v>793</v>
      </c>
      <c r="C1127" s="15" t="s">
        <v>70</v>
      </c>
      <c r="D1127" s="15" t="s">
        <v>69</v>
      </c>
      <c r="E1127" s="15" t="s">
        <v>499</v>
      </c>
      <c r="F1127" s="15" t="s">
        <v>157</v>
      </c>
      <c r="G1127" s="70">
        <f>G1128</f>
        <v>2500000</v>
      </c>
      <c r="H1127" s="70">
        <f>H1128</f>
        <v>0</v>
      </c>
      <c r="I1127" s="70">
        <f>I1128</f>
        <v>0</v>
      </c>
      <c r="J1127" s="177"/>
      <c r="K1127" s="186"/>
      <c r="L1127" s="186"/>
      <c r="M1127" s="186"/>
      <c r="N1127" s="186"/>
      <c r="O1127" s="186"/>
      <c r="P1127" s="186"/>
      <c r="Q1127" s="186"/>
      <c r="R1127" s="186"/>
      <c r="S1127" s="1"/>
      <c r="T1127" s="1"/>
    </row>
    <row r="1128" spans="1:20" ht="25.5">
      <c r="A1128" s="16" t="s">
        <v>38</v>
      </c>
      <c r="B1128" s="14">
        <v>793</v>
      </c>
      <c r="C1128" s="15" t="s">
        <v>70</v>
      </c>
      <c r="D1128" s="15" t="s">
        <v>69</v>
      </c>
      <c r="E1128" s="15" t="s">
        <v>499</v>
      </c>
      <c r="F1128" s="15" t="s">
        <v>179</v>
      </c>
      <c r="G1128" s="70">
        <v>2500000</v>
      </c>
      <c r="H1128" s="70">
        <v>0</v>
      </c>
      <c r="I1128" s="70">
        <v>0</v>
      </c>
      <c r="J1128" s="177"/>
      <c r="K1128" s="186"/>
      <c r="L1128" s="186"/>
      <c r="M1128" s="186"/>
      <c r="N1128" s="186"/>
      <c r="O1128" s="186"/>
      <c r="P1128" s="186"/>
      <c r="Q1128" s="186"/>
      <c r="R1128" s="186"/>
      <c r="S1128" s="1"/>
      <c r="T1128" s="1"/>
    </row>
    <row r="1129" spans="1:20" ht="51">
      <c r="A1129" s="34" t="s">
        <v>444</v>
      </c>
      <c r="B1129" s="14"/>
      <c r="C1129" s="15"/>
      <c r="D1129" s="15"/>
      <c r="E1129" s="36" t="s">
        <v>250</v>
      </c>
      <c r="F1129" s="36"/>
      <c r="G1129" s="71">
        <f>G1130+G1136+G1139+G1133+G1142</f>
        <v>3869251.62</v>
      </c>
      <c r="H1129" s="71">
        <f t="shared" ref="H1129:I1129" si="321">H1130+H1136+H1139+H1133</f>
        <v>2045000</v>
      </c>
      <c r="I1129" s="71">
        <f t="shared" si="321"/>
        <v>2045000</v>
      </c>
      <c r="J1129" s="2">
        <v>3000000</v>
      </c>
    </row>
    <row r="1130" spans="1:20">
      <c r="A1130" s="40" t="s">
        <v>972</v>
      </c>
      <c r="B1130" s="14">
        <v>793</v>
      </c>
      <c r="C1130" s="15" t="s">
        <v>19</v>
      </c>
      <c r="D1130" s="15" t="s">
        <v>23</v>
      </c>
      <c r="E1130" s="15" t="s">
        <v>401</v>
      </c>
      <c r="F1130" s="15"/>
      <c r="G1130" s="87">
        <f t="shared" ref="G1130:I1131" si="322">G1131</f>
        <v>1154235.52</v>
      </c>
      <c r="H1130" s="87">
        <f t="shared" si="322"/>
        <v>1500000</v>
      </c>
      <c r="I1130" s="87">
        <f t="shared" si="322"/>
        <v>1500000</v>
      </c>
      <c r="J1130" s="2">
        <v>40000</v>
      </c>
    </row>
    <row r="1131" spans="1:20" ht="25.5" customHeight="1">
      <c r="A1131" s="16" t="s">
        <v>324</v>
      </c>
      <c r="B1131" s="14">
        <v>793</v>
      </c>
      <c r="C1131" s="15" t="s">
        <v>19</v>
      </c>
      <c r="D1131" s="15" t="s">
        <v>23</v>
      </c>
      <c r="E1131" s="15" t="s">
        <v>401</v>
      </c>
      <c r="F1131" s="15" t="s">
        <v>37</v>
      </c>
      <c r="G1131" s="87">
        <f t="shared" si="322"/>
        <v>1154235.52</v>
      </c>
      <c r="H1131" s="87">
        <f t="shared" si="322"/>
        <v>1500000</v>
      </c>
      <c r="I1131" s="87">
        <f t="shared" si="322"/>
        <v>1500000</v>
      </c>
    </row>
    <row r="1132" spans="1:20" ht="25.5" customHeight="1">
      <c r="A1132" s="16" t="s">
        <v>38</v>
      </c>
      <c r="B1132" s="14">
        <v>793</v>
      </c>
      <c r="C1132" s="15" t="s">
        <v>19</v>
      </c>
      <c r="D1132" s="15" t="s">
        <v>23</v>
      </c>
      <c r="E1132" s="15" t="s">
        <v>401</v>
      </c>
      <c r="F1132" s="15" t="s">
        <v>39</v>
      </c>
      <c r="G1132" s="87">
        <f>'прил 5,'!G1215</f>
        <v>1154235.52</v>
      </c>
      <c r="H1132" s="87">
        <f>'прил 5,'!H1214</f>
        <v>1500000</v>
      </c>
      <c r="I1132" s="87">
        <f>'прил 5,'!I1214</f>
        <v>1500000</v>
      </c>
    </row>
    <row r="1133" spans="1:20">
      <c r="A1133" s="137" t="s">
        <v>963</v>
      </c>
      <c r="B1133" s="14">
        <v>793</v>
      </c>
      <c r="C1133" s="15" t="s">
        <v>19</v>
      </c>
      <c r="D1133" s="15" t="s">
        <v>23</v>
      </c>
      <c r="E1133" s="15" t="s">
        <v>962</v>
      </c>
      <c r="F1133" s="15"/>
      <c r="G1133" s="70">
        <f t="shared" ref="G1133:I1134" si="323">G1134</f>
        <v>2345764.48</v>
      </c>
      <c r="H1133" s="70">
        <f t="shared" si="323"/>
        <v>500000</v>
      </c>
      <c r="I1133" s="70">
        <f t="shared" si="323"/>
        <v>500000</v>
      </c>
      <c r="J1133" s="177"/>
      <c r="K1133" s="186"/>
      <c r="L1133" s="186"/>
      <c r="M1133" s="186"/>
      <c r="N1133" s="186"/>
      <c r="O1133" s="186"/>
      <c r="P1133" s="186"/>
      <c r="Q1133" s="186"/>
      <c r="R1133" s="186"/>
      <c r="S1133" s="1"/>
      <c r="T1133" s="1"/>
    </row>
    <row r="1134" spans="1:20" ht="34.5" customHeight="1">
      <c r="A1134" s="16" t="s">
        <v>324</v>
      </c>
      <c r="B1134" s="14">
        <v>793</v>
      </c>
      <c r="C1134" s="15" t="s">
        <v>19</v>
      </c>
      <c r="D1134" s="15" t="s">
        <v>23</v>
      </c>
      <c r="E1134" s="15" t="s">
        <v>962</v>
      </c>
      <c r="F1134" s="15" t="s">
        <v>37</v>
      </c>
      <c r="G1134" s="70">
        <f t="shared" si="323"/>
        <v>2345764.48</v>
      </c>
      <c r="H1134" s="70">
        <f t="shared" si="323"/>
        <v>500000</v>
      </c>
      <c r="I1134" s="70">
        <f t="shared" si="323"/>
        <v>500000</v>
      </c>
      <c r="J1134" s="177"/>
      <c r="K1134" s="186"/>
      <c r="L1134" s="186"/>
      <c r="M1134" s="186"/>
      <c r="N1134" s="186"/>
      <c r="O1134" s="186"/>
      <c r="P1134" s="186"/>
      <c r="Q1134" s="186"/>
      <c r="R1134" s="186"/>
      <c r="S1134" s="1"/>
      <c r="T1134" s="1"/>
    </row>
    <row r="1135" spans="1:20" ht="30.75" customHeight="1">
      <c r="A1135" s="16" t="s">
        <v>38</v>
      </c>
      <c r="B1135" s="14">
        <v>793</v>
      </c>
      <c r="C1135" s="15" t="s">
        <v>19</v>
      </c>
      <c r="D1135" s="15" t="s">
        <v>23</v>
      </c>
      <c r="E1135" s="15" t="s">
        <v>962</v>
      </c>
      <c r="F1135" s="15" t="s">
        <v>39</v>
      </c>
      <c r="G1135" s="70">
        <f>'прил 5,'!G1218</f>
        <v>2345764.48</v>
      </c>
      <c r="H1135" s="70">
        <f>'прил 5,'!H1218</f>
        <v>500000</v>
      </c>
      <c r="I1135" s="70">
        <f>'прил 5,'!I1218</f>
        <v>500000</v>
      </c>
      <c r="J1135" s="177"/>
      <c r="K1135" s="186"/>
      <c r="L1135" s="186"/>
      <c r="M1135" s="186"/>
      <c r="N1135" s="186"/>
      <c r="O1135" s="186"/>
      <c r="P1135" s="186"/>
      <c r="Q1135" s="186"/>
      <c r="R1135" s="186"/>
      <c r="S1135" s="1"/>
      <c r="T1135" s="1"/>
    </row>
    <row r="1136" spans="1:20" ht="45" customHeight="1">
      <c r="A1136" s="40" t="s">
        <v>21</v>
      </c>
      <c r="B1136" s="14">
        <v>793</v>
      </c>
      <c r="C1136" s="15" t="s">
        <v>19</v>
      </c>
      <c r="D1136" s="15" t="s">
        <v>23</v>
      </c>
      <c r="E1136" s="15" t="s">
        <v>20</v>
      </c>
      <c r="F1136" s="15"/>
      <c r="G1136" s="87">
        <f t="shared" ref="G1136:I1137" si="324">G1137</f>
        <v>45000</v>
      </c>
      <c r="H1136" s="87">
        <f t="shared" si="324"/>
        <v>45000</v>
      </c>
      <c r="I1136" s="87">
        <f t="shared" si="324"/>
        <v>45000</v>
      </c>
    </row>
    <row r="1137" spans="1:20">
      <c r="A1137" s="16" t="s">
        <v>324</v>
      </c>
      <c r="B1137" s="14">
        <v>793</v>
      </c>
      <c r="C1137" s="15" t="s">
        <v>19</v>
      </c>
      <c r="D1137" s="15" t="s">
        <v>23</v>
      </c>
      <c r="E1137" s="15" t="s">
        <v>20</v>
      </c>
      <c r="F1137" s="15" t="s">
        <v>37</v>
      </c>
      <c r="G1137" s="87">
        <f t="shared" si="324"/>
        <v>45000</v>
      </c>
      <c r="H1137" s="87">
        <f t="shared" si="324"/>
        <v>45000</v>
      </c>
      <c r="I1137" s="87">
        <f t="shared" si="324"/>
        <v>45000</v>
      </c>
    </row>
    <row r="1138" spans="1:20" ht="30.75" customHeight="1">
      <c r="A1138" s="16" t="s">
        <v>38</v>
      </c>
      <c r="B1138" s="14">
        <v>793</v>
      </c>
      <c r="C1138" s="15" t="s">
        <v>19</v>
      </c>
      <c r="D1138" s="15" t="s">
        <v>23</v>
      </c>
      <c r="E1138" s="15" t="s">
        <v>20</v>
      </c>
      <c r="F1138" s="15" t="s">
        <v>39</v>
      </c>
      <c r="G1138" s="87">
        <f>'прил 5,'!G1221</f>
        <v>45000</v>
      </c>
      <c r="H1138" s="87">
        <f>'прил 5,'!H1221</f>
        <v>45000</v>
      </c>
      <c r="I1138" s="87">
        <f>'прил 5,'!I1221</f>
        <v>45000</v>
      </c>
    </row>
    <row r="1139" spans="1:20" ht="25.5" hidden="1">
      <c r="A1139" s="40" t="s">
        <v>828</v>
      </c>
      <c r="B1139" s="14">
        <v>793</v>
      </c>
      <c r="C1139" s="15" t="s">
        <v>19</v>
      </c>
      <c r="D1139" s="15" t="s">
        <v>23</v>
      </c>
      <c r="E1139" s="15" t="s">
        <v>827</v>
      </c>
      <c r="F1139" s="15"/>
      <c r="G1139" s="70">
        <f t="shared" ref="G1139:I1140" si="325">G1140</f>
        <v>0</v>
      </c>
      <c r="H1139" s="70">
        <f t="shared" si="325"/>
        <v>0</v>
      </c>
      <c r="I1139" s="70">
        <f t="shared" si="325"/>
        <v>0</v>
      </c>
      <c r="J1139" s="1"/>
    </row>
    <row r="1140" spans="1:20" ht="20.25" hidden="1" customHeight="1">
      <c r="A1140" s="16" t="s">
        <v>324</v>
      </c>
      <c r="B1140" s="14">
        <v>793</v>
      </c>
      <c r="C1140" s="15" t="s">
        <v>19</v>
      </c>
      <c r="D1140" s="15" t="s">
        <v>23</v>
      </c>
      <c r="E1140" s="15" t="s">
        <v>827</v>
      </c>
      <c r="F1140" s="15" t="s">
        <v>37</v>
      </c>
      <c r="G1140" s="70">
        <f t="shared" si="325"/>
        <v>0</v>
      </c>
      <c r="H1140" s="70">
        <f t="shared" si="325"/>
        <v>0</v>
      </c>
      <c r="I1140" s="70">
        <f t="shared" si="325"/>
        <v>0</v>
      </c>
      <c r="J1140" s="1"/>
    </row>
    <row r="1141" spans="1:20" ht="30.75" hidden="1" customHeight="1">
      <c r="A1141" s="16" t="s">
        <v>38</v>
      </c>
      <c r="B1141" s="14">
        <v>793</v>
      </c>
      <c r="C1141" s="15" t="s">
        <v>19</v>
      </c>
      <c r="D1141" s="15" t="s">
        <v>23</v>
      </c>
      <c r="E1141" s="15" t="s">
        <v>827</v>
      </c>
      <c r="F1141" s="15" t="s">
        <v>39</v>
      </c>
      <c r="G1141" s="70"/>
      <c r="H1141" s="70"/>
      <c r="I1141" s="70"/>
      <c r="J1141" s="1"/>
    </row>
    <row r="1142" spans="1:20" ht="30.75" customHeight="1">
      <c r="A1142" s="40" t="s">
        <v>828</v>
      </c>
      <c r="B1142" s="14"/>
      <c r="C1142" s="15"/>
      <c r="D1142" s="15"/>
      <c r="E1142" s="15" t="s">
        <v>827</v>
      </c>
      <c r="F1142" s="15"/>
      <c r="G1142" s="70">
        <f>G1143</f>
        <v>324251.62</v>
      </c>
      <c r="H1142" s="70"/>
      <c r="I1142" s="70"/>
      <c r="J1142" s="1"/>
    </row>
    <row r="1143" spans="1:20" ht="30.75" customHeight="1">
      <c r="A1143" s="16" t="s">
        <v>324</v>
      </c>
      <c r="B1143" s="14"/>
      <c r="C1143" s="15"/>
      <c r="D1143" s="15"/>
      <c r="E1143" s="15" t="s">
        <v>827</v>
      </c>
      <c r="F1143" s="15" t="s">
        <v>37</v>
      </c>
      <c r="G1143" s="70">
        <f>G1144</f>
        <v>324251.62</v>
      </c>
      <c r="H1143" s="70"/>
      <c r="I1143" s="70"/>
      <c r="J1143" s="1"/>
    </row>
    <row r="1144" spans="1:20" ht="30.75" customHeight="1">
      <c r="A1144" s="16" t="s">
        <v>38</v>
      </c>
      <c r="B1144" s="14"/>
      <c r="C1144" s="15"/>
      <c r="D1144" s="15"/>
      <c r="E1144" s="15" t="s">
        <v>827</v>
      </c>
      <c r="F1144" s="15" t="s">
        <v>39</v>
      </c>
      <c r="G1144" s="70">
        <f>'прил 5,'!G1227</f>
        <v>324251.62</v>
      </c>
      <c r="H1144" s="70"/>
      <c r="I1144" s="70"/>
      <c r="J1144" s="1"/>
    </row>
    <row r="1145" spans="1:20" s="22" customFormat="1" ht="69" customHeight="1">
      <c r="A1145" s="34" t="s">
        <v>495</v>
      </c>
      <c r="B1145" s="19">
        <v>795</v>
      </c>
      <c r="C1145" s="36" t="s">
        <v>173</v>
      </c>
      <c r="D1145" s="36" t="s">
        <v>28</v>
      </c>
      <c r="E1145" s="36" t="s">
        <v>296</v>
      </c>
      <c r="F1145" s="36"/>
      <c r="G1145" s="71">
        <f>G1158+G1163+G1180+G1185+G1188+G1194+G1200+G1206+G1209+G1230+G1284+G1310+G1313+G1304+G1203+G1153+G1191+G1177+G1307+G1174+G1227</f>
        <v>27821937.350000001</v>
      </c>
      <c r="H1145" s="71">
        <f>H1158+H1163+H1180+H1185+H1188+H1194+H1200+H1206+H1209+H1230+H1284+H1310+H1313+H1304+H1203+H1153+H1191+H1177+H1307+H1174+H1227</f>
        <v>12620703.07</v>
      </c>
      <c r="I1145" s="71">
        <f t="shared" ref="I1145" si="326">I1158+I1163+I1180+I1185+I1188+I1194+I1200+I1206+I1209+I1230+I1284+I1310+I1313+I1304+I1203+I1153+I1191+I1177+I1307+I1174+I1227</f>
        <v>9120800.0999999996</v>
      </c>
      <c r="J1145" s="21">
        <f>H1147+H1149+H1152+H1162+H1165+H1182+H1184+H1187+H1190+H1196+H1202+H1208+H1211</f>
        <v>9745703.0700000003</v>
      </c>
      <c r="M1145" s="22">
        <v>45000</v>
      </c>
      <c r="P1145" s="21"/>
      <c r="Q1145" s="21"/>
      <c r="R1145" s="21"/>
      <c r="S1145" s="21"/>
      <c r="T1145" s="21"/>
    </row>
    <row r="1146" spans="1:20" s="22" customFormat="1" ht="25.5" hidden="1">
      <c r="A1146" s="16" t="s">
        <v>76</v>
      </c>
      <c r="B1146" s="49">
        <v>795</v>
      </c>
      <c r="C1146" s="66" t="s">
        <v>54</v>
      </c>
      <c r="D1146" s="66" t="s">
        <v>88</v>
      </c>
      <c r="E1146" s="41" t="s">
        <v>283</v>
      </c>
      <c r="F1146" s="66"/>
      <c r="G1146" s="29">
        <f>G1147+G1150+G1151</f>
        <v>0</v>
      </c>
      <c r="H1146" s="29">
        <f t="shared" ref="H1146:I1146" si="327">H1147+H1150+H1151</f>
        <v>0</v>
      </c>
      <c r="I1146" s="29">
        <f t="shared" si="327"/>
        <v>0</v>
      </c>
      <c r="J1146" s="21"/>
      <c r="M1146" s="22">
        <v>10893191</v>
      </c>
      <c r="P1146" s="21"/>
      <c r="Q1146" s="21"/>
      <c r="R1146" s="21"/>
      <c r="S1146" s="21"/>
      <c r="T1146" s="21"/>
    </row>
    <row r="1147" spans="1:20" s="124" customFormat="1" ht="51" hidden="1">
      <c r="A1147" s="146" t="s">
        <v>55</v>
      </c>
      <c r="B1147" s="83">
        <v>795</v>
      </c>
      <c r="C1147" s="147" t="s">
        <v>54</v>
      </c>
      <c r="D1147" s="147" t="s">
        <v>88</v>
      </c>
      <c r="E1147" s="148" t="s">
        <v>283</v>
      </c>
      <c r="F1147" s="148" t="s">
        <v>58</v>
      </c>
      <c r="G1147" s="93">
        <f>G1148</f>
        <v>0</v>
      </c>
      <c r="H1147" s="93">
        <f t="shared" ref="H1147:I1147" si="328">H1148</f>
        <v>0</v>
      </c>
      <c r="I1147" s="93">
        <f t="shared" si="328"/>
        <v>0</v>
      </c>
      <c r="J1147" s="123"/>
      <c r="M1147" s="124">
        <v>431322</v>
      </c>
      <c r="P1147" s="123"/>
      <c r="Q1147" s="123"/>
      <c r="R1147" s="123"/>
      <c r="S1147" s="123"/>
      <c r="T1147" s="123"/>
    </row>
    <row r="1148" spans="1:20" s="124" customFormat="1" ht="25.5" hidden="1">
      <c r="A1148" s="146" t="s">
        <v>56</v>
      </c>
      <c r="B1148" s="83">
        <v>795</v>
      </c>
      <c r="C1148" s="147" t="s">
        <v>54</v>
      </c>
      <c r="D1148" s="147" t="s">
        <v>88</v>
      </c>
      <c r="E1148" s="148" t="s">
        <v>283</v>
      </c>
      <c r="F1148" s="148" t="s">
        <v>59</v>
      </c>
      <c r="G1148" s="93">
        <f>'прил 5,'!G1895</f>
        <v>0</v>
      </c>
      <c r="H1148" s="93">
        <f>'прил 5,'!H1895</f>
        <v>0</v>
      </c>
      <c r="I1148" s="93">
        <f>'прил 5,'!I1895</f>
        <v>0</v>
      </c>
      <c r="J1148" s="123"/>
      <c r="M1148" s="124">
        <v>20000</v>
      </c>
      <c r="P1148" s="123"/>
      <c r="Q1148" s="123"/>
      <c r="R1148" s="123"/>
      <c r="S1148" s="123"/>
      <c r="T1148" s="123"/>
    </row>
    <row r="1149" spans="1:20" s="90" customFormat="1" ht="25.5" hidden="1">
      <c r="A1149" s="82" t="s">
        <v>36</v>
      </c>
      <c r="B1149" s="83">
        <v>795</v>
      </c>
      <c r="C1149" s="147" t="s">
        <v>54</v>
      </c>
      <c r="D1149" s="147" t="s">
        <v>88</v>
      </c>
      <c r="E1149" s="148" t="s">
        <v>283</v>
      </c>
      <c r="F1149" s="84" t="s">
        <v>37</v>
      </c>
      <c r="G1149" s="87">
        <f>G1150</f>
        <v>0</v>
      </c>
      <c r="H1149" s="87">
        <f t="shared" ref="H1149:I1149" si="329">H1150</f>
        <v>0</v>
      </c>
      <c r="I1149" s="87">
        <f t="shared" si="329"/>
        <v>0</v>
      </c>
      <c r="J1149" s="123"/>
      <c r="M1149" s="124">
        <v>1600000</v>
      </c>
      <c r="P1149" s="126"/>
      <c r="Q1149" s="126"/>
      <c r="R1149" s="126"/>
      <c r="S1149" s="126"/>
      <c r="T1149" s="126"/>
    </row>
    <row r="1150" spans="1:20" s="90" customFormat="1" ht="25.5" hidden="1">
      <c r="A1150" s="82" t="s">
        <v>38</v>
      </c>
      <c r="B1150" s="83">
        <v>795</v>
      </c>
      <c r="C1150" s="147" t="s">
        <v>54</v>
      </c>
      <c r="D1150" s="147" t="s">
        <v>88</v>
      </c>
      <c r="E1150" s="148" t="s">
        <v>283</v>
      </c>
      <c r="F1150" s="84" t="s">
        <v>39</v>
      </c>
      <c r="G1150" s="87">
        <f>'прил 5,'!G1897</f>
        <v>0</v>
      </c>
      <c r="H1150" s="87">
        <f>'прил 5,'!H1897</f>
        <v>0</v>
      </c>
      <c r="I1150" s="87">
        <f>'прил 5,'!I1897</f>
        <v>0</v>
      </c>
      <c r="J1150" s="123"/>
      <c r="M1150" s="124">
        <v>800000</v>
      </c>
      <c r="P1150" s="126"/>
      <c r="Q1150" s="126"/>
      <c r="R1150" s="126"/>
      <c r="S1150" s="126"/>
      <c r="T1150" s="126"/>
    </row>
    <row r="1151" spans="1:20" s="150" customFormat="1" ht="25.5" hidden="1">
      <c r="A1151" s="82" t="s">
        <v>38</v>
      </c>
      <c r="B1151" s="149">
        <v>792</v>
      </c>
      <c r="C1151" s="147" t="s">
        <v>54</v>
      </c>
      <c r="D1151" s="147" t="s">
        <v>88</v>
      </c>
      <c r="E1151" s="148" t="s">
        <v>283</v>
      </c>
      <c r="F1151" s="84" t="s">
        <v>64</v>
      </c>
      <c r="G1151" s="87">
        <f>G1152</f>
        <v>0</v>
      </c>
      <c r="H1151" s="87">
        <f t="shared" ref="H1151:I1151" si="330">H1152</f>
        <v>0</v>
      </c>
      <c r="I1151" s="87">
        <f t="shared" si="330"/>
        <v>0</v>
      </c>
      <c r="J1151" s="123"/>
      <c r="M1151" s="124">
        <v>550000</v>
      </c>
      <c r="P1151" s="152"/>
      <c r="Q1151" s="152"/>
      <c r="R1151" s="152"/>
      <c r="S1151" s="152"/>
      <c r="T1151" s="152"/>
    </row>
    <row r="1152" spans="1:20" s="150" customFormat="1" hidden="1">
      <c r="A1152" s="82" t="s">
        <v>144</v>
      </c>
      <c r="B1152" s="149">
        <v>792</v>
      </c>
      <c r="C1152" s="147" t="s">
        <v>54</v>
      </c>
      <c r="D1152" s="147" t="s">
        <v>88</v>
      </c>
      <c r="E1152" s="148" t="s">
        <v>283</v>
      </c>
      <c r="F1152" s="84" t="s">
        <v>67</v>
      </c>
      <c r="G1152" s="87">
        <f>'прил 5,'!G1899</f>
        <v>0</v>
      </c>
      <c r="H1152" s="87">
        <f>'прил 5,'!H1899</f>
        <v>0</v>
      </c>
      <c r="I1152" s="87">
        <f>'прил 5,'!I1899</f>
        <v>0</v>
      </c>
      <c r="J1152" s="123"/>
      <c r="M1152" s="124">
        <v>97644600</v>
      </c>
      <c r="P1152" s="152"/>
      <c r="Q1152" s="152"/>
      <c r="R1152" s="152"/>
      <c r="S1152" s="152"/>
      <c r="T1152" s="152"/>
    </row>
    <row r="1153" spans="1:20" ht="35.25" customHeight="1">
      <c r="A1153" s="37" t="s">
        <v>76</v>
      </c>
      <c r="B1153" s="49">
        <v>793</v>
      </c>
      <c r="C1153" s="15" t="s">
        <v>54</v>
      </c>
      <c r="D1153" s="15" t="s">
        <v>88</v>
      </c>
      <c r="E1153" s="15" t="s">
        <v>283</v>
      </c>
      <c r="F1153" s="15"/>
      <c r="G1153" s="70">
        <f>G1156+G1154</f>
        <v>129909.92</v>
      </c>
      <c r="H1153" s="8">
        <v>0</v>
      </c>
      <c r="I1153" s="8">
        <v>0</v>
      </c>
      <c r="J1153" s="178"/>
      <c r="K1153" s="186"/>
      <c r="L1153" s="186"/>
      <c r="M1153" s="186"/>
      <c r="N1153" s="186"/>
      <c r="O1153" s="186"/>
      <c r="P1153" s="186"/>
      <c r="Q1153" s="186"/>
      <c r="R1153" s="186"/>
      <c r="S1153" s="1"/>
      <c r="T1153" s="1"/>
    </row>
    <row r="1154" spans="1:20" s="3" customFormat="1" ht="51">
      <c r="A1154" s="56" t="s">
        <v>55</v>
      </c>
      <c r="B1154" s="14">
        <v>795</v>
      </c>
      <c r="C1154" s="15" t="s">
        <v>54</v>
      </c>
      <c r="D1154" s="15" t="s">
        <v>88</v>
      </c>
      <c r="E1154" s="15" t="s">
        <v>283</v>
      </c>
      <c r="F1154" s="15" t="s">
        <v>58</v>
      </c>
      <c r="G1154" s="70">
        <f>G1155</f>
        <v>43000</v>
      </c>
      <c r="H1154" s="70">
        <f>H1155</f>
        <v>0</v>
      </c>
      <c r="I1154" s="70">
        <f>I1155</f>
        <v>0</v>
      </c>
      <c r="J1154" s="177"/>
      <c r="K1154" s="199"/>
      <c r="L1154" s="199"/>
      <c r="M1154" s="199"/>
      <c r="N1154" s="199"/>
      <c r="O1154" s="199"/>
      <c r="P1154" s="199"/>
      <c r="Q1154" s="222"/>
      <c r="R1154" s="199"/>
    </row>
    <row r="1155" spans="1:20" s="3" customFormat="1" ht="25.5">
      <c r="A1155" s="56" t="s">
        <v>56</v>
      </c>
      <c r="B1155" s="14">
        <v>795</v>
      </c>
      <c r="C1155" s="15" t="s">
        <v>54</v>
      </c>
      <c r="D1155" s="15" t="s">
        <v>88</v>
      </c>
      <c r="E1155" s="15" t="s">
        <v>283</v>
      </c>
      <c r="F1155" s="15" t="s">
        <v>59</v>
      </c>
      <c r="G1155" s="70">
        <v>43000</v>
      </c>
      <c r="H1155" s="70">
        <v>0</v>
      </c>
      <c r="I1155" s="70">
        <v>0</v>
      </c>
      <c r="J1155" s="177"/>
      <c r="K1155" s="199"/>
      <c r="L1155" s="199"/>
      <c r="M1155" s="199"/>
      <c r="N1155" s="199"/>
      <c r="O1155" s="199"/>
      <c r="P1155" s="199"/>
      <c r="Q1155" s="222"/>
      <c r="R1155" s="199"/>
    </row>
    <row r="1156" spans="1:20" ht="30.75" customHeight="1">
      <c r="A1156" s="16" t="s">
        <v>457</v>
      </c>
      <c r="B1156" s="49">
        <v>793</v>
      </c>
      <c r="C1156" s="15" t="s">
        <v>54</v>
      </c>
      <c r="D1156" s="15" t="s">
        <v>88</v>
      </c>
      <c r="E1156" s="15" t="s">
        <v>283</v>
      </c>
      <c r="F1156" s="15" t="s">
        <v>37</v>
      </c>
      <c r="G1156" s="70">
        <f>G1157</f>
        <v>86909.92</v>
      </c>
      <c r="H1156" s="8">
        <v>0</v>
      </c>
      <c r="I1156" s="8">
        <v>0</v>
      </c>
      <c r="J1156" s="178"/>
      <c r="K1156" s="186"/>
      <c r="L1156" s="186"/>
      <c r="M1156" s="186"/>
      <c r="N1156" s="186"/>
      <c r="O1156" s="186"/>
      <c r="P1156" s="186"/>
      <c r="Q1156" s="186"/>
      <c r="R1156" s="186"/>
      <c r="S1156" s="1"/>
      <c r="T1156" s="1"/>
    </row>
    <row r="1157" spans="1:20" ht="38.25" customHeight="1">
      <c r="A1157" s="16" t="s">
        <v>38</v>
      </c>
      <c r="B1157" s="49">
        <v>793</v>
      </c>
      <c r="C1157" s="15" t="s">
        <v>54</v>
      </c>
      <c r="D1157" s="15" t="s">
        <v>88</v>
      </c>
      <c r="E1157" s="15" t="s">
        <v>283</v>
      </c>
      <c r="F1157" s="15" t="s">
        <v>39</v>
      </c>
      <c r="G1157" s="87">
        <f>'прил 5,'!G2150</f>
        <v>86909.92</v>
      </c>
      <c r="H1157" s="8">
        <v>0</v>
      </c>
      <c r="I1157" s="8">
        <v>0</v>
      </c>
      <c r="J1157" s="178"/>
      <c r="K1157" s="186"/>
      <c r="L1157" s="186"/>
      <c r="M1157" s="186"/>
      <c r="N1157" s="186"/>
      <c r="O1157" s="186"/>
      <c r="P1157" s="186"/>
      <c r="Q1157" s="186"/>
      <c r="R1157" s="186"/>
      <c r="S1157" s="1"/>
      <c r="T1157" s="1"/>
    </row>
    <row r="1158" spans="1:20" s="151" customFormat="1" ht="67.5" customHeight="1">
      <c r="A1158" s="82" t="s">
        <v>321</v>
      </c>
      <c r="B1158" s="83">
        <v>795</v>
      </c>
      <c r="C1158" s="84" t="s">
        <v>173</v>
      </c>
      <c r="D1158" s="84" t="s">
        <v>28</v>
      </c>
      <c r="E1158" s="84" t="s">
        <v>322</v>
      </c>
      <c r="F1158" s="84"/>
      <c r="G1158" s="87">
        <f>G1161+G1159</f>
        <v>776719</v>
      </c>
      <c r="H1158" s="87">
        <f>H1161+H1159</f>
        <v>700000</v>
      </c>
      <c r="I1158" s="87">
        <f t="shared" ref="I1158" si="331">I1161+I1159</f>
        <v>700000</v>
      </c>
      <c r="J1158" s="123"/>
      <c r="M1158" s="124">
        <v>1893100</v>
      </c>
      <c r="P1158" s="174"/>
      <c r="Q1158" s="174"/>
      <c r="R1158" s="174"/>
      <c r="S1158" s="174"/>
      <c r="T1158" s="174"/>
    </row>
    <row r="1159" spans="1:20" ht="25.5">
      <c r="A1159" s="16" t="s">
        <v>36</v>
      </c>
      <c r="B1159" s="49">
        <v>793</v>
      </c>
      <c r="C1159" s="15" t="s">
        <v>173</v>
      </c>
      <c r="D1159" s="15" t="s">
        <v>28</v>
      </c>
      <c r="E1159" s="15" t="s">
        <v>322</v>
      </c>
      <c r="F1159" s="15" t="s">
        <v>37</v>
      </c>
      <c r="G1159" s="70">
        <f>G1160</f>
        <v>0</v>
      </c>
      <c r="H1159" s="70">
        <f>H1160</f>
        <v>700000</v>
      </c>
      <c r="I1159" s="70">
        <f>I1160</f>
        <v>700000</v>
      </c>
      <c r="J1159" s="176"/>
      <c r="P1159" s="1"/>
      <c r="Q1159" s="1"/>
      <c r="R1159" s="1"/>
      <c r="S1159" s="1"/>
      <c r="T1159" s="1"/>
    </row>
    <row r="1160" spans="1:20" ht="25.5">
      <c r="A1160" s="16" t="s">
        <v>38</v>
      </c>
      <c r="B1160" s="49">
        <v>793</v>
      </c>
      <c r="C1160" s="15" t="s">
        <v>173</v>
      </c>
      <c r="D1160" s="15" t="s">
        <v>28</v>
      </c>
      <c r="E1160" s="15" t="s">
        <v>322</v>
      </c>
      <c r="F1160" s="15" t="s">
        <v>39</v>
      </c>
      <c r="G1160" s="70">
        <v>0</v>
      </c>
      <c r="H1160" s="70">
        <v>700000</v>
      </c>
      <c r="I1160" s="70">
        <v>700000</v>
      </c>
      <c r="J1160" s="176"/>
      <c r="P1160" s="1"/>
      <c r="Q1160" s="1"/>
      <c r="R1160" s="1"/>
      <c r="S1160" s="1"/>
      <c r="T1160" s="1"/>
    </row>
    <row r="1161" spans="1:20" s="151" customFormat="1" ht="21.75" customHeight="1">
      <c r="A1161" s="82" t="s">
        <v>156</v>
      </c>
      <c r="B1161" s="83">
        <v>795</v>
      </c>
      <c r="C1161" s="84" t="s">
        <v>173</v>
      </c>
      <c r="D1161" s="84" t="s">
        <v>28</v>
      </c>
      <c r="E1161" s="84" t="s">
        <v>322</v>
      </c>
      <c r="F1161" s="84" t="s">
        <v>157</v>
      </c>
      <c r="G1161" s="87">
        <f t="shared" ref="G1161:I1161" si="332">G1162</f>
        <v>776719</v>
      </c>
      <c r="H1161" s="87">
        <f t="shared" si="332"/>
        <v>0</v>
      </c>
      <c r="I1161" s="87">
        <f t="shared" si="332"/>
        <v>0</v>
      </c>
      <c r="J1161" s="123"/>
      <c r="M1161" s="124">
        <v>2400000</v>
      </c>
      <c r="P1161" s="174"/>
      <c r="Q1161" s="174"/>
      <c r="R1161" s="174"/>
      <c r="S1161" s="174"/>
      <c r="T1161" s="174"/>
    </row>
    <row r="1162" spans="1:20" s="90" customFormat="1" ht="18.75" customHeight="1">
      <c r="A1162" s="82" t="s">
        <v>178</v>
      </c>
      <c r="B1162" s="83">
        <v>795</v>
      </c>
      <c r="C1162" s="84" t="s">
        <v>173</v>
      </c>
      <c r="D1162" s="84" t="s">
        <v>28</v>
      </c>
      <c r="E1162" s="84" t="s">
        <v>322</v>
      </c>
      <c r="F1162" s="84" t="s">
        <v>179</v>
      </c>
      <c r="G1162" s="70">
        <f>'прил 5,'!G1518</f>
        <v>776719</v>
      </c>
      <c r="H1162" s="70">
        <f>'прил 5,'!H1518</f>
        <v>0</v>
      </c>
      <c r="I1162" s="70">
        <f>'прил 5,'!I1518</f>
        <v>0</v>
      </c>
      <c r="J1162" s="123"/>
      <c r="M1162" s="124">
        <v>1000000</v>
      </c>
      <c r="P1162" s="126"/>
      <c r="Q1162" s="126"/>
      <c r="R1162" s="126"/>
      <c r="S1162" s="126"/>
      <c r="T1162" s="126"/>
    </row>
    <row r="1163" spans="1:20" s="90" customFormat="1" ht="27.75" customHeight="1">
      <c r="A1163" s="82" t="s">
        <v>757</v>
      </c>
      <c r="B1163" s="83">
        <v>795</v>
      </c>
      <c r="C1163" s="84" t="s">
        <v>173</v>
      </c>
      <c r="D1163" s="84" t="s">
        <v>28</v>
      </c>
      <c r="E1163" s="84" t="s">
        <v>297</v>
      </c>
      <c r="F1163" s="84"/>
      <c r="G1163" s="70">
        <f>G1164+G1166</f>
        <v>7427210.1500000004</v>
      </c>
      <c r="H1163" s="70">
        <f t="shared" ref="G1163:I1164" si="333">H1164</f>
        <v>4900000</v>
      </c>
      <c r="I1163" s="70">
        <f t="shared" si="333"/>
        <v>2200000</v>
      </c>
      <c r="J1163" s="123"/>
      <c r="M1163" s="124">
        <v>662715</v>
      </c>
      <c r="P1163" s="126"/>
      <c r="Q1163" s="126"/>
      <c r="R1163" s="126"/>
      <c r="S1163" s="126"/>
      <c r="T1163" s="126"/>
    </row>
    <row r="1164" spans="1:20" s="90" customFormat="1" ht="25.5">
      <c r="A1164" s="82" t="s">
        <v>36</v>
      </c>
      <c r="B1164" s="83">
        <v>795</v>
      </c>
      <c r="C1164" s="84" t="s">
        <v>173</v>
      </c>
      <c r="D1164" s="84" t="s">
        <v>28</v>
      </c>
      <c r="E1164" s="84" t="s">
        <v>297</v>
      </c>
      <c r="F1164" s="84" t="s">
        <v>37</v>
      </c>
      <c r="G1164" s="70">
        <f t="shared" si="333"/>
        <v>7427210.1500000004</v>
      </c>
      <c r="H1164" s="70">
        <f t="shared" si="333"/>
        <v>4900000</v>
      </c>
      <c r="I1164" s="70">
        <f t="shared" si="333"/>
        <v>2200000</v>
      </c>
      <c r="J1164" s="123"/>
      <c r="M1164" s="124">
        <v>1000000</v>
      </c>
      <c r="P1164" s="126"/>
      <c r="Q1164" s="126"/>
      <c r="R1164" s="126"/>
      <c r="S1164" s="126"/>
      <c r="T1164" s="126"/>
    </row>
    <row r="1165" spans="1:20" s="90" customFormat="1" ht="25.5">
      <c r="A1165" s="82" t="s">
        <v>38</v>
      </c>
      <c r="B1165" s="83">
        <v>795</v>
      </c>
      <c r="C1165" s="84" t="s">
        <v>173</v>
      </c>
      <c r="D1165" s="84" t="s">
        <v>28</v>
      </c>
      <c r="E1165" s="84" t="s">
        <v>297</v>
      </c>
      <c r="F1165" s="84" t="s">
        <v>39</v>
      </c>
      <c r="G1165" s="70">
        <f>'прил 5,'!G1499+'прил 5,'!G2181</f>
        <v>7427210.1500000004</v>
      </c>
      <c r="H1165" s="70">
        <f>'прил 5,'!H1499</f>
        <v>4900000</v>
      </c>
      <c r="I1165" s="70">
        <f>'прил 5,'!I1499</f>
        <v>2200000</v>
      </c>
      <c r="J1165" s="123"/>
      <c r="M1165" s="124">
        <v>200000</v>
      </c>
      <c r="P1165" s="126"/>
      <c r="Q1165" s="126"/>
      <c r="R1165" s="126"/>
      <c r="S1165" s="126"/>
      <c r="T1165" s="126"/>
    </row>
    <row r="1166" spans="1:20" hidden="1">
      <c r="A1166" s="16" t="s">
        <v>63</v>
      </c>
      <c r="B1166" s="49">
        <v>795</v>
      </c>
      <c r="C1166" s="15" t="s">
        <v>173</v>
      </c>
      <c r="D1166" s="15" t="s">
        <v>28</v>
      </c>
      <c r="E1166" s="15" t="s">
        <v>297</v>
      </c>
      <c r="F1166" s="15" t="s">
        <v>64</v>
      </c>
      <c r="G1166" s="70">
        <f>G1167</f>
        <v>0</v>
      </c>
      <c r="H1166" s="70">
        <v>0</v>
      </c>
      <c r="I1166" s="70">
        <v>0</v>
      </c>
      <c r="J1166" s="1"/>
    </row>
    <row r="1167" spans="1:20" hidden="1">
      <c r="A1167" s="16" t="s">
        <v>180</v>
      </c>
      <c r="B1167" s="49">
        <v>795</v>
      </c>
      <c r="C1167" s="15" t="s">
        <v>173</v>
      </c>
      <c r="D1167" s="15" t="s">
        <v>28</v>
      </c>
      <c r="E1167" s="15" t="s">
        <v>297</v>
      </c>
      <c r="F1167" s="15" t="s">
        <v>181</v>
      </c>
      <c r="G1167" s="70">
        <f>'прил 5,'!G1936</f>
        <v>0</v>
      </c>
      <c r="H1167" s="70">
        <v>0</v>
      </c>
      <c r="I1167" s="70">
        <v>0</v>
      </c>
      <c r="J1167" s="1"/>
    </row>
    <row r="1168" spans="1:20" s="90" customFormat="1" hidden="1">
      <c r="A1168" s="82" t="s">
        <v>701</v>
      </c>
      <c r="B1168" s="83">
        <v>795</v>
      </c>
      <c r="C1168" s="84" t="s">
        <v>173</v>
      </c>
      <c r="D1168" s="84" t="s">
        <v>28</v>
      </c>
      <c r="E1168" s="84" t="s">
        <v>700</v>
      </c>
      <c r="F1168" s="84"/>
      <c r="G1168" s="87">
        <f t="shared" ref="G1168:I1169" si="334">G1169</f>
        <v>0</v>
      </c>
      <c r="H1168" s="87">
        <f t="shared" si="334"/>
        <v>0</v>
      </c>
      <c r="I1168" s="87">
        <f t="shared" si="334"/>
        <v>0</v>
      </c>
      <c r="P1168" s="126"/>
      <c r="Q1168" s="126"/>
      <c r="R1168" s="126"/>
      <c r="S1168" s="126"/>
      <c r="T1168" s="126"/>
    </row>
    <row r="1169" spans="1:20" s="90" customFormat="1" ht="25.5" hidden="1">
      <c r="A1169" s="82" t="s">
        <v>36</v>
      </c>
      <c r="B1169" s="83">
        <v>795</v>
      </c>
      <c r="C1169" s="84" t="s">
        <v>173</v>
      </c>
      <c r="D1169" s="84" t="s">
        <v>28</v>
      </c>
      <c r="E1169" s="84" t="s">
        <v>700</v>
      </c>
      <c r="F1169" s="84" t="s">
        <v>37</v>
      </c>
      <c r="G1169" s="87">
        <f t="shared" si="334"/>
        <v>0</v>
      </c>
      <c r="H1169" s="87">
        <f t="shared" si="334"/>
        <v>0</v>
      </c>
      <c r="I1169" s="87">
        <f t="shared" si="334"/>
        <v>0</v>
      </c>
      <c r="P1169" s="126"/>
      <c r="Q1169" s="126"/>
      <c r="R1169" s="126"/>
      <c r="S1169" s="126"/>
      <c r="T1169" s="126"/>
    </row>
    <row r="1170" spans="1:20" s="90" customFormat="1" ht="25.5" hidden="1">
      <c r="A1170" s="82" t="s">
        <v>38</v>
      </c>
      <c r="B1170" s="83">
        <v>795</v>
      </c>
      <c r="C1170" s="84" t="s">
        <v>173</v>
      </c>
      <c r="D1170" s="84" t="s">
        <v>28</v>
      </c>
      <c r="E1170" s="84" t="s">
        <v>700</v>
      </c>
      <c r="F1170" s="84" t="s">
        <v>39</v>
      </c>
      <c r="G1170" s="87">
        <f>'прил 5,'!G1082</f>
        <v>0</v>
      </c>
      <c r="H1170" s="87">
        <v>0</v>
      </c>
      <c r="I1170" s="87">
        <v>0</v>
      </c>
      <c r="P1170" s="126"/>
      <c r="Q1170" s="126"/>
      <c r="R1170" s="126"/>
      <c r="S1170" s="126"/>
      <c r="T1170" s="126"/>
    </row>
    <row r="1171" spans="1:20" hidden="1">
      <c r="A1171" s="16" t="s">
        <v>748</v>
      </c>
      <c r="B1171" s="49">
        <v>795</v>
      </c>
      <c r="C1171" s="15" t="s">
        <v>173</v>
      </c>
      <c r="D1171" s="15" t="s">
        <v>28</v>
      </c>
      <c r="E1171" s="15" t="s">
        <v>747</v>
      </c>
      <c r="F1171" s="15"/>
      <c r="G1171" s="70">
        <f t="shared" ref="G1171:I1172" si="335">G1172</f>
        <v>0</v>
      </c>
      <c r="H1171" s="70">
        <f t="shared" si="335"/>
        <v>0</v>
      </c>
      <c r="I1171" s="70">
        <f t="shared" si="335"/>
        <v>0</v>
      </c>
      <c r="J1171" s="1"/>
    </row>
    <row r="1172" spans="1:20" ht="25.5" hidden="1">
      <c r="A1172" s="16" t="s">
        <v>36</v>
      </c>
      <c r="B1172" s="49">
        <v>795</v>
      </c>
      <c r="C1172" s="15" t="s">
        <v>173</v>
      </c>
      <c r="D1172" s="15" t="s">
        <v>28</v>
      </c>
      <c r="E1172" s="15" t="s">
        <v>747</v>
      </c>
      <c r="F1172" s="15" t="s">
        <v>37</v>
      </c>
      <c r="G1172" s="70">
        <f t="shared" si="335"/>
        <v>0</v>
      </c>
      <c r="H1172" s="70">
        <f t="shared" si="335"/>
        <v>0</v>
      </c>
      <c r="I1172" s="70">
        <f t="shared" si="335"/>
        <v>0</v>
      </c>
      <c r="J1172" s="1"/>
    </row>
    <row r="1173" spans="1:20" ht="25.5" hidden="1">
      <c r="A1173" s="16" t="s">
        <v>38</v>
      </c>
      <c r="B1173" s="49">
        <v>795</v>
      </c>
      <c r="C1173" s="15" t="s">
        <v>173</v>
      </c>
      <c r="D1173" s="15" t="s">
        <v>28</v>
      </c>
      <c r="E1173" s="15" t="s">
        <v>747</v>
      </c>
      <c r="F1173" s="15" t="s">
        <v>39</v>
      </c>
      <c r="G1173" s="70">
        <f>'прил 5,'!G1942</f>
        <v>0</v>
      </c>
      <c r="H1173" s="70">
        <v>0</v>
      </c>
      <c r="I1173" s="70">
        <v>0</v>
      </c>
      <c r="J1173" s="1"/>
    </row>
    <row r="1174" spans="1:20" ht="25.5">
      <c r="A1174" s="82" t="s">
        <v>1074</v>
      </c>
      <c r="B1174" s="49">
        <v>793</v>
      </c>
      <c r="C1174" s="15" t="s">
        <v>173</v>
      </c>
      <c r="D1174" s="15" t="s">
        <v>28</v>
      </c>
      <c r="E1174" s="15" t="s">
        <v>1077</v>
      </c>
      <c r="F1174" s="15"/>
      <c r="G1174" s="70">
        <f>G1175</f>
        <v>20000</v>
      </c>
      <c r="H1174" s="70">
        <f t="shared" ref="G1174:I1175" si="336">H1175</f>
        <v>0</v>
      </c>
      <c r="I1174" s="70">
        <f t="shared" si="336"/>
        <v>0</v>
      </c>
      <c r="J1174" s="177"/>
      <c r="K1174" s="186"/>
      <c r="L1174" s="186"/>
      <c r="M1174" s="186"/>
      <c r="N1174" s="186"/>
      <c r="O1174" s="186"/>
      <c r="P1174" s="186"/>
      <c r="Q1174" s="186"/>
      <c r="R1174" s="186"/>
      <c r="S1174" s="1"/>
      <c r="T1174" s="1"/>
    </row>
    <row r="1175" spans="1:20" ht="25.5">
      <c r="A1175" s="16" t="s">
        <v>36</v>
      </c>
      <c r="B1175" s="49">
        <v>793</v>
      </c>
      <c r="C1175" s="15" t="s">
        <v>173</v>
      </c>
      <c r="D1175" s="15" t="s">
        <v>28</v>
      </c>
      <c r="E1175" s="15" t="s">
        <v>1077</v>
      </c>
      <c r="F1175" s="15" t="s">
        <v>349</v>
      </c>
      <c r="G1175" s="70">
        <f t="shared" si="336"/>
        <v>20000</v>
      </c>
      <c r="H1175" s="70">
        <f t="shared" si="336"/>
        <v>0</v>
      </c>
      <c r="I1175" s="70">
        <f t="shared" si="336"/>
        <v>0</v>
      </c>
      <c r="J1175" s="177"/>
      <c r="K1175" s="186"/>
      <c r="L1175" s="186"/>
      <c r="M1175" s="186"/>
      <c r="N1175" s="186"/>
      <c r="O1175" s="186"/>
      <c r="P1175" s="186"/>
      <c r="Q1175" s="186"/>
      <c r="R1175" s="186"/>
      <c r="S1175" s="1"/>
      <c r="T1175" s="1"/>
    </row>
    <row r="1176" spans="1:20" ht="25.5">
      <c r="A1176" s="16" t="s">
        <v>38</v>
      </c>
      <c r="B1176" s="49">
        <v>793</v>
      </c>
      <c r="C1176" s="15" t="s">
        <v>173</v>
      </c>
      <c r="D1176" s="15" t="s">
        <v>28</v>
      </c>
      <c r="E1176" s="15" t="s">
        <v>1077</v>
      </c>
      <c r="F1176" s="15" t="s">
        <v>351</v>
      </c>
      <c r="G1176" s="70">
        <v>20000</v>
      </c>
      <c r="H1176" s="70">
        <v>0</v>
      </c>
      <c r="I1176" s="70">
        <v>0</v>
      </c>
      <c r="J1176" s="177"/>
      <c r="K1176" s="186"/>
      <c r="L1176" s="186"/>
      <c r="M1176" s="186"/>
      <c r="N1176" s="186"/>
      <c r="O1176" s="186"/>
      <c r="P1176" s="186"/>
      <c r="Q1176" s="186"/>
      <c r="R1176" s="186"/>
      <c r="S1176" s="1"/>
      <c r="T1176" s="1"/>
    </row>
    <row r="1177" spans="1:20">
      <c r="A1177" s="82" t="s">
        <v>1011</v>
      </c>
      <c r="B1177" s="49">
        <v>793</v>
      </c>
      <c r="C1177" s="15" t="s">
        <v>173</v>
      </c>
      <c r="D1177" s="15" t="s">
        <v>28</v>
      </c>
      <c r="E1177" s="15" t="s">
        <v>1010</v>
      </c>
      <c r="F1177" s="15"/>
      <c r="G1177" s="70">
        <f>G1178</f>
        <v>656946.05000000005</v>
      </c>
      <c r="H1177" s="70">
        <f t="shared" ref="G1177:I1178" si="337">H1178</f>
        <v>0</v>
      </c>
      <c r="I1177" s="70">
        <f t="shared" si="337"/>
        <v>0</v>
      </c>
      <c r="J1177" s="177"/>
      <c r="K1177" s="186"/>
      <c r="L1177" s="186"/>
      <c r="M1177" s="186"/>
      <c r="N1177" s="186"/>
      <c r="O1177" s="186"/>
      <c r="P1177" s="186"/>
      <c r="Q1177" s="186"/>
      <c r="R1177" s="186"/>
      <c r="S1177" s="1"/>
      <c r="T1177" s="1"/>
    </row>
    <row r="1178" spans="1:20" ht="25.5">
      <c r="A1178" s="16" t="s">
        <v>96</v>
      </c>
      <c r="B1178" s="49">
        <v>793</v>
      </c>
      <c r="C1178" s="15" t="s">
        <v>173</v>
      </c>
      <c r="D1178" s="15" t="s">
        <v>28</v>
      </c>
      <c r="E1178" s="15" t="s">
        <v>1010</v>
      </c>
      <c r="F1178" s="15" t="s">
        <v>349</v>
      </c>
      <c r="G1178" s="70">
        <f t="shared" si="337"/>
        <v>656946.05000000005</v>
      </c>
      <c r="H1178" s="70">
        <f t="shared" si="337"/>
        <v>0</v>
      </c>
      <c r="I1178" s="70">
        <f t="shared" si="337"/>
        <v>0</v>
      </c>
      <c r="J1178" s="177"/>
      <c r="K1178" s="186"/>
      <c r="L1178" s="186"/>
      <c r="M1178" s="186"/>
      <c r="N1178" s="186"/>
      <c r="O1178" s="186"/>
      <c r="P1178" s="186"/>
      <c r="Q1178" s="186"/>
      <c r="R1178" s="186"/>
      <c r="S1178" s="1"/>
      <c r="T1178" s="1"/>
    </row>
    <row r="1179" spans="1:20">
      <c r="A1179" s="16" t="s">
        <v>350</v>
      </c>
      <c r="B1179" s="49">
        <v>793</v>
      </c>
      <c r="C1179" s="15" t="s">
        <v>173</v>
      </c>
      <c r="D1179" s="15" t="s">
        <v>28</v>
      </c>
      <c r="E1179" s="15" t="s">
        <v>1010</v>
      </c>
      <c r="F1179" s="15" t="s">
        <v>351</v>
      </c>
      <c r="G1179" s="70">
        <v>656946.05000000005</v>
      </c>
      <c r="H1179" s="70"/>
      <c r="I1179" s="70"/>
      <c r="J1179" s="177"/>
      <c r="K1179" s="186"/>
      <c r="L1179" s="186"/>
      <c r="M1179" s="186"/>
      <c r="N1179" s="186"/>
      <c r="O1179" s="186"/>
      <c r="P1179" s="186"/>
      <c r="Q1179" s="186"/>
      <c r="R1179" s="186"/>
      <c r="S1179" s="1"/>
      <c r="T1179" s="1"/>
    </row>
    <row r="1180" spans="1:20" s="90" customFormat="1">
      <c r="A1180" s="82" t="s">
        <v>116</v>
      </c>
      <c r="B1180" s="83">
        <v>795</v>
      </c>
      <c r="C1180" s="84" t="s">
        <v>173</v>
      </c>
      <c r="D1180" s="84" t="s">
        <v>70</v>
      </c>
      <c r="E1180" s="84" t="s">
        <v>100</v>
      </c>
      <c r="F1180" s="84"/>
      <c r="G1180" s="87">
        <f>G1181+G1183</f>
        <v>505800</v>
      </c>
      <c r="H1180" s="87">
        <f>H1181+H1183</f>
        <v>505000</v>
      </c>
      <c r="I1180" s="87">
        <f>I1181+I1183</f>
        <v>505000</v>
      </c>
      <c r="J1180" s="123"/>
      <c r="M1180" s="124">
        <v>60914</v>
      </c>
      <c r="P1180" s="126"/>
      <c r="Q1180" s="126"/>
      <c r="R1180" s="126"/>
      <c r="S1180" s="126"/>
      <c r="T1180" s="126"/>
    </row>
    <row r="1181" spans="1:20" s="90" customFormat="1" ht="25.5" customHeight="1">
      <c r="A1181" s="82" t="s">
        <v>324</v>
      </c>
      <c r="B1181" s="149">
        <v>793</v>
      </c>
      <c r="C1181" s="84" t="s">
        <v>19</v>
      </c>
      <c r="D1181" s="84" t="s">
        <v>23</v>
      </c>
      <c r="E1181" s="84" t="s">
        <v>100</v>
      </c>
      <c r="F1181" s="84" t="s">
        <v>37</v>
      </c>
      <c r="G1181" s="87">
        <f>G1182</f>
        <v>505800</v>
      </c>
      <c r="H1181" s="87">
        <f>H1182</f>
        <v>505000</v>
      </c>
      <c r="I1181" s="87">
        <f>I1182</f>
        <v>505000</v>
      </c>
      <c r="J1181" s="123"/>
      <c r="M1181" s="124">
        <v>365000</v>
      </c>
      <c r="P1181" s="126"/>
      <c r="Q1181" s="126"/>
      <c r="R1181" s="126"/>
      <c r="S1181" s="126"/>
      <c r="T1181" s="126"/>
    </row>
    <row r="1182" spans="1:20" s="90" customFormat="1" ht="25.5" customHeight="1">
      <c r="A1182" s="82" t="s">
        <v>38</v>
      </c>
      <c r="B1182" s="149">
        <v>793</v>
      </c>
      <c r="C1182" s="84" t="s">
        <v>19</v>
      </c>
      <c r="D1182" s="84" t="s">
        <v>23</v>
      </c>
      <c r="E1182" s="84" t="s">
        <v>100</v>
      </c>
      <c r="F1182" s="84" t="s">
        <v>39</v>
      </c>
      <c r="G1182" s="70">
        <f>'прил 5,'!G1569+'прил 5,'!G2200</f>
        <v>505800</v>
      </c>
      <c r="H1182" s="70">
        <f>'прил 5,'!H1569</f>
        <v>505000</v>
      </c>
      <c r="I1182" s="70">
        <f>'прил 5,'!I1569</f>
        <v>505000</v>
      </c>
      <c r="J1182" s="123"/>
      <c r="M1182" s="124">
        <v>50000</v>
      </c>
      <c r="P1182" s="126"/>
      <c r="Q1182" s="126"/>
      <c r="R1182" s="126"/>
      <c r="S1182" s="126"/>
      <c r="T1182" s="126"/>
    </row>
    <row r="1183" spans="1:20" s="90" customFormat="1" hidden="1">
      <c r="A1183" s="82" t="s">
        <v>156</v>
      </c>
      <c r="B1183" s="83">
        <v>795</v>
      </c>
      <c r="C1183" s="84" t="s">
        <v>173</v>
      </c>
      <c r="D1183" s="84" t="s">
        <v>70</v>
      </c>
      <c r="E1183" s="84" t="s">
        <v>100</v>
      </c>
      <c r="F1183" s="84" t="s">
        <v>157</v>
      </c>
      <c r="G1183" s="70">
        <f>G1184</f>
        <v>0</v>
      </c>
      <c r="H1183" s="70">
        <f t="shared" ref="H1183:I1183" si="338">H1184</f>
        <v>0</v>
      </c>
      <c r="I1183" s="70">
        <f t="shared" si="338"/>
        <v>0</v>
      </c>
      <c r="J1183" s="126"/>
      <c r="M1183" s="90">
        <v>500000</v>
      </c>
      <c r="P1183" s="126"/>
      <c r="Q1183" s="126"/>
      <c r="R1183" s="126"/>
      <c r="S1183" s="126"/>
      <c r="T1183" s="126"/>
    </row>
    <row r="1184" spans="1:20" s="90" customFormat="1" hidden="1">
      <c r="A1184" s="82" t="s">
        <v>178</v>
      </c>
      <c r="B1184" s="83">
        <v>795</v>
      </c>
      <c r="C1184" s="84" t="s">
        <v>173</v>
      </c>
      <c r="D1184" s="84" t="s">
        <v>70</v>
      </c>
      <c r="E1184" s="84" t="s">
        <v>100</v>
      </c>
      <c r="F1184" s="84" t="s">
        <v>179</v>
      </c>
      <c r="G1184" s="70">
        <f>'прил 5,'!G2016</f>
        <v>0</v>
      </c>
      <c r="H1184" s="70">
        <f>'прил 5,'!H2016</f>
        <v>0</v>
      </c>
      <c r="I1184" s="70">
        <f>'прил 5,'!I2016</f>
        <v>0</v>
      </c>
      <c r="J1184" s="126"/>
      <c r="M1184" s="90">
        <f>M1145+M1146+M1147+M1148+M1149+M1150+M1151+M1152+M1158+M1161+M1162+M1163+M1164+M1165+M1180+M1181+M1182+M1183</f>
        <v>120115842</v>
      </c>
      <c r="P1184" s="126"/>
      <c r="Q1184" s="126"/>
      <c r="R1184" s="126"/>
      <c r="S1184" s="126"/>
      <c r="T1184" s="126"/>
    </row>
    <row r="1185" spans="1:20" s="90" customFormat="1" ht="26.25" customHeight="1">
      <c r="A1185" s="82" t="s">
        <v>77</v>
      </c>
      <c r="B1185" s="83">
        <v>795</v>
      </c>
      <c r="C1185" s="84" t="s">
        <v>173</v>
      </c>
      <c r="D1185" s="84" t="s">
        <v>70</v>
      </c>
      <c r="E1185" s="84" t="s">
        <v>78</v>
      </c>
      <c r="F1185" s="84"/>
      <c r="G1185" s="70">
        <f t="shared" ref="G1185:I1186" si="339">G1186</f>
        <v>70000</v>
      </c>
      <c r="H1185" s="70">
        <f t="shared" si="339"/>
        <v>70000</v>
      </c>
      <c r="I1185" s="70">
        <f t="shared" si="339"/>
        <v>70000</v>
      </c>
      <c r="J1185" s="126"/>
      <c r="M1185" s="126">
        <f>M1184-H1145</f>
        <v>107495138.93000001</v>
      </c>
      <c r="P1185" s="126"/>
      <c r="Q1185" s="126"/>
      <c r="R1185" s="126"/>
      <c r="S1185" s="126"/>
      <c r="T1185" s="126"/>
    </row>
    <row r="1186" spans="1:20" s="90" customFormat="1" ht="26.25" customHeight="1">
      <c r="A1186" s="82" t="s">
        <v>36</v>
      </c>
      <c r="B1186" s="83">
        <v>795</v>
      </c>
      <c r="C1186" s="84" t="s">
        <v>173</v>
      </c>
      <c r="D1186" s="84" t="s">
        <v>70</v>
      </c>
      <c r="E1186" s="84" t="s">
        <v>78</v>
      </c>
      <c r="F1186" s="84" t="s">
        <v>37</v>
      </c>
      <c r="G1186" s="70">
        <f t="shared" si="339"/>
        <v>70000</v>
      </c>
      <c r="H1186" s="70">
        <f t="shared" si="339"/>
        <v>70000</v>
      </c>
      <c r="I1186" s="70">
        <f t="shared" si="339"/>
        <v>70000</v>
      </c>
      <c r="J1186" s="126"/>
      <c r="P1186" s="126"/>
      <c r="Q1186" s="126"/>
      <c r="R1186" s="126"/>
      <c r="S1186" s="126"/>
      <c r="T1186" s="126"/>
    </row>
    <row r="1187" spans="1:20" s="90" customFormat="1" ht="25.5">
      <c r="A1187" s="82" t="s">
        <v>38</v>
      </c>
      <c r="B1187" s="83">
        <v>795</v>
      </c>
      <c r="C1187" s="84" t="s">
        <v>173</v>
      </c>
      <c r="D1187" s="84" t="s">
        <v>70</v>
      </c>
      <c r="E1187" s="84" t="s">
        <v>78</v>
      </c>
      <c r="F1187" s="84" t="s">
        <v>39</v>
      </c>
      <c r="G1187" s="70">
        <f>'прил 5,'!G1574</f>
        <v>70000</v>
      </c>
      <c r="H1187" s="70">
        <f>'прил 5,'!H1574</f>
        <v>70000</v>
      </c>
      <c r="I1187" s="70">
        <f>'прил 5,'!I1574</f>
        <v>70000</v>
      </c>
      <c r="J1187" s="126"/>
      <c r="P1187" s="126"/>
      <c r="Q1187" s="126"/>
      <c r="R1187" s="126"/>
      <c r="S1187" s="126"/>
      <c r="T1187" s="126"/>
    </row>
    <row r="1188" spans="1:20" s="90" customFormat="1" ht="34.5" customHeight="1">
      <c r="A1188" s="82" t="s">
        <v>705</v>
      </c>
      <c r="B1188" s="83">
        <v>795</v>
      </c>
      <c r="C1188" s="84" t="s">
        <v>173</v>
      </c>
      <c r="D1188" s="84" t="s">
        <v>70</v>
      </c>
      <c r="E1188" s="84" t="s">
        <v>418</v>
      </c>
      <c r="F1188" s="84"/>
      <c r="G1188" s="70">
        <f t="shared" ref="G1188:I1189" si="340">G1189</f>
        <v>200000</v>
      </c>
      <c r="H1188" s="70">
        <f t="shared" si="340"/>
        <v>200000</v>
      </c>
      <c r="I1188" s="70">
        <f t="shared" si="340"/>
        <v>200000</v>
      </c>
      <c r="J1188" s="126"/>
      <c r="P1188" s="126"/>
      <c r="Q1188" s="126"/>
      <c r="R1188" s="126"/>
      <c r="S1188" s="126"/>
      <c r="T1188" s="126"/>
    </row>
    <row r="1189" spans="1:20" s="90" customFormat="1" ht="34.5" customHeight="1">
      <c r="A1189" s="82" t="s">
        <v>36</v>
      </c>
      <c r="B1189" s="83">
        <v>795</v>
      </c>
      <c r="C1189" s="84" t="s">
        <v>173</v>
      </c>
      <c r="D1189" s="84" t="s">
        <v>70</v>
      </c>
      <c r="E1189" s="84" t="s">
        <v>418</v>
      </c>
      <c r="F1189" s="84" t="s">
        <v>37</v>
      </c>
      <c r="G1189" s="70">
        <f t="shared" si="340"/>
        <v>200000</v>
      </c>
      <c r="H1189" s="70">
        <f t="shared" si="340"/>
        <v>200000</v>
      </c>
      <c r="I1189" s="70">
        <f t="shared" si="340"/>
        <v>200000</v>
      </c>
      <c r="J1189" s="126"/>
      <c r="P1189" s="126"/>
      <c r="Q1189" s="126"/>
      <c r="R1189" s="126"/>
      <c r="S1189" s="126"/>
      <c r="T1189" s="126"/>
    </row>
    <row r="1190" spans="1:20" s="90" customFormat="1" ht="34.5" customHeight="1">
      <c r="A1190" s="82" t="s">
        <v>38</v>
      </c>
      <c r="B1190" s="83">
        <v>795</v>
      </c>
      <c r="C1190" s="84" t="s">
        <v>173</v>
      </c>
      <c r="D1190" s="84" t="s">
        <v>70</v>
      </c>
      <c r="E1190" s="84" t="s">
        <v>418</v>
      </c>
      <c r="F1190" s="84" t="s">
        <v>39</v>
      </c>
      <c r="G1190" s="70">
        <f>'прил 5,'!G1577</f>
        <v>200000</v>
      </c>
      <c r="H1190" s="70">
        <f>'прил 5,'!H1577</f>
        <v>200000</v>
      </c>
      <c r="I1190" s="70">
        <f>'прил 5,'!I1577</f>
        <v>200000</v>
      </c>
      <c r="J1190" s="126"/>
      <c r="P1190" s="126"/>
      <c r="Q1190" s="126"/>
      <c r="R1190" s="126"/>
      <c r="S1190" s="126"/>
      <c r="T1190" s="126"/>
    </row>
    <row r="1191" spans="1:20" ht="28.5" hidden="1" customHeight="1">
      <c r="A1191" s="82" t="s">
        <v>536</v>
      </c>
      <c r="B1191" s="49">
        <v>793</v>
      </c>
      <c r="C1191" s="15" t="s">
        <v>173</v>
      </c>
      <c r="D1191" s="15" t="s">
        <v>28</v>
      </c>
      <c r="E1191" s="15" t="s">
        <v>535</v>
      </c>
      <c r="F1191" s="15"/>
      <c r="G1191" s="70">
        <f>G1192</f>
        <v>0</v>
      </c>
      <c r="H1191" s="70">
        <f t="shared" ref="G1191:I1192" si="341">H1192</f>
        <v>0</v>
      </c>
      <c r="I1191" s="70">
        <f t="shared" si="341"/>
        <v>0</v>
      </c>
      <c r="J1191" s="177"/>
      <c r="K1191" s="186"/>
      <c r="L1191" s="186"/>
      <c r="M1191" s="186"/>
      <c r="N1191" s="186"/>
      <c r="O1191" s="186"/>
      <c r="P1191" s="186"/>
      <c r="Q1191" s="186"/>
      <c r="R1191" s="186"/>
      <c r="S1191" s="1"/>
      <c r="T1191" s="1"/>
    </row>
    <row r="1192" spans="1:20" ht="25.5" hidden="1">
      <c r="A1192" s="16" t="s">
        <v>36</v>
      </c>
      <c r="B1192" s="49">
        <v>793</v>
      </c>
      <c r="C1192" s="15" t="s">
        <v>173</v>
      </c>
      <c r="D1192" s="15" t="s">
        <v>28</v>
      </c>
      <c r="E1192" s="15" t="s">
        <v>535</v>
      </c>
      <c r="F1192" s="15" t="s">
        <v>37</v>
      </c>
      <c r="G1192" s="70">
        <f t="shared" si="341"/>
        <v>0</v>
      </c>
      <c r="H1192" s="70">
        <f t="shared" si="341"/>
        <v>0</v>
      </c>
      <c r="I1192" s="70">
        <f t="shared" si="341"/>
        <v>0</v>
      </c>
      <c r="J1192" s="177"/>
      <c r="K1192" s="186"/>
      <c r="L1192" s="186"/>
      <c r="M1192" s="186"/>
      <c r="N1192" s="186"/>
      <c r="O1192" s="186"/>
      <c r="P1192" s="186"/>
      <c r="Q1192" s="186"/>
      <c r="R1192" s="186"/>
      <c r="S1192" s="1"/>
      <c r="T1192" s="1"/>
    </row>
    <row r="1193" spans="1:20" ht="25.5" hidden="1">
      <c r="A1193" s="16" t="s">
        <v>38</v>
      </c>
      <c r="B1193" s="49">
        <v>793</v>
      </c>
      <c r="C1193" s="15" t="s">
        <v>173</v>
      </c>
      <c r="D1193" s="15" t="s">
        <v>28</v>
      </c>
      <c r="E1193" s="15" t="s">
        <v>535</v>
      </c>
      <c r="F1193" s="15" t="s">
        <v>39</v>
      </c>
      <c r="G1193" s="70"/>
      <c r="H1193" s="70">
        <v>0</v>
      </c>
      <c r="I1193" s="70">
        <v>0</v>
      </c>
      <c r="J1193" s="177"/>
      <c r="K1193" s="186"/>
      <c r="L1193" s="186"/>
      <c r="M1193" s="186"/>
      <c r="N1193" s="186"/>
      <c r="O1193" s="186"/>
      <c r="P1193" s="186"/>
      <c r="Q1193" s="186"/>
      <c r="R1193" s="186"/>
      <c r="S1193" s="1"/>
      <c r="T1193" s="1"/>
    </row>
    <row r="1194" spans="1:20" s="90" customFormat="1" ht="51">
      <c r="A1194" s="82" t="s">
        <v>81</v>
      </c>
      <c r="B1194" s="83">
        <v>795</v>
      </c>
      <c r="C1194" s="84" t="s">
        <v>173</v>
      </c>
      <c r="D1194" s="84" t="s">
        <v>70</v>
      </c>
      <c r="E1194" s="84" t="s">
        <v>80</v>
      </c>
      <c r="F1194" s="84"/>
      <c r="G1194" s="70">
        <f t="shared" ref="G1194:I1195" si="342">G1195</f>
        <v>2383124.2200000002</v>
      </c>
      <c r="H1194" s="70">
        <f t="shared" si="342"/>
        <v>2180000</v>
      </c>
      <c r="I1194" s="70">
        <f t="shared" si="342"/>
        <v>2180000</v>
      </c>
      <c r="J1194" s="126"/>
      <c r="P1194" s="126"/>
      <c r="Q1194" s="126"/>
      <c r="R1194" s="126"/>
      <c r="S1194" s="126"/>
      <c r="T1194" s="126"/>
    </row>
    <row r="1195" spans="1:20" s="90" customFormat="1" ht="25.5" customHeight="1">
      <c r="A1195" s="82" t="s">
        <v>324</v>
      </c>
      <c r="B1195" s="149">
        <v>793</v>
      </c>
      <c r="C1195" s="84" t="s">
        <v>19</v>
      </c>
      <c r="D1195" s="84" t="s">
        <v>23</v>
      </c>
      <c r="E1195" s="84" t="s">
        <v>80</v>
      </c>
      <c r="F1195" s="84" t="s">
        <v>37</v>
      </c>
      <c r="G1195" s="87">
        <f t="shared" si="342"/>
        <v>2383124.2200000002</v>
      </c>
      <c r="H1195" s="87">
        <f t="shared" si="342"/>
        <v>2180000</v>
      </c>
      <c r="I1195" s="87">
        <f t="shared" si="342"/>
        <v>2180000</v>
      </c>
      <c r="J1195" s="126"/>
      <c r="P1195" s="126"/>
      <c r="Q1195" s="126"/>
      <c r="R1195" s="126"/>
      <c r="S1195" s="126"/>
      <c r="T1195" s="126"/>
    </row>
    <row r="1196" spans="1:20" s="90" customFormat="1" ht="25.5" customHeight="1">
      <c r="A1196" s="82" t="s">
        <v>38</v>
      </c>
      <c r="B1196" s="149">
        <v>793</v>
      </c>
      <c r="C1196" s="84" t="s">
        <v>19</v>
      </c>
      <c r="D1196" s="84" t="s">
        <v>23</v>
      </c>
      <c r="E1196" s="84" t="s">
        <v>80</v>
      </c>
      <c r="F1196" s="84" t="s">
        <v>39</v>
      </c>
      <c r="G1196" s="70">
        <f>'прил 5,'!G1461+'прил 5,'!G450+'прил 5,'!G2166</f>
        <v>2383124.2200000002</v>
      </c>
      <c r="H1196" s="70">
        <f>'прил 5,'!H1461+'прил 5,'!H450</f>
        <v>2180000</v>
      </c>
      <c r="I1196" s="70">
        <f>'прил 5,'!I1461+'прил 5,'!I450</f>
        <v>2180000</v>
      </c>
      <c r="J1196" s="126"/>
      <c r="P1196" s="126"/>
      <c r="Q1196" s="126"/>
      <c r="R1196" s="126"/>
      <c r="S1196" s="126"/>
      <c r="T1196" s="126"/>
    </row>
    <row r="1197" spans="1:20" s="90" customFormat="1" ht="20.25" hidden="1" customHeight="1">
      <c r="A1197" s="82" t="s">
        <v>633</v>
      </c>
      <c r="B1197" s="83">
        <v>795</v>
      </c>
      <c r="C1197" s="84" t="s">
        <v>173</v>
      </c>
      <c r="D1197" s="84" t="s">
        <v>28</v>
      </c>
      <c r="E1197" s="84" t="s">
        <v>632</v>
      </c>
      <c r="F1197" s="84"/>
      <c r="G1197" s="70">
        <f t="shared" ref="G1197:I1198" si="343">G1198</f>
        <v>0</v>
      </c>
      <c r="H1197" s="70">
        <f t="shared" si="343"/>
        <v>0</v>
      </c>
      <c r="I1197" s="70">
        <f t="shared" si="343"/>
        <v>0</v>
      </c>
      <c r="P1197" s="126"/>
      <c r="Q1197" s="126"/>
      <c r="R1197" s="126"/>
      <c r="S1197" s="126"/>
      <c r="T1197" s="126"/>
    </row>
    <row r="1198" spans="1:20" s="90" customFormat="1" ht="34.5" hidden="1" customHeight="1">
      <c r="A1198" s="82" t="s">
        <v>36</v>
      </c>
      <c r="B1198" s="83">
        <v>795</v>
      </c>
      <c r="C1198" s="84" t="s">
        <v>173</v>
      </c>
      <c r="D1198" s="84" t="s">
        <v>28</v>
      </c>
      <c r="E1198" s="84" t="s">
        <v>632</v>
      </c>
      <c r="F1198" s="84" t="s">
        <v>37</v>
      </c>
      <c r="G1198" s="70">
        <f t="shared" si="343"/>
        <v>0</v>
      </c>
      <c r="H1198" s="70">
        <f t="shared" si="343"/>
        <v>0</v>
      </c>
      <c r="I1198" s="70">
        <f t="shared" si="343"/>
        <v>0</v>
      </c>
      <c r="P1198" s="126"/>
      <c r="Q1198" s="126"/>
      <c r="R1198" s="126"/>
      <c r="S1198" s="126"/>
      <c r="T1198" s="126"/>
    </row>
    <row r="1199" spans="1:20" s="90" customFormat="1" ht="34.5" hidden="1" customHeight="1">
      <c r="A1199" s="82" t="s">
        <v>38</v>
      </c>
      <c r="B1199" s="83">
        <v>795</v>
      </c>
      <c r="C1199" s="84" t="s">
        <v>173</v>
      </c>
      <c r="D1199" s="84" t="s">
        <v>28</v>
      </c>
      <c r="E1199" s="84" t="s">
        <v>632</v>
      </c>
      <c r="F1199" s="84" t="s">
        <v>39</v>
      </c>
      <c r="G1199" s="70">
        <f>'прил 5,'!G1980</f>
        <v>0</v>
      </c>
      <c r="H1199" s="70"/>
      <c r="I1199" s="70"/>
      <c r="P1199" s="126"/>
      <c r="Q1199" s="126"/>
      <c r="R1199" s="126"/>
      <c r="S1199" s="126"/>
      <c r="T1199" s="126"/>
    </row>
    <row r="1200" spans="1:20" s="90" customFormat="1" ht="31.5" customHeight="1">
      <c r="A1200" s="82" t="s">
        <v>973</v>
      </c>
      <c r="B1200" s="83">
        <v>795</v>
      </c>
      <c r="C1200" s="84" t="s">
        <v>173</v>
      </c>
      <c r="D1200" s="84" t="s">
        <v>70</v>
      </c>
      <c r="E1200" s="84" t="s">
        <v>82</v>
      </c>
      <c r="F1200" s="84"/>
      <c r="G1200" s="70">
        <f t="shared" ref="G1200:I1201" si="344">G1201</f>
        <v>1353350</v>
      </c>
      <c r="H1200" s="70">
        <f t="shared" si="344"/>
        <v>1000000</v>
      </c>
      <c r="I1200" s="70">
        <f t="shared" si="344"/>
        <v>1000000</v>
      </c>
      <c r="J1200" s="126"/>
      <c r="P1200" s="126"/>
      <c r="Q1200" s="126"/>
      <c r="R1200" s="126"/>
      <c r="S1200" s="126"/>
      <c r="T1200" s="126"/>
    </row>
    <row r="1201" spans="1:20" s="90" customFormat="1" ht="21.75" customHeight="1">
      <c r="A1201" s="82" t="s">
        <v>324</v>
      </c>
      <c r="B1201" s="149">
        <v>793</v>
      </c>
      <c r="C1201" s="84" t="s">
        <v>19</v>
      </c>
      <c r="D1201" s="84" t="s">
        <v>23</v>
      </c>
      <c r="E1201" s="84" t="s">
        <v>82</v>
      </c>
      <c r="F1201" s="84" t="s">
        <v>37</v>
      </c>
      <c r="G1201" s="70">
        <f t="shared" si="344"/>
        <v>1353350</v>
      </c>
      <c r="H1201" s="70">
        <f t="shared" si="344"/>
        <v>1000000</v>
      </c>
      <c r="I1201" s="70">
        <f t="shared" si="344"/>
        <v>1000000</v>
      </c>
      <c r="J1201" s="126"/>
      <c r="P1201" s="126"/>
      <c r="Q1201" s="126"/>
      <c r="R1201" s="126"/>
      <c r="S1201" s="126"/>
      <c r="T1201" s="126"/>
    </row>
    <row r="1202" spans="1:20" s="90" customFormat="1" ht="29.25" customHeight="1">
      <c r="A1202" s="82" t="s">
        <v>38</v>
      </c>
      <c r="B1202" s="149">
        <v>793</v>
      </c>
      <c r="C1202" s="84" t="s">
        <v>19</v>
      </c>
      <c r="D1202" s="84" t="s">
        <v>23</v>
      </c>
      <c r="E1202" s="84" t="s">
        <v>82</v>
      </c>
      <c r="F1202" s="84" t="s">
        <v>39</v>
      </c>
      <c r="G1202" s="70">
        <f>'прил 5,'!G1464</f>
        <v>1353350</v>
      </c>
      <c r="H1202" s="70">
        <f>'прил 5,'!H1464</f>
        <v>1000000</v>
      </c>
      <c r="I1202" s="70">
        <f>'прил 5,'!I1464</f>
        <v>1000000</v>
      </c>
      <c r="J1202" s="126"/>
      <c r="P1202" s="126"/>
      <c r="Q1202" s="126"/>
      <c r="R1202" s="126"/>
      <c r="S1202" s="126"/>
      <c r="T1202" s="126"/>
    </row>
    <row r="1203" spans="1:20" s="18" customFormat="1" ht="35.25" customHeight="1">
      <c r="A1203" s="16" t="s">
        <v>967</v>
      </c>
      <c r="B1203" s="49">
        <v>793</v>
      </c>
      <c r="C1203" s="15" t="s">
        <v>173</v>
      </c>
      <c r="D1203" s="15" t="s">
        <v>19</v>
      </c>
      <c r="E1203" s="15" t="s">
        <v>966</v>
      </c>
      <c r="F1203" s="15"/>
      <c r="G1203" s="70">
        <f t="shared" ref="G1203:I1204" si="345">G1204</f>
        <v>875000</v>
      </c>
      <c r="H1203" s="70">
        <f t="shared" si="345"/>
        <v>875000</v>
      </c>
      <c r="I1203" s="70">
        <f t="shared" si="345"/>
        <v>875000</v>
      </c>
      <c r="J1203" s="177"/>
      <c r="K1203" s="200"/>
      <c r="L1203" s="200"/>
      <c r="M1203" s="200"/>
      <c r="N1203" s="200"/>
      <c r="O1203" s="200"/>
      <c r="P1203" s="200"/>
      <c r="Q1203" s="200"/>
      <c r="R1203" s="200"/>
    </row>
    <row r="1204" spans="1:20" ht="35.25" customHeight="1">
      <c r="A1204" s="16" t="s">
        <v>36</v>
      </c>
      <c r="B1204" s="49">
        <v>793</v>
      </c>
      <c r="C1204" s="15" t="s">
        <v>173</v>
      </c>
      <c r="D1204" s="15" t="s">
        <v>19</v>
      </c>
      <c r="E1204" s="15" t="s">
        <v>966</v>
      </c>
      <c r="F1204" s="15" t="s">
        <v>37</v>
      </c>
      <c r="G1204" s="70">
        <f t="shared" si="345"/>
        <v>875000</v>
      </c>
      <c r="H1204" s="70">
        <f t="shared" si="345"/>
        <v>875000</v>
      </c>
      <c r="I1204" s="70">
        <f t="shared" si="345"/>
        <v>875000</v>
      </c>
      <c r="J1204" s="177"/>
      <c r="K1204" s="186"/>
      <c r="L1204" s="186"/>
      <c r="M1204" s="186"/>
      <c r="N1204" s="186"/>
      <c r="O1204" s="186"/>
      <c r="P1204" s="186"/>
      <c r="Q1204" s="186"/>
      <c r="R1204" s="186"/>
      <c r="S1204" s="1"/>
      <c r="T1204" s="1"/>
    </row>
    <row r="1205" spans="1:20" s="18" customFormat="1" ht="35.25" customHeight="1">
      <c r="A1205" s="16" t="s">
        <v>38</v>
      </c>
      <c r="B1205" s="49">
        <v>793</v>
      </c>
      <c r="C1205" s="15" t="s">
        <v>173</v>
      </c>
      <c r="D1205" s="15" t="s">
        <v>19</v>
      </c>
      <c r="E1205" s="15" t="s">
        <v>966</v>
      </c>
      <c r="F1205" s="15" t="s">
        <v>39</v>
      </c>
      <c r="G1205" s="70">
        <f>'прил 5,'!G1467</f>
        <v>875000</v>
      </c>
      <c r="H1205" s="70">
        <f>'прил 5,'!H1467</f>
        <v>875000</v>
      </c>
      <c r="I1205" s="70">
        <f>'прил 5,'!I1467</f>
        <v>875000</v>
      </c>
      <c r="J1205" s="177"/>
      <c r="K1205" s="200"/>
      <c r="L1205" s="200"/>
      <c r="M1205" s="200"/>
      <c r="N1205" s="200"/>
      <c r="O1205" s="200"/>
      <c r="P1205" s="200"/>
      <c r="Q1205" s="200"/>
      <c r="R1205" s="200"/>
    </row>
    <row r="1206" spans="1:20" s="90" customFormat="1" ht="21.75" customHeight="1">
      <c r="A1206" s="82" t="s">
        <v>85</v>
      </c>
      <c r="B1206" s="83">
        <v>795</v>
      </c>
      <c r="C1206" s="84" t="s">
        <v>173</v>
      </c>
      <c r="D1206" s="84" t="s">
        <v>70</v>
      </c>
      <c r="E1206" s="84" t="s">
        <v>84</v>
      </c>
      <c r="F1206" s="84"/>
      <c r="G1206" s="70">
        <f t="shared" ref="G1206:I1207" si="346">G1207</f>
        <v>619764.49</v>
      </c>
      <c r="H1206" s="70">
        <f t="shared" si="346"/>
        <v>781000</v>
      </c>
      <c r="I1206" s="70">
        <f t="shared" si="346"/>
        <v>781000</v>
      </c>
      <c r="J1206" s="126"/>
      <c r="P1206" s="126"/>
      <c r="Q1206" s="126"/>
      <c r="R1206" s="126"/>
      <c r="S1206" s="126"/>
      <c r="T1206" s="126"/>
    </row>
    <row r="1207" spans="1:20" s="90" customFormat="1" ht="21.75" customHeight="1">
      <c r="A1207" s="82" t="s">
        <v>324</v>
      </c>
      <c r="B1207" s="149">
        <v>793</v>
      </c>
      <c r="C1207" s="84" t="s">
        <v>19</v>
      </c>
      <c r="D1207" s="84" t="s">
        <v>23</v>
      </c>
      <c r="E1207" s="84" t="s">
        <v>84</v>
      </c>
      <c r="F1207" s="84" t="s">
        <v>37</v>
      </c>
      <c r="G1207" s="70">
        <f t="shared" si="346"/>
        <v>619764.49</v>
      </c>
      <c r="H1207" s="70">
        <f t="shared" si="346"/>
        <v>781000</v>
      </c>
      <c r="I1207" s="70">
        <f t="shared" si="346"/>
        <v>781000</v>
      </c>
      <c r="J1207" s="126"/>
      <c r="P1207" s="126"/>
      <c r="Q1207" s="126"/>
      <c r="R1207" s="126"/>
      <c r="S1207" s="126"/>
      <c r="T1207" s="126"/>
    </row>
    <row r="1208" spans="1:20" s="90" customFormat="1" ht="30.75" customHeight="1">
      <c r="A1208" s="82" t="s">
        <v>38</v>
      </c>
      <c r="B1208" s="149">
        <v>793</v>
      </c>
      <c r="C1208" s="84" t="s">
        <v>19</v>
      </c>
      <c r="D1208" s="84" t="s">
        <v>23</v>
      </c>
      <c r="E1208" s="84" t="s">
        <v>84</v>
      </c>
      <c r="F1208" s="84" t="s">
        <v>39</v>
      </c>
      <c r="G1208" s="70">
        <f>'прил 5,'!G1911+'прил 5,'!G1457+'прил 5,'!G446+'прил 5,'!G1470+'прил 5,'!G2163</f>
        <v>619764.49</v>
      </c>
      <c r="H1208" s="70">
        <f>'прил 5,'!H1911+'прил 5,'!H1457+'прил 5,'!H446+'прил 5,'!H1470+'прил 5,'!H2163</f>
        <v>781000</v>
      </c>
      <c r="I1208" s="70">
        <f>'прил 5,'!I1911+'прил 5,'!I1457+'прил 5,'!I446+'прил 5,'!I1470+'прил 5,'!I2163</f>
        <v>781000</v>
      </c>
      <c r="J1208" s="87">
        <f>'прил 5,'!K1911+'прил 5,'!K1457</f>
        <v>0</v>
      </c>
      <c r="K1208" s="87">
        <f>'прил 5,'!L1911+'прил 5,'!L1457</f>
        <v>0</v>
      </c>
      <c r="L1208" s="87">
        <f>'прил 5,'!M1911+'прил 5,'!M1457</f>
        <v>0</v>
      </c>
      <c r="M1208" s="87">
        <f>'прил 5,'!N1911+'прил 5,'!N1457</f>
        <v>0</v>
      </c>
      <c r="N1208" s="87">
        <f>'прил 5,'!O1911+'прил 5,'!O1457</f>
        <v>0</v>
      </c>
      <c r="O1208" s="87">
        <f>'прил 5,'!P1911+'прил 5,'!P1457</f>
        <v>0</v>
      </c>
      <c r="P1208" s="126"/>
      <c r="Q1208" s="126"/>
      <c r="R1208" s="126"/>
      <c r="S1208" s="126"/>
      <c r="T1208" s="126"/>
    </row>
    <row r="1209" spans="1:20" s="150" customFormat="1" ht="17.25" customHeight="1">
      <c r="A1209" s="82" t="s">
        <v>382</v>
      </c>
      <c r="B1209" s="149">
        <v>793</v>
      </c>
      <c r="C1209" s="84" t="s">
        <v>173</v>
      </c>
      <c r="D1209" s="84" t="s">
        <v>70</v>
      </c>
      <c r="E1209" s="84" t="s">
        <v>381</v>
      </c>
      <c r="F1209" s="84"/>
      <c r="G1209" s="70">
        <f t="shared" ref="G1209:O1210" si="347">G1210</f>
        <v>9607</v>
      </c>
      <c r="H1209" s="70">
        <f t="shared" si="347"/>
        <v>109703.07</v>
      </c>
      <c r="I1209" s="70">
        <f t="shared" si="347"/>
        <v>109800.1</v>
      </c>
      <c r="J1209" s="152"/>
      <c r="P1209" s="152"/>
      <c r="Q1209" s="152"/>
      <c r="R1209" s="152"/>
      <c r="S1209" s="152"/>
      <c r="T1209" s="152"/>
    </row>
    <row r="1210" spans="1:20" s="150" customFormat="1" ht="17.25" customHeight="1">
      <c r="A1210" s="82" t="s">
        <v>324</v>
      </c>
      <c r="B1210" s="149">
        <v>793</v>
      </c>
      <c r="C1210" s="84" t="s">
        <v>173</v>
      </c>
      <c r="D1210" s="84" t="s">
        <v>70</v>
      </c>
      <c r="E1210" s="84" t="s">
        <v>381</v>
      </c>
      <c r="F1210" s="84" t="s">
        <v>37</v>
      </c>
      <c r="G1210" s="70">
        <f t="shared" si="347"/>
        <v>9607</v>
      </c>
      <c r="H1210" s="70">
        <f t="shared" si="347"/>
        <v>109703.07</v>
      </c>
      <c r="I1210" s="70">
        <f t="shared" si="347"/>
        <v>109800.1</v>
      </c>
      <c r="J1210" s="163">
        <f t="shared" si="347"/>
        <v>0</v>
      </c>
      <c r="K1210" s="163">
        <f t="shared" si="347"/>
        <v>0</v>
      </c>
      <c r="L1210" s="163">
        <f t="shared" si="347"/>
        <v>0</v>
      </c>
      <c r="M1210" s="163">
        <f t="shared" si="347"/>
        <v>0</v>
      </c>
      <c r="N1210" s="163">
        <f t="shared" si="347"/>
        <v>0</v>
      </c>
      <c r="O1210" s="163">
        <f t="shared" si="347"/>
        <v>0</v>
      </c>
      <c r="P1210" s="152"/>
      <c r="Q1210" s="152"/>
      <c r="R1210" s="152"/>
      <c r="S1210" s="152"/>
      <c r="T1210" s="152"/>
    </row>
    <row r="1211" spans="1:20" s="150" customFormat="1" ht="28.5" customHeight="1">
      <c r="A1211" s="82" t="s">
        <v>38</v>
      </c>
      <c r="B1211" s="149">
        <v>793</v>
      </c>
      <c r="C1211" s="84" t="s">
        <v>173</v>
      </c>
      <c r="D1211" s="84" t="s">
        <v>70</v>
      </c>
      <c r="E1211" s="84" t="s">
        <v>381</v>
      </c>
      <c r="F1211" s="84" t="s">
        <v>39</v>
      </c>
      <c r="G1211" s="70">
        <f>'прил 5,'!G1437+'прил 5,'!G2011+'прил 5,'!G1556</f>
        <v>9607</v>
      </c>
      <c r="H1211" s="70">
        <f>'прил 5,'!H1437+'прил 5,'!H2011+'прил 5,'!H1556</f>
        <v>109703.07</v>
      </c>
      <c r="I1211" s="70">
        <f>'прил 5,'!I1437+'прил 5,'!I2011+'прил 5,'!I1556</f>
        <v>109800.1</v>
      </c>
      <c r="J1211" s="152"/>
      <c r="P1211" s="152"/>
      <c r="Q1211" s="152"/>
      <c r="R1211" s="152"/>
      <c r="S1211" s="152"/>
      <c r="T1211" s="152"/>
    </row>
    <row r="1212" spans="1:20" s="150" customFormat="1" ht="27.75" hidden="1" customHeight="1">
      <c r="A1212" s="82" t="s">
        <v>538</v>
      </c>
      <c r="B1212" s="83">
        <v>795</v>
      </c>
      <c r="C1212" s="153" t="s">
        <v>173</v>
      </c>
      <c r="D1212" s="153" t="s">
        <v>19</v>
      </c>
      <c r="E1212" s="84" t="s">
        <v>537</v>
      </c>
      <c r="F1212" s="84"/>
      <c r="G1212" s="70">
        <f t="shared" ref="G1212:I1213" si="348">G1213</f>
        <v>0</v>
      </c>
      <c r="H1212" s="70">
        <f t="shared" si="348"/>
        <v>0</v>
      </c>
      <c r="I1212" s="70">
        <f t="shared" si="348"/>
        <v>0</v>
      </c>
      <c r="P1212" s="152"/>
      <c r="Q1212" s="152"/>
      <c r="R1212" s="152"/>
      <c r="S1212" s="152"/>
      <c r="T1212" s="152"/>
    </row>
    <row r="1213" spans="1:20" s="150" customFormat="1" ht="28.5" hidden="1" customHeight="1">
      <c r="A1213" s="82" t="s">
        <v>324</v>
      </c>
      <c r="B1213" s="83">
        <v>795</v>
      </c>
      <c r="C1213" s="153" t="s">
        <v>173</v>
      </c>
      <c r="D1213" s="153" t="s">
        <v>19</v>
      </c>
      <c r="E1213" s="84" t="s">
        <v>537</v>
      </c>
      <c r="F1213" s="84" t="s">
        <v>37</v>
      </c>
      <c r="G1213" s="70">
        <f t="shared" si="348"/>
        <v>0</v>
      </c>
      <c r="H1213" s="70">
        <f t="shared" si="348"/>
        <v>0</v>
      </c>
      <c r="I1213" s="70">
        <f t="shared" si="348"/>
        <v>0</v>
      </c>
      <c r="P1213" s="152"/>
      <c r="Q1213" s="152"/>
      <c r="R1213" s="152"/>
      <c r="S1213" s="152"/>
      <c r="T1213" s="152"/>
    </row>
    <row r="1214" spans="1:20" s="150" customFormat="1" ht="28.5" hidden="1" customHeight="1">
      <c r="A1214" s="82" t="s">
        <v>38</v>
      </c>
      <c r="B1214" s="83">
        <v>795</v>
      </c>
      <c r="C1214" s="153" t="s">
        <v>173</v>
      </c>
      <c r="D1214" s="153" t="s">
        <v>19</v>
      </c>
      <c r="E1214" s="84" t="s">
        <v>537</v>
      </c>
      <c r="F1214" s="84" t="s">
        <v>39</v>
      </c>
      <c r="G1214" s="70"/>
      <c r="H1214" s="70">
        <v>0</v>
      </c>
      <c r="I1214" s="70">
        <v>0</v>
      </c>
      <c r="P1214" s="152"/>
      <c r="Q1214" s="152"/>
      <c r="R1214" s="152"/>
      <c r="S1214" s="152"/>
      <c r="T1214" s="152"/>
    </row>
    <row r="1215" spans="1:20" s="90" customFormat="1" ht="25.5" hidden="1" customHeight="1">
      <c r="A1215" s="82" t="s">
        <v>509</v>
      </c>
      <c r="B1215" s="83">
        <v>795</v>
      </c>
      <c r="C1215" s="84" t="s">
        <v>173</v>
      </c>
      <c r="D1215" s="84" t="s">
        <v>28</v>
      </c>
      <c r="E1215" s="84" t="s">
        <v>463</v>
      </c>
      <c r="F1215" s="84"/>
      <c r="G1215" s="70">
        <f t="shared" ref="G1215:I1216" si="349">G1216</f>
        <v>0</v>
      </c>
      <c r="H1215" s="70">
        <f t="shared" si="349"/>
        <v>0</v>
      </c>
      <c r="I1215" s="70">
        <f t="shared" si="349"/>
        <v>0</v>
      </c>
      <c r="J1215" s="126"/>
      <c r="P1215" s="126"/>
      <c r="Q1215" s="126"/>
      <c r="R1215" s="126"/>
      <c r="S1215" s="126"/>
      <c r="T1215" s="126"/>
    </row>
    <row r="1216" spans="1:20" s="90" customFormat="1" ht="34.5" hidden="1" customHeight="1">
      <c r="A1216" s="82" t="s">
        <v>36</v>
      </c>
      <c r="B1216" s="83">
        <v>795</v>
      </c>
      <c r="C1216" s="84" t="s">
        <v>173</v>
      </c>
      <c r="D1216" s="84" t="s">
        <v>28</v>
      </c>
      <c r="E1216" s="84" t="s">
        <v>463</v>
      </c>
      <c r="F1216" s="84" t="s">
        <v>349</v>
      </c>
      <c r="G1216" s="70">
        <f t="shared" si="349"/>
        <v>0</v>
      </c>
      <c r="H1216" s="70">
        <f t="shared" si="349"/>
        <v>0</v>
      </c>
      <c r="I1216" s="70">
        <f t="shared" si="349"/>
        <v>0</v>
      </c>
      <c r="J1216" s="126"/>
      <c r="P1216" s="126"/>
      <c r="Q1216" s="126"/>
      <c r="R1216" s="126"/>
      <c r="S1216" s="126"/>
      <c r="T1216" s="126"/>
    </row>
    <row r="1217" spans="1:20" s="90" customFormat="1" ht="34.5" hidden="1" customHeight="1">
      <c r="A1217" s="82" t="s">
        <v>38</v>
      </c>
      <c r="B1217" s="83">
        <v>795</v>
      </c>
      <c r="C1217" s="84" t="s">
        <v>173</v>
      </c>
      <c r="D1217" s="84" t="s">
        <v>28</v>
      </c>
      <c r="E1217" s="84" t="s">
        <v>463</v>
      </c>
      <c r="F1217" s="84" t="s">
        <v>351</v>
      </c>
      <c r="G1217" s="70">
        <f>'прил 5,'!G1960</f>
        <v>0</v>
      </c>
      <c r="H1217" s="70">
        <f>'прил 5,'!H1960</f>
        <v>0</v>
      </c>
      <c r="I1217" s="70">
        <f>'прил 5,'!I1960</f>
        <v>0</v>
      </c>
      <c r="J1217" s="126"/>
      <c r="P1217" s="126"/>
      <c r="Q1217" s="126"/>
      <c r="R1217" s="126"/>
      <c r="S1217" s="126"/>
      <c r="T1217" s="126"/>
    </row>
    <row r="1218" spans="1:20" s="90" customFormat="1" ht="34.5" hidden="1" customHeight="1">
      <c r="A1218" s="82" t="s">
        <v>465</v>
      </c>
      <c r="B1218" s="83">
        <v>795</v>
      </c>
      <c r="C1218" s="84" t="s">
        <v>173</v>
      </c>
      <c r="D1218" s="84" t="s">
        <v>28</v>
      </c>
      <c r="E1218" s="84" t="s">
        <v>464</v>
      </c>
      <c r="F1218" s="84"/>
      <c r="G1218" s="70">
        <f t="shared" ref="G1218:I1219" si="350">G1219</f>
        <v>0</v>
      </c>
      <c r="H1218" s="70">
        <f t="shared" si="350"/>
        <v>0</v>
      </c>
      <c r="I1218" s="70">
        <f t="shared" si="350"/>
        <v>0</v>
      </c>
      <c r="J1218" s="126"/>
      <c r="P1218" s="126"/>
      <c r="Q1218" s="126"/>
      <c r="R1218" s="126"/>
      <c r="S1218" s="126"/>
      <c r="T1218" s="126"/>
    </row>
    <row r="1219" spans="1:20" s="90" customFormat="1" ht="34.5" hidden="1" customHeight="1">
      <c r="A1219" s="82" t="s">
        <v>36</v>
      </c>
      <c r="B1219" s="83">
        <v>795</v>
      </c>
      <c r="C1219" s="84" t="s">
        <v>173</v>
      </c>
      <c r="D1219" s="84" t="s">
        <v>28</v>
      </c>
      <c r="E1219" s="84" t="s">
        <v>464</v>
      </c>
      <c r="F1219" s="84" t="s">
        <v>37</v>
      </c>
      <c r="G1219" s="70">
        <f t="shared" si="350"/>
        <v>0</v>
      </c>
      <c r="H1219" s="70">
        <f t="shared" si="350"/>
        <v>0</v>
      </c>
      <c r="I1219" s="70">
        <f t="shared" si="350"/>
        <v>0</v>
      </c>
      <c r="J1219" s="126"/>
      <c r="P1219" s="126"/>
      <c r="Q1219" s="126"/>
      <c r="R1219" s="126"/>
      <c r="S1219" s="126"/>
      <c r="T1219" s="126"/>
    </row>
    <row r="1220" spans="1:20" s="90" customFormat="1" ht="34.5" hidden="1" customHeight="1">
      <c r="A1220" s="82" t="s">
        <v>38</v>
      </c>
      <c r="B1220" s="83">
        <v>795</v>
      </c>
      <c r="C1220" s="84" t="s">
        <v>173</v>
      </c>
      <c r="D1220" s="84" t="s">
        <v>28</v>
      </c>
      <c r="E1220" s="84" t="s">
        <v>464</v>
      </c>
      <c r="F1220" s="84" t="s">
        <v>39</v>
      </c>
      <c r="G1220" s="70">
        <f>'прил 5,'!G1971</f>
        <v>0</v>
      </c>
      <c r="H1220" s="70">
        <f>'прил 5,'!H1971</f>
        <v>0</v>
      </c>
      <c r="I1220" s="70">
        <f>'прил 5,'!I1971</f>
        <v>0</v>
      </c>
      <c r="J1220" s="126"/>
      <c r="P1220" s="126"/>
      <c r="Q1220" s="126"/>
      <c r="R1220" s="126"/>
      <c r="S1220" s="126"/>
      <c r="T1220" s="126"/>
    </row>
    <row r="1221" spans="1:20" s="90" customFormat="1" ht="34.5" hidden="1" customHeight="1">
      <c r="A1221" s="82" t="s">
        <v>504</v>
      </c>
      <c r="B1221" s="83">
        <v>795</v>
      </c>
      <c r="C1221" s="84" t="s">
        <v>173</v>
      </c>
      <c r="D1221" s="84" t="s">
        <v>28</v>
      </c>
      <c r="E1221" s="84" t="s">
        <v>503</v>
      </c>
      <c r="F1221" s="84"/>
      <c r="G1221" s="70">
        <f>G1222</f>
        <v>0</v>
      </c>
      <c r="H1221" s="70">
        <f t="shared" ref="H1221:I1222" si="351">H1222</f>
        <v>0</v>
      </c>
      <c r="I1221" s="70">
        <f t="shared" si="351"/>
        <v>0</v>
      </c>
      <c r="P1221" s="126"/>
      <c r="Q1221" s="126"/>
      <c r="R1221" s="126"/>
      <c r="S1221" s="126"/>
      <c r="T1221" s="126"/>
    </row>
    <row r="1222" spans="1:20" s="90" customFormat="1" ht="34.5" hidden="1" customHeight="1">
      <c r="A1222" s="82" t="s">
        <v>96</v>
      </c>
      <c r="B1222" s="83">
        <v>795</v>
      </c>
      <c r="C1222" s="84" t="s">
        <v>173</v>
      </c>
      <c r="D1222" s="84" t="s">
        <v>28</v>
      </c>
      <c r="E1222" s="84" t="s">
        <v>503</v>
      </c>
      <c r="F1222" s="84" t="s">
        <v>349</v>
      </c>
      <c r="G1222" s="70">
        <f>G1223</f>
        <v>0</v>
      </c>
      <c r="H1222" s="70">
        <f t="shared" si="351"/>
        <v>0</v>
      </c>
      <c r="I1222" s="70">
        <f t="shared" si="351"/>
        <v>0</v>
      </c>
      <c r="P1222" s="126"/>
      <c r="Q1222" s="126"/>
      <c r="R1222" s="126"/>
      <c r="S1222" s="126"/>
      <c r="T1222" s="126"/>
    </row>
    <row r="1223" spans="1:20" s="90" customFormat="1" ht="34.5" hidden="1" customHeight="1">
      <c r="A1223" s="82" t="s">
        <v>350</v>
      </c>
      <c r="B1223" s="83">
        <v>795</v>
      </c>
      <c r="C1223" s="84" t="s">
        <v>173</v>
      </c>
      <c r="D1223" s="84" t="s">
        <v>28</v>
      </c>
      <c r="E1223" s="84" t="s">
        <v>503</v>
      </c>
      <c r="F1223" s="84" t="s">
        <v>351</v>
      </c>
      <c r="G1223" s="70">
        <f>'прил 5,'!G1974</f>
        <v>0</v>
      </c>
      <c r="H1223" s="70">
        <v>0</v>
      </c>
      <c r="I1223" s="70">
        <v>0</v>
      </c>
      <c r="P1223" s="126"/>
      <c r="Q1223" s="126"/>
      <c r="R1223" s="126"/>
      <c r="S1223" s="126"/>
      <c r="T1223" s="126"/>
    </row>
    <row r="1224" spans="1:20" s="90" customFormat="1" ht="34.5" hidden="1" customHeight="1">
      <c r="A1224" s="82" t="s">
        <v>510</v>
      </c>
      <c r="B1224" s="83">
        <v>795</v>
      </c>
      <c r="C1224" s="84" t="s">
        <v>173</v>
      </c>
      <c r="D1224" s="84" t="s">
        <v>28</v>
      </c>
      <c r="E1224" s="84" t="s">
        <v>511</v>
      </c>
      <c r="F1224" s="84"/>
      <c r="G1224" s="70">
        <f t="shared" ref="G1224:I1225" si="352">G1225</f>
        <v>0</v>
      </c>
      <c r="H1224" s="70">
        <f t="shared" si="352"/>
        <v>0</v>
      </c>
      <c r="I1224" s="70">
        <f t="shared" si="352"/>
        <v>0</v>
      </c>
      <c r="P1224" s="126"/>
      <c r="Q1224" s="126"/>
      <c r="R1224" s="126"/>
      <c r="S1224" s="126"/>
      <c r="T1224" s="126"/>
    </row>
    <row r="1225" spans="1:20" s="90" customFormat="1" ht="34.5" hidden="1" customHeight="1">
      <c r="A1225" s="82" t="s">
        <v>36</v>
      </c>
      <c r="B1225" s="83">
        <v>795</v>
      </c>
      <c r="C1225" s="84" t="s">
        <v>173</v>
      </c>
      <c r="D1225" s="84" t="s">
        <v>28</v>
      </c>
      <c r="E1225" s="84" t="s">
        <v>511</v>
      </c>
      <c r="F1225" s="84" t="s">
        <v>37</v>
      </c>
      <c r="G1225" s="70">
        <f t="shared" si="352"/>
        <v>0</v>
      </c>
      <c r="H1225" s="70">
        <f t="shared" si="352"/>
        <v>0</v>
      </c>
      <c r="I1225" s="70">
        <f t="shared" si="352"/>
        <v>0</v>
      </c>
      <c r="P1225" s="126"/>
      <c r="Q1225" s="126"/>
      <c r="R1225" s="126"/>
      <c r="S1225" s="126"/>
      <c r="T1225" s="126"/>
    </row>
    <row r="1226" spans="1:20" s="90" customFormat="1" ht="34.5" hidden="1" customHeight="1">
      <c r="A1226" s="82" t="s">
        <v>38</v>
      </c>
      <c r="B1226" s="83">
        <v>795</v>
      </c>
      <c r="C1226" s="84" t="s">
        <v>173</v>
      </c>
      <c r="D1226" s="84" t="s">
        <v>28</v>
      </c>
      <c r="E1226" s="84" t="s">
        <v>511</v>
      </c>
      <c r="F1226" s="84" t="s">
        <v>39</v>
      </c>
      <c r="G1226" s="70">
        <f>'прил 5,'!G2051+'прил 5,'!G1963</f>
        <v>0</v>
      </c>
      <c r="H1226" s="70">
        <f>'прил 5,'!H2051+'прил 5,'!H1963</f>
        <v>0</v>
      </c>
      <c r="I1226" s="70">
        <f>'прил 5,'!I2051+'прил 5,'!I1963</f>
        <v>0</v>
      </c>
      <c r="P1226" s="126"/>
      <c r="Q1226" s="126"/>
      <c r="R1226" s="126"/>
      <c r="S1226" s="126"/>
      <c r="T1226" s="126"/>
    </row>
    <row r="1227" spans="1:20" ht="60.75" customHeight="1">
      <c r="A1227" s="16" t="s">
        <v>1079</v>
      </c>
      <c r="B1227" s="14">
        <v>793</v>
      </c>
      <c r="C1227" s="15" t="s">
        <v>173</v>
      </c>
      <c r="D1227" s="15" t="s">
        <v>28</v>
      </c>
      <c r="E1227" s="15" t="s">
        <v>1076</v>
      </c>
      <c r="F1227" s="15"/>
      <c r="G1227" s="70">
        <f t="shared" ref="G1227:I1228" si="353">G1228</f>
        <v>5000000</v>
      </c>
      <c r="H1227" s="70">
        <f t="shared" si="353"/>
        <v>0</v>
      </c>
      <c r="I1227" s="70">
        <f t="shared" si="353"/>
        <v>0</v>
      </c>
      <c r="J1227" s="186"/>
      <c r="K1227" s="186"/>
      <c r="L1227" s="186"/>
      <c r="M1227" s="186"/>
      <c r="N1227" s="186"/>
      <c r="O1227" s="186"/>
      <c r="P1227" s="186"/>
      <c r="Q1227" s="186"/>
      <c r="R1227" s="186"/>
      <c r="S1227" s="1"/>
      <c r="T1227" s="1"/>
    </row>
    <row r="1228" spans="1:20" ht="34.5" customHeight="1">
      <c r="A1228" s="16" t="s">
        <v>63</v>
      </c>
      <c r="B1228" s="14">
        <v>793</v>
      </c>
      <c r="C1228" s="15" t="s">
        <v>173</v>
      </c>
      <c r="D1228" s="15" t="s">
        <v>28</v>
      </c>
      <c r="E1228" s="15" t="s">
        <v>1076</v>
      </c>
      <c r="F1228" s="15" t="s">
        <v>64</v>
      </c>
      <c r="G1228" s="70">
        <f t="shared" si="353"/>
        <v>5000000</v>
      </c>
      <c r="H1228" s="70">
        <f t="shared" si="353"/>
        <v>0</v>
      </c>
      <c r="I1228" s="70">
        <f t="shared" si="353"/>
        <v>0</v>
      </c>
      <c r="J1228" s="186"/>
      <c r="K1228" s="186"/>
      <c r="L1228" s="186"/>
      <c r="M1228" s="186"/>
      <c r="N1228" s="186"/>
      <c r="O1228" s="186"/>
      <c r="P1228" s="186"/>
      <c r="Q1228" s="186"/>
      <c r="R1228" s="186"/>
      <c r="S1228" s="1"/>
      <c r="T1228" s="1"/>
    </row>
    <row r="1229" spans="1:20" ht="34.5" customHeight="1">
      <c r="A1229" s="16" t="s">
        <v>180</v>
      </c>
      <c r="B1229" s="14">
        <v>793</v>
      </c>
      <c r="C1229" s="15" t="s">
        <v>173</v>
      </c>
      <c r="D1229" s="15" t="s">
        <v>28</v>
      </c>
      <c r="E1229" s="15" t="s">
        <v>1076</v>
      </c>
      <c r="F1229" s="15" t="s">
        <v>181</v>
      </c>
      <c r="G1229" s="70">
        <f>'прил 5,'!G1546</f>
        <v>5000000</v>
      </c>
      <c r="H1229" s="70">
        <v>0</v>
      </c>
      <c r="I1229" s="70">
        <v>0</v>
      </c>
      <c r="J1229" s="186"/>
      <c r="K1229" s="186"/>
      <c r="L1229" s="186"/>
      <c r="M1229" s="186"/>
      <c r="N1229" s="186"/>
      <c r="O1229" s="186"/>
      <c r="P1229" s="186"/>
      <c r="Q1229" s="186"/>
      <c r="R1229" s="186"/>
      <c r="S1229" s="1"/>
      <c r="T1229" s="1"/>
    </row>
    <row r="1230" spans="1:20" s="90" customFormat="1" ht="34.5" customHeight="1">
      <c r="A1230" s="82" t="s">
        <v>536</v>
      </c>
      <c r="B1230" s="83">
        <v>795</v>
      </c>
      <c r="C1230" s="84" t="s">
        <v>173</v>
      </c>
      <c r="D1230" s="84" t="s">
        <v>28</v>
      </c>
      <c r="E1230" s="84" t="s">
        <v>535</v>
      </c>
      <c r="F1230" s="84"/>
      <c r="G1230" s="70">
        <f t="shared" ref="G1230:I1230" si="354">G1231</f>
        <v>547673</v>
      </c>
      <c r="H1230" s="70">
        <f t="shared" si="354"/>
        <v>500000</v>
      </c>
      <c r="I1230" s="70">
        <f t="shared" si="354"/>
        <v>500000</v>
      </c>
      <c r="P1230" s="126"/>
      <c r="Q1230" s="126"/>
      <c r="R1230" s="126"/>
      <c r="S1230" s="126"/>
      <c r="T1230" s="126"/>
    </row>
    <row r="1231" spans="1:20" s="90" customFormat="1" ht="34.5" customHeight="1">
      <c r="A1231" s="82" t="s">
        <v>36</v>
      </c>
      <c r="B1231" s="83">
        <v>795</v>
      </c>
      <c r="C1231" s="84" t="s">
        <v>173</v>
      </c>
      <c r="D1231" s="84" t="s">
        <v>28</v>
      </c>
      <c r="E1231" s="84" t="s">
        <v>535</v>
      </c>
      <c r="F1231" s="84" t="s">
        <v>37</v>
      </c>
      <c r="G1231" s="70">
        <f>G1232</f>
        <v>547673</v>
      </c>
      <c r="H1231" s="70">
        <f>H1232</f>
        <v>500000</v>
      </c>
      <c r="I1231" s="70">
        <f>I1232</f>
        <v>500000</v>
      </c>
      <c r="P1231" s="126"/>
      <c r="Q1231" s="126"/>
      <c r="R1231" s="126"/>
      <c r="S1231" s="126"/>
      <c r="T1231" s="126"/>
    </row>
    <row r="1232" spans="1:20" s="90" customFormat="1" ht="34.5" customHeight="1">
      <c r="A1232" s="82" t="s">
        <v>38</v>
      </c>
      <c r="B1232" s="83">
        <v>795</v>
      </c>
      <c r="C1232" s="84" t="s">
        <v>173</v>
      </c>
      <c r="D1232" s="84" t="s">
        <v>28</v>
      </c>
      <c r="E1232" s="84" t="s">
        <v>535</v>
      </c>
      <c r="F1232" s="84" t="s">
        <v>39</v>
      </c>
      <c r="G1232" s="70">
        <f>'прил 5,'!G1539+'прил 5,'!G2184</f>
        <v>547673</v>
      </c>
      <c r="H1232" s="70">
        <f>'прил 5,'!H1539+'прил 5,'!H2184</f>
        <v>500000</v>
      </c>
      <c r="I1232" s="70">
        <f>'прил 5,'!I1539+'прил 5,'!I2184</f>
        <v>500000</v>
      </c>
      <c r="P1232" s="126"/>
      <c r="Q1232" s="126"/>
      <c r="R1232" s="126"/>
      <c r="S1232" s="126"/>
      <c r="T1232" s="126"/>
    </row>
    <row r="1233" spans="1:20" s="90" customFormat="1" ht="32.25" hidden="1" customHeight="1">
      <c r="A1233" s="82" t="s">
        <v>539</v>
      </c>
      <c r="B1233" s="83">
        <v>795</v>
      </c>
      <c r="C1233" s="84" t="s">
        <v>173</v>
      </c>
      <c r="D1233" s="84" t="s">
        <v>28</v>
      </c>
      <c r="E1233" s="84" t="s">
        <v>540</v>
      </c>
      <c r="F1233" s="84"/>
      <c r="G1233" s="87">
        <f>G1234</f>
        <v>0</v>
      </c>
      <c r="H1233" s="87">
        <v>0</v>
      </c>
      <c r="I1233" s="87">
        <v>0</v>
      </c>
      <c r="P1233" s="126"/>
      <c r="Q1233" s="126"/>
      <c r="R1233" s="126"/>
      <c r="S1233" s="126"/>
      <c r="T1233" s="126"/>
    </row>
    <row r="1234" spans="1:20" s="90" customFormat="1" ht="30" hidden="1" customHeight="1">
      <c r="A1234" s="82" t="s">
        <v>96</v>
      </c>
      <c r="B1234" s="83">
        <v>795</v>
      </c>
      <c r="C1234" s="84" t="s">
        <v>173</v>
      </c>
      <c r="D1234" s="84" t="s">
        <v>28</v>
      </c>
      <c r="E1234" s="84" t="s">
        <v>540</v>
      </c>
      <c r="F1234" s="84" t="s">
        <v>349</v>
      </c>
      <c r="G1234" s="87">
        <f>G1235</f>
        <v>0</v>
      </c>
      <c r="H1234" s="87">
        <v>0</v>
      </c>
      <c r="I1234" s="87">
        <v>0</v>
      </c>
      <c r="P1234" s="126"/>
      <c r="Q1234" s="126"/>
      <c r="R1234" s="126"/>
      <c r="S1234" s="126"/>
      <c r="T1234" s="126"/>
    </row>
    <row r="1235" spans="1:20" s="90" customFormat="1" ht="20.25" hidden="1" customHeight="1">
      <c r="A1235" s="82" t="s">
        <v>350</v>
      </c>
      <c r="B1235" s="83">
        <v>795</v>
      </c>
      <c r="C1235" s="84" t="s">
        <v>173</v>
      </c>
      <c r="D1235" s="84" t="s">
        <v>28</v>
      </c>
      <c r="E1235" s="84" t="s">
        <v>540</v>
      </c>
      <c r="F1235" s="84" t="s">
        <v>351</v>
      </c>
      <c r="G1235" s="87">
        <f>'прил 5,'!G1977</f>
        <v>0</v>
      </c>
      <c r="H1235" s="87">
        <v>0</v>
      </c>
      <c r="I1235" s="87">
        <v>0</v>
      </c>
      <c r="P1235" s="126"/>
      <c r="Q1235" s="126"/>
      <c r="R1235" s="126"/>
      <c r="S1235" s="126"/>
      <c r="T1235" s="126"/>
    </row>
    <row r="1236" spans="1:20" ht="49.5" hidden="1" customHeight="1">
      <c r="A1236" s="37" t="s">
        <v>741</v>
      </c>
      <c r="B1236" s="49">
        <v>795</v>
      </c>
      <c r="C1236" s="15" t="s">
        <v>173</v>
      </c>
      <c r="D1236" s="15" t="s">
        <v>173</v>
      </c>
      <c r="E1236" s="15" t="s">
        <v>725</v>
      </c>
      <c r="F1236" s="15"/>
      <c r="G1236" s="87">
        <f>G1237+G1239</f>
        <v>0</v>
      </c>
      <c r="H1236" s="70">
        <f t="shared" ref="H1236:I1236" si="355">H1237+H1239</f>
        <v>0</v>
      </c>
      <c r="I1236" s="70">
        <f t="shared" si="355"/>
        <v>0</v>
      </c>
      <c r="J1236" s="1"/>
    </row>
    <row r="1237" spans="1:20" ht="27" hidden="1" customHeight="1">
      <c r="A1237" s="16" t="s">
        <v>96</v>
      </c>
      <c r="B1237" s="49">
        <v>795</v>
      </c>
      <c r="C1237" s="15" t="s">
        <v>173</v>
      </c>
      <c r="D1237" s="15" t="s">
        <v>173</v>
      </c>
      <c r="E1237" s="15" t="s">
        <v>611</v>
      </c>
      <c r="F1237" s="15" t="s">
        <v>349</v>
      </c>
      <c r="G1237" s="87">
        <f>G1238</f>
        <v>0</v>
      </c>
      <c r="H1237" s="8">
        <f>H1238</f>
        <v>0</v>
      </c>
      <c r="I1237" s="8">
        <v>0</v>
      </c>
      <c r="J1237" s="1"/>
    </row>
    <row r="1238" spans="1:20" ht="18.75" hidden="1" customHeight="1">
      <c r="A1238" s="82" t="s">
        <v>350</v>
      </c>
      <c r="B1238" s="49">
        <v>795</v>
      </c>
      <c r="C1238" s="15" t="s">
        <v>173</v>
      </c>
      <c r="D1238" s="15" t="s">
        <v>173</v>
      </c>
      <c r="E1238" s="15" t="s">
        <v>611</v>
      </c>
      <c r="F1238" s="15" t="s">
        <v>351</v>
      </c>
      <c r="G1238" s="87"/>
      <c r="H1238" s="8"/>
      <c r="I1238" s="8">
        <v>0</v>
      </c>
      <c r="J1238" s="1"/>
    </row>
    <row r="1239" spans="1:20" ht="39.75" hidden="1" customHeight="1">
      <c r="A1239" s="82" t="s">
        <v>36</v>
      </c>
      <c r="B1239" s="49">
        <v>795</v>
      </c>
      <c r="C1239" s="15" t="s">
        <v>173</v>
      </c>
      <c r="D1239" s="15" t="s">
        <v>173</v>
      </c>
      <c r="E1239" s="15" t="s">
        <v>726</v>
      </c>
      <c r="F1239" s="15" t="s">
        <v>349</v>
      </c>
      <c r="G1239" s="87">
        <f>G1240</f>
        <v>0</v>
      </c>
      <c r="H1239" s="8"/>
      <c r="I1239" s="8"/>
      <c r="J1239" s="1"/>
    </row>
    <row r="1240" spans="1:20" ht="39" hidden="1" customHeight="1">
      <c r="A1240" s="16" t="s">
        <v>38</v>
      </c>
      <c r="B1240" s="49">
        <v>795</v>
      </c>
      <c r="C1240" s="15" t="s">
        <v>173</v>
      </c>
      <c r="D1240" s="15" t="s">
        <v>173</v>
      </c>
      <c r="E1240" s="15" t="s">
        <v>725</v>
      </c>
      <c r="F1240" s="15" t="s">
        <v>351</v>
      </c>
      <c r="G1240" s="87">
        <f>'прил 5,'!G2043</f>
        <v>0</v>
      </c>
      <c r="H1240" s="8"/>
      <c r="I1240" s="8"/>
      <c r="J1240" s="1"/>
    </row>
    <row r="1241" spans="1:20" s="90" customFormat="1" ht="39.75" hidden="1" customHeight="1">
      <c r="A1241" s="139" t="s">
        <v>741</v>
      </c>
      <c r="B1241" s="83">
        <v>795</v>
      </c>
      <c r="C1241" s="84" t="s">
        <v>173</v>
      </c>
      <c r="D1241" s="84" t="s">
        <v>173</v>
      </c>
      <c r="E1241" s="84" t="s">
        <v>611</v>
      </c>
      <c r="F1241" s="84"/>
      <c r="G1241" s="87">
        <f>G1242+G1244</f>
        <v>0</v>
      </c>
      <c r="H1241" s="87">
        <f t="shared" ref="H1241:I1241" si="356">H1242+H1244</f>
        <v>0</v>
      </c>
      <c r="I1241" s="87">
        <f t="shared" si="356"/>
        <v>0</v>
      </c>
      <c r="P1241" s="126"/>
      <c r="Q1241" s="126"/>
      <c r="R1241" s="126"/>
      <c r="S1241" s="126"/>
      <c r="T1241" s="126"/>
    </row>
    <row r="1242" spans="1:20" s="90" customFormat="1" ht="27" hidden="1" customHeight="1">
      <c r="A1242" s="82" t="s">
        <v>96</v>
      </c>
      <c r="B1242" s="83">
        <v>795</v>
      </c>
      <c r="C1242" s="84" t="s">
        <v>173</v>
      </c>
      <c r="D1242" s="84" t="s">
        <v>173</v>
      </c>
      <c r="E1242" s="84" t="s">
        <v>611</v>
      </c>
      <c r="F1242" s="84" t="s">
        <v>349</v>
      </c>
      <c r="G1242" s="87">
        <f>G1243</f>
        <v>0</v>
      </c>
      <c r="H1242" s="85">
        <f>H1243</f>
        <v>0</v>
      </c>
      <c r="I1242" s="85">
        <v>0</v>
      </c>
      <c r="P1242" s="126"/>
      <c r="Q1242" s="126"/>
      <c r="R1242" s="126"/>
      <c r="S1242" s="126"/>
      <c r="T1242" s="126"/>
    </row>
    <row r="1243" spans="1:20" s="90" customFormat="1" ht="18.75" hidden="1" customHeight="1">
      <c r="A1243" s="82" t="s">
        <v>350</v>
      </c>
      <c r="B1243" s="83">
        <v>795</v>
      </c>
      <c r="C1243" s="84" t="s">
        <v>173</v>
      </c>
      <c r="D1243" s="84" t="s">
        <v>173</v>
      </c>
      <c r="E1243" s="84" t="s">
        <v>611</v>
      </c>
      <c r="F1243" s="84" t="s">
        <v>351</v>
      </c>
      <c r="G1243" s="87"/>
      <c r="H1243" s="85"/>
      <c r="I1243" s="85">
        <v>0</v>
      </c>
      <c r="P1243" s="126"/>
      <c r="Q1243" s="126"/>
      <c r="R1243" s="126"/>
      <c r="S1243" s="126"/>
      <c r="T1243" s="126"/>
    </row>
    <row r="1244" spans="1:20" s="90" customFormat="1" ht="33.75" hidden="1" customHeight="1">
      <c r="A1244" s="82" t="s">
        <v>36</v>
      </c>
      <c r="B1244" s="83">
        <v>795</v>
      </c>
      <c r="C1244" s="84" t="s">
        <v>173</v>
      </c>
      <c r="D1244" s="84" t="s">
        <v>173</v>
      </c>
      <c r="E1244" s="84" t="s">
        <v>611</v>
      </c>
      <c r="F1244" s="84" t="s">
        <v>349</v>
      </c>
      <c r="G1244" s="87">
        <f>G1245</f>
        <v>0</v>
      </c>
      <c r="H1244" s="85">
        <v>0</v>
      </c>
      <c r="I1244" s="85">
        <v>0</v>
      </c>
      <c r="P1244" s="126"/>
      <c r="Q1244" s="126"/>
      <c r="R1244" s="126"/>
      <c r="S1244" s="126"/>
      <c r="T1244" s="126"/>
    </row>
    <row r="1245" spans="1:20" s="90" customFormat="1" ht="42" hidden="1" customHeight="1">
      <c r="A1245" s="16" t="s">
        <v>38</v>
      </c>
      <c r="B1245" s="83">
        <v>795</v>
      </c>
      <c r="C1245" s="84" t="s">
        <v>173</v>
      </c>
      <c r="D1245" s="84" t="s">
        <v>173</v>
      </c>
      <c r="E1245" s="84" t="s">
        <v>611</v>
      </c>
      <c r="F1245" s="84" t="s">
        <v>351</v>
      </c>
      <c r="G1245" s="87">
        <f>'прил 5,'!G2048</f>
        <v>0</v>
      </c>
      <c r="H1245" s="85">
        <v>0</v>
      </c>
      <c r="I1245" s="85">
        <v>0</v>
      </c>
      <c r="P1245" s="126"/>
      <c r="Q1245" s="126"/>
      <c r="R1245" s="126"/>
      <c r="S1245" s="126"/>
      <c r="T1245" s="126"/>
    </row>
    <row r="1246" spans="1:20" s="90" customFormat="1" ht="81" hidden="1" customHeight="1">
      <c r="A1246" s="37" t="s">
        <v>716</v>
      </c>
      <c r="B1246" s="83">
        <v>795</v>
      </c>
      <c r="C1246" s="84" t="s">
        <v>173</v>
      </c>
      <c r="D1246" s="84" t="s">
        <v>173</v>
      </c>
      <c r="E1246" s="84" t="s">
        <v>723</v>
      </c>
      <c r="F1246" s="84"/>
      <c r="G1246" s="87">
        <f>G1247</f>
        <v>0</v>
      </c>
      <c r="H1246" s="85">
        <v>0</v>
      </c>
      <c r="I1246" s="85">
        <v>0</v>
      </c>
      <c r="P1246" s="126"/>
      <c r="Q1246" s="126"/>
      <c r="R1246" s="126"/>
      <c r="S1246" s="126"/>
      <c r="T1246" s="126"/>
    </row>
    <row r="1247" spans="1:20" s="90" customFormat="1" ht="21" hidden="1" customHeight="1">
      <c r="A1247" s="82" t="s">
        <v>156</v>
      </c>
      <c r="B1247" s="83">
        <v>795</v>
      </c>
      <c r="C1247" s="84" t="s">
        <v>173</v>
      </c>
      <c r="D1247" s="84" t="s">
        <v>173</v>
      </c>
      <c r="E1247" s="84" t="s">
        <v>723</v>
      </c>
      <c r="F1247" s="84" t="s">
        <v>157</v>
      </c>
      <c r="G1247" s="87">
        <f>G1248</f>
        <v>0</v>
      </c>
      <c r="H1247" s="85">
        <v>0</v>
      </c>
      <c r="I1247" s="85">
        <v>0</v>
      </c>
      <c r="P1247" s="126"/>
      <c r="Q1247" s="126"/>
      <c r="R1247" s="126"/>
      <c r="S1247" s="126"/>
      <c r="T1247" s="126"/>
    </row>
    <row r="1248" spans="1:20" s="90" customFormat="1" ht="24" hidden="1" customHeight="1">
      <c r="A1248" s="82" t="s">
        <v>170</v>
      </c>
      <c r="B1248" s="83">
        <v>795</v>
      </c>
      <c r="C1248" s="84" t="s">
        <v>173</v>
      </c>
      <c r="D1248" s="84" t="s">
        <v>173</v>
      </c>
      <c r="E1248" s="84" t="s">
        <v>723</v>
      </c>
      <c r="F1248" s="84" t="s">
        <v>171</v>
      </c>
      <c r="G1248" s="87">
        <f>'прил 5,'!G2034</f>
        <v>0</v>
      </c>
      <c r="H1248" s="85">
        <v>0</v>
      </c>
      <c r="I1248" s="85">
        <v>0</v>
      </c>
      <c r="P1248" s="126"/>
      <c r="Q1248" s="126"/>
      <c r="R1248" s="126"/>
      <c r="S1248" s="126"/>
      <c r="T1248" s="126"/>
    </row>
    <row r="1249" spans="1:20" s="90" customFormat="1" ht="39.75" hidden="1" customHeight="1">
      <c r="A1249" s="139" t="s">
        <v>587</v>
      </c>
      <c r="B1249" s="83">
        <v>795</v>
      </c>
      <c r="C1249" s="84" t="s">
        <v>173</v>
      </c>
      <c r="D1249" s="84" t="s">
        <v>173</v>
      </c>
      <c r="E1249" s="84" t="s">
        <v>611</v>
      </c>
      <c r="F1249" s="84"/>
      <c r="G1249" s="87">
        <f>G1250+G1252</f>
        <v>0</v>
      </c>
      <c r="H1249" s="87">
        <f t="shared" ref="H1249:I1249" si="357">H1250+H1252</f>
        <v>0</v>
      </c>
      <c r="I1249" s="87">
        <f t="shared" si="357"/>
        <v>0</v>
      </c>
      <c r="P1249" s="126"/>
      <c r="Q1249" s="126"/>
      <c r="R1249" s="126"/>
      <c r="S1249" s="126"/>
      <c r="T1249" s="126"/>
    </row>
    <row r="1250" spans="1:20" s="90" customFormat="1" ht="27" hidden="1" customHeight="1">
      <c r="A1250" s="82" t="s">
        <v>96</v>
      </c>
      <c r="B1250" s="83">
        <v>795</v>
      </c>
      <c r="C1250" s="84" t="s">
        <v>173</v>
      </c>
      <c r="D1250" s="84" t="s">
        <v>173</v>
      </c>
      <c r="E1250" s="84" t="s">
        <v>611</v>
      </c>
      <c r="F1250" s="84" t="s">
        <v>349</v>
      </c>
      <c r="G1250" s="87">
        <f>G1251</f>
        <v>0</v>
      </c>
      <c r="H1250" s="85">
        <f>H1251</f>
        <v>0</v>
      </c>
      <c r="I1250" s="85">
        <v>0</v>
      </c>
      <c r="P1250" s="126"/>
      <c r="Q1250" s="126"/>
      <c r="R1250" s="126"/>
      <c r="S1250" s="126"/>
      <c r="T1250" s="126"/>
    </row>
    <row r="1251" spans="1:20" s="90" customFormat="1" ht="24" hidden="1" customHeight="1">
      <c r="A1251" s="82" t="s">
        <v>350</v>
      </c>
      <c r="B1251" s="83">
        <v>795</v>
      </c>
      <c r="C1251" s="84" t="s">
        <v>173</v>
      </c>
      <c r="D1251" s="84" t="s">
        <v>173</v>
      </c>
      <c r="E1251" s="84" t="s">
        <v>611</v>
      </c>
      <c r="F1251" s="84" t="s">
        <v>351</v>
      </c>
      <c r="G1251" s="87">
        <f>'прил 5,'!G2046</f>
        <v>0</v>
      </c>
      <c r="H1251" s="85">
        <f>'прил 5,'!H2046</f>
        <v>0</v>
      </c>
      <c r="I1251" s="85">
        <f>'прил 5,'!I2046</f>
        <v>0</v>
      </c>
      <c r="P1251" s="126"/>
      <c r="Q1251" s="126"/>
      <c r="R1251" s="126"/>
      <c r="S1251" s="126"/>
      <c r="T1251" s="126"/>
    </row>
    <row r="1252" spans="1:20" s="90" customFormat="1" ht="17.25" hidden="1" customHeight="1">
      <c r="A1252" s="82" t="s">
        <v>156</v>
      </c>
      <c r="B1252" s="83">
        <v>795</v>
      </c>
      <c r="C1252" s="84" t="s">
        <v>173</v>
      </c>
      <c r="D1252" s="84" t="s">
        <v>173</v>
      </c>
      <c r="E1252" s="84" t="s">
        <v>611</v>
      </c>
      <c r="F1252" s="84" t="s">
        <v>157</v>
      </c>
      <c r="G1252" s="87">
        <f>G1253</f>
        <v>0</v>
      </c>
      <c r="H1252" s="85"/>
      <c r="I1252" s="85"/>
      <c r="P1252" s="126"/>
      <c r="Q1252" s="126"/>
      <c r="R1252" s="126"/>
      <c r="S1252" s="126"/>
      <c r="T1252" s="126"/>
    </row>
    <row r="1253" spans="1:20" s="90" customFormat="1" ht="21" hidden="1" customHeight="1">
      <c r="A1253" s="82" t="s">
        <v>170</v>
      </c>
      <c r="B1253" s="83">
        <v>795</v>
      </c>
      <c r="C1253" s="84" t="s">
        <v>173</v>
      </c>
      <c r="D1253" s="84" t="s">
        <v>173</v>
      </c>
      <c r="E1253" s="84" t="s">
        <v>611</v>
      </c>
      <c r="F1253" s="84" t="s">
        <v>171</v>
      </c>
      <c r="G1253" s="87"/>
      <c r="H1253" s="85"/>
      <c r="I1253" s="85"/>
      <c r="P1253" s="126"/>
      <c r="Q1253" s="126"/>
      <c r="R1253" s="126"/>
      <c r="S1253" s="126"/>
      <c r="T1253" s="126"/>
    </row>
    <row r="1254" spans="1:20" s="90" customFormat="1" ht="25.5" hidden="1" customHeight="1">
      <c r="A1254" s="139" t="s">
        <v>628</v>
      </c>
      <c r="B1254" s="83">
        <v>795</v>
      </c>
      <c r="C1254" s="84" t="s">
        <v>173</v>
      </c>
      <c r="D1254" s="84" t="s">
        <v>173</v>
      </c>
      <c r="E1254" s="84" t="s">
        <v>625</v>
      </c>
      <c r="F1254" s="84"/>
      <c r="G1254" s="87">
        <f>G1255</f>
        <v>0</v>
      </c>
      <c r="H1254" s="85">
        <v>0</v>
      </c>
      <c r="I1254" s="85">
        <v>0</v>
      </c>
      <c r="P1254" s="126"/>
      <c r="Q1254" s="126"/>
      <c r="R1254" s="126"/>
      <c r="S1254" s="126"/>
      <c r="T1254" s="126"/>
    </row>
    <row r="1255" spans="1:20" s="90" customFormat="1" ht="39.75" hidden="1" customHeight="1">
      <c r="A1255" s="139" t="s">
        <v>627</v>
      </c>
      <c r="B1255" s="83">
        <v>795</v>
      </c>
      <c r="C1255" s="84" t="s">
        <v>173</v>
      </c>
      <c r="D1255" s="84" t="s">
        <v>173</v>
      </c>
      <c r="E1255" s="84" t="s">
        <v>626</v>
      </c>
      <c r="F1255" s="84"/>
      <c r="G1255" s="87">
        <f>G1256</f>
        <v>0</v>
      </c>
      <c r="H1255" s="85">
        <v>0</v>
      </c>
      <c r="I1255" s="85">
        <v>0</v>
      </c>
      <c r="P1255" s="126"/>
      <c r="Q1255" s="126"/>
      <c r="R1255" s="126"/>
      <c r="S1255" s="126"/>
      <c r="T1255" s="126"/>
    </row>
    <row r="1256" spans="1:20" s="90" customFormat="1" ht="30.75" hidden="1" customHeight="1">
      <c r="A1256" s="82" t="s">
        <v>96</v>
      </c>
      <c r="B1256" s="83">
        <v>795</v>
      </c>
      <c r="C1256" s="84" t="s">
        <v>173</v>
      </c>
      <c r="D1256" s="84" t="s">
        <v>173</v>
      </c>
      <c r="E1256" s="84" t="s">
        <v>626</v>
      </c>
      <c r="F1256" s="84" t="s">
        <v>349</v>
      </c>
      <c r="G1256" s="87">
        <f>G1257</f>
        <v>0</v>
      </c>
      <c r="H1256" s="85">
        <v>0</v>
      </c>
      <c r="I1256" s="85">
        <v>0</v>
      </c>
      <c r="P1256" s="126"/>
      <c r="Q1256" s="126"/>
      <c r="R1256" s="126"/>
      <c r="S1256" s="126"/>
      <c r="T1256" s="126"/>
    </row>
    <row r="1257" spans="1:20" s="90" customFormat="1" ht="30.75" hidden="1" customHeight="1">
      <c r="A1257" s="82" t="s">
        <v>350</v>
      </c>
      <c r="B1257" s="83">
        <v>795</v>
      </c>
      <c r="C1257" s="84" t="s">
        <v>173</v>
      </c>
      <c r="D1257" s="84" t="s">
        <v>173</v>
      </c>
      <c r="E1257" s="84" t="s">
        <v>626</v>
      </c>
      <c r="F1257" s="84" t="s">
        <v>351</v>
      </c>
      <c r="G1257" s="87">
        <f>'прил 5,'!G2038</f>
        <v>0</v>
      </c>
      <c r="H1257" s="85">
        <v>0</v>
      </c>
      <c r="I1257" s="85">
        <v>0</v>
      </c>
      <c r="P1257" s="126"/>
      <c r="Q1257" s="126"/>
      <c r="R1257" s="126"/>
      <c r="S1257" s="126"/>
      <c r="T1257" s="126"/>
    </row>
    <row r="1258" spans="1:20" s="90" customFormat="1" ht="66" hidden="1" customHeight="1">
      <c r="A1258" s="82" t="s">
        <v>826</v>
      </c>
      <c r="B1258" s="83">
        <v>795</v>
      </c>
      <c r="C1258" s="84" t="s">
        <v>173</v>
      </c>
      <c r="D1258" s="84" t="s">
        <v>28</v>
      </c>
      <c r="E1258" s="84" t="s">
        <v>722</v>
      </c>
      <c r="F1258" s="84"/>
      <c r="G1258" s="87">
        <f>G1259+G1261</f>
        <v>0</v>
      </c>
      <c r="H1258" s="87">
        <f t="shared" ref="G1258:I1259" si="358">H1259</f>
        <v>0</v>
      </c>
      <c r="I1258" s="87">
        <f t="shared" si="358"/>
        <v>0</v>
      </c>
      <c r="P1258" s="126"/>
      <c r="Q1258" s="126"/>
      <c r="R1258" s="126"/>
      <c r="S1258" s="126"/>
      <c r="T1258" s="126"/>
    </row>
    <row r="1259" spans="1:20" s="90" customFormat="1" ht="34.5" hidden="1" customHeight="1">
      <c r="A1259" s="82" t="s">
        <v>36</v>
      </c>
      <c r="B1259" s="83">
        <v>795</v>
      </c>
      <c r="C1259" s="84" t="s">
        <v>173</v>
      </c>
      <c r="D1259" s="84" t="s">
        <v>28</v>
      </c>
      <c r="E1259" s="84" t="s">
        <v>722</v>
      </c>
      <c r="F1259" s="84" t="s">
        <v>349</v>
      </c>
      <c r="G1259" s="87">
        <f t="shared" si="358"/>
        <v>0</v>
      </c>
      <c r="H1259" s="87">
        <f t="shared" si="358"/>
        <v>0</v>
      </c>
      <c r="I1259" s="87">
        <f t="shared" si="358"/>
        <v>0</v>
      </c>
      <c r="P1259" s="126"/>
      <c r="Q1259" s="126"/>
      <c r="R1259" s="126"/>
      <c r="S1259" s="126"/>
      <c r="T1259" s="126"/>
    </row>
    <row r="1260" spans="1:20" ht="34.5" hidden="1" customHeight="1">
      <c r="A1260" s="16" t="s">
        <v>38</v>
      </c>
      <c r="B1260" s="49">
        <v>795</v>
      </c>
      <c r="C1260" s="15" t="s">
        <v>173</v>
      </c>
      <c r="D1260" s="15" t="s">
        <v>28</v>
      </c>
      <c r="E1260" s="15" t="s">
        <v>722</v>
      </c>
      <c r="F1260" s="15" t="s">
        <v>351</v>
      </c>
      <c r="G1260" s="70">
        <f>'прил 5,'!G1960</f>
        <v>0</v>
      </c>
      <c r="H1260" s="70">
        <f>832780-832780</f>
        <v>0</v>
      </c>
      <c r="I1260" s="70">
        <v>0</v>
      </c>
      <c r="J1260" s="1"/>
    </row>
    <row r="1261" spans="1:20" ht="18" hidden="1" customHeight="1">
      <c r="A1261" s="82" t="s">
        <v>156</v>
      </c>
      <c r="B1261" s="49">
        <v>795</v>
      </c>
      <c r="C1261" s="15" t="s">
        <v>173</v>
      </c>
      <c r="D1261" s="15" t="s">
        <v>28</v>
      </c>
      <c r="E1261" s="15" t="s">
        <v>722</v>
      </c>
      <c r="F1261" s="84" t="s">
        <v>157</v>
      </c>
      <c r="G1261" s="70">
        <f>G1262</f>
        <v>0</v>
      </c>
      <c r="H1261" s="70">
        <f>H1262</f>
        <v>0</v>
      </c>
      <c r="I1261" s="70">
        <f>I1262</f>
        <v>0</v>
      </c>
      <c r="J1261" s="1"/>
    </row>
    <row r="1262" spans="1:20" ht="18" hidden="1" customHeight="1">
      <c r="A1262" s="82" t="s">
        <v>178</v>
      </c>
      <c r="B1262" s="49">
        <v>795</v>
      </c>
      <c r="C1262" s="15" t="s">
        <v>173</v>
      </c>
      <c r="D1262" s="15" t="s">
        <v>28</v>
      </c>
      <c r="E1262" s="15" t="s">
        <v>722</v>
      </c>
      <c r="F1262" s="84" t="s">
        <v>179</v>
      </c>
      <c r="G1262" s="70"/>
      <c r="H1262" s="70"/>
      <c r="I1262" s="70"/>
      <c r="J1262" s="1"/>
    </row>
    <row r="1263" spans="1:20" ht="44.25" hidden="1" customHeight="1">
      <c r="A1263" s="82" t="s">
        <v>814</v>
      </c>
      <c r="B1263" s="49">
        <v>795</v>
      </c>
      <c r="C1263" s="15" t="s">
        <v>173</v>
      </c>
      <c r="D1263" s="15" t="s">
        <v>28</v>
      </c>
      <c r="E1263" s="15" t="s">
        <v>813</v>
      </c>
      <c r="F1263" s="15"/>
      <c r="G1263" s="70">
        <f t="shared" ref="G1263:I1264" si="359">G1264</f>
        <v>0</v>
      </c>
      <c r="H1263" s="70">
        <f t="shared" si="359"/>
        <v>0</v>
      </c>
      <c r="I1263" s="70">
        <f t="shared" si="359"/>
        <v>0</v>
      </c>
      <c r="J1263" s="1"/>
    </row>
    <row r="1264" spans="1:20" ht="34.5" hidden="1" customHeight="1">
      <c r="A1264" s="82" t="s">
        <v>36</v>
      </c>
      <c r="B1264" s="49">
        <v>795</v>
      </c>
      <c r="C1264" s="15" t="s">
        <v>173</v>
      </c>
      <c r="D1264" s="15" t="s">
        <v>28</v>
      </c>
      <c r="E1264" s="15" t="s">
        <v>813</v>
      </c>
      <c r="F1264" s="15" t="s">
        <v>349</v>
      </c>
      <c r="G1264" s="70">
        <f t="shared" si="359"/>
        <v>0</v>
      </c>
      <c r="H1264" s="70">
        <f t="shared" si="359"/>
        <v>0</v>
      </c>
      <c r="I1264" s="70">
        <f t="shared" si="359"/>
        <v>0</v>
      </c>
      <c r="J1264" s="1"/>
    </row>
    <row r="1265" spans="1:20" ht="34.5" hidden="1" customHeight="1">
      <c r="A1265" s="16" t="s">
        <v>38</v>
      </c>
      <c r="B1265" s="49">
        <v>795</v>
      </c>
      <c r="C1265" s="15" t="s">
        <v>173</v>
      </c>
      <c r="D1265" s="15" t="s">
        <v>28</v>
      </c>
      <c r="E1265" s="15" t="s">
        <v>813</v>
      </c>
      <c r="F1265" s="15" t="s">
        <v>351</v>
      </c>
      <c r="G1265" s="70"/>
      <c r="H1265" s="70"/>
      <c r="I1265" s="70"/>
      <c r="J1265" s="1"/>
    </row>
    <row r="1266" spans="1:20" ht="44.25" hidden="1" customHeight="1">
      <c r="A1266" s="82" t="s">
        <v>816</v>
      </c>
      <c r="B1266" s="49">
        <v>795</v>
      </c>
      <c r="C1266" s="15" t="s">
        <v>173</v>
      </c>
      <c r="D1266" s="15" t="s">
        <v>28</v>
      </c>
      <c r="E1266" s="15" t="s">
        <v>815</v>
      </c>
      <c r="F1266" s="15"/>
      <c r="G1266" s="70">
        <f t="shared" ref="G1266:I1267" si="360">G1267</f>
        <v>0</v>
      </c>
      <c r="H1266" s="70">
        <f t="shared" si="360"/>
        <v>0</v>
      </c>
      <c r="I1266" s="70">
        <f t="shared" si="360"/>
        <v>0</v>
      </c>
      <c r="J1266" s="1"/>
    </row>
    <row r="1267" spans="1:20" ht="34.5" hidden="1" customHeight="1">
      <c r="A1267" s="82" t="s">
        <v>36</v>
      </c>
      <c r="B1267" s="49">
        <v>795</v>
      </c>
      <c r="C1267" s="15" t="s">
        <v>173</v>
      </c>
      <c r="D1267" s="15" t="s">
        <v>28</v>
      </c>
      <c r="E1267" s="15" t="s">
        <v>815</v>
      </c>
      <c r="F1267" s="15" t="s">
        <v>349</v>
      </c>
      <c r="G1267" s="70">
        <f t="shared" si="360"/>
        <v>0</v>
      </c>
      <c r="H1267" s="70">
        <f t="shared" si="360"/>
        <v>0</v>
      </c>
      <c r="I1267" s="70">
        <f t="shared" si="360"/>
        <v>0</v>
      </c>
      <c r="J1267" s="1"/>
    </row>
    <row r="1268" spans="1:20" ht="34.5" hidden="1" customHeight="1">
      <c r="A1268" s="16" t="s">
        <v>38</v>
      </c>
      <c r="B1268" s="49">
        <v>795</v>
      </c>
      <c r="C1268" s="15" t="s">
        <v>173</v>
      </c>
      <c r="D1268" s="15" t="s">
        <v>28</v>
      </c>
      <c r="E1268" s="15" t="s">
        <v>815</v>
      </c>
      <c r="F1268" s="15" t="s">
        <v>351</v>
      </c>
      <c r="G1268" s="70"/>
      <c r="H1268" s="70"/>
      <c r="I1268" s="70"/>
      <c r="J1268" s="1"/>
    </row>
    <row r="1269" spans="1:20" ht="44.25" hidden="1" customHeight="1">
      <c r="A1269" s="82" t="s">
        <v>818</v>
      </c>
      <c r="B1269" s="49">
        <v>795</v>
      </c>
      <c r="C1269" s="15" t="s">
        <v>173</v>
      </c>
      <c r="D1269" s="15" t="s">
        <v>28</v>
      </c>
      <c r="E1269" s="15" t="s">
        <v>817</v>
      </c>
      <c r="F1269" s="15"/>
      <c r="G1269" s="70">
        <f t="shared" ref="G1269:I1270" si="361">G1270</f>
        <v>0</v>
      </c>
      <c r="H1269" s="70">
        <f t="shared" si="361"/>
        <v>0</v>
      </c>
      <c r="I1269" s="70">
        <f t="shared" si="361"/>
        <v>0</v>
      </c>
      <c r="J1269" s="1"/>
    </row>
    <row r="1270" spans="1:20" ht="34.5" hidden="1" customHeight="1">
      <c r="A1270" s="82" t="s">
        <v>36</v>
      </c>
      <c r="B1270" s="49">
        <v>795</v>
      </c>
      <c r="C1270" s="15" t="s">
        <v>173</v>
      </c>
      <c r="D1270" s="15" t="s">
        <v>28</v>
      </c>
      <c r="E1270" s="15" t="s">
        <v>817</v>
      </c>
      <c r="F1270" s="15" t="s">
        <v>349</v>
      </c>
      <c r="G1270" s="70">
        <f t="shared" si="361"/>
        <v>0</v>
      </c>
      <c r="H1270" s="70">
        <f t="shared" si="361"/>
        <v>0</v>
      </c>
      <c r="I1270" s="70">
        <f t="shared" si="361"/>
        <v>0</v>
      </c>
      <c r="J1270" s="1"/>
    </row>
    <row r="1271" spans="1:20" ht="34.5" hidden="1" customHeight="1">
      <c r="A1271" s="16" t="s">
        <v>38</v>
      </c>
      <c r="B1271" s="49">
        <v>795</v>
      </c>
      <c r="C1271" s="15" t="s">
        <v>173</v>
      </c>
      <c r="D1271" s="15" t="s">
        <v>28</v>
      </c>
      <c r="E1271" s="15" t="s">
        <v>817</v>
      </c>
      <c r="F1271" s="15" t="s">
        <v>351</v>
      </c>
      <c r="G1271" s="70">
        <f>'прил 5,'!G1954</f>
        <v>0</v>
      </c>
      <c r="H1271" s="70">
        <f>832780-832780</f>
        <v>0</v>
      </c>
      <c r="I1271" s="70">
        <v>0</v>
      </c>
      <c r="J1271" s="1"/>
    </row>
    <row r="1272" spans="1:20" ht="57" hidden="1" customHeight="1">
      <c r="A1272" s="82" t="s">
        <v>820</v>
      </c>
      <c r="B1272" s="49">
        <v>795</v>
      </c>
      <c r="C1272" s="15" t="s">
        <v>173</v>
      </c>
      <c r="D1272" s="15" t="s">
        <v>28</v>
      </c>
      <c r="E1272" s="15" t="s">
        <v>819</v>
      </c>
      <c r="F1272" s="15"/>
      <c r="G1272" s="70">
        <f t="shared" ref="G1272:I1273" si="362">G1273</f>
        <v>0</v>
      </c>
      <c r="H1272" s="70">
        <f t="shared" si="362"/>
        <v>0</v>
      </c>
      <c r="I1272" s="70">
        <f t="shared" si="362"/>
        <v>0</v>
      </c>
      <c r="J1272" s="1"/>
    </row>
    <row r="1273" spans="1:20" ht="34.5" hidden="1" customHeight="1">
      <c r="A1273" s="82" t="s">
        <v>36</v>
      </c>
      <c r="B1273" s="49">
        <v>795</v>
      </c>
      <c r="C1273" s="15" t="s">
        <v>173</v>
      </c>
      <c r="D1273" s="15" t="s">
        <v>28</v>
      </c>
      <c r="E1273" s="15" t="s">
        <v>819</v>
      </c>
      <c r="F1273" s="15" t="s">
        <v>349</v>
      </c>
      <c r="G1273" s="70">
        <f t="shared" si="362"/>
        <v>0</v>
      </c>
      <c r="H1273" s="70">
        <f t="shared" si="362"/>
        <v>0</v>
      </c>
      <c r="I1273" s="70">
        <f t="shared" si="362"/>
        <v>0</v>
      </c>
      <c r="J1273" s="1"/>
    </row>
    <row r="1274" spans="1:20" ht="34.5" hidden="1" customHeight="1">
      <c r="A1274" s="16" t="s">
        <v>38</v>
      </c>
      <c r="B1274" s="49">
        <v>795</v>
      </c>
      <c r="C1274" s="15" t="s">
        <v>173</v>
      </c>
      <c r="D1274" s="15" t="s">
        <v>28</v>
      </c>
      <c r="E1274" s="15" t="s">
        <v>819</v>
      </c>
      <c r="F1274" s="15" t="s">
        <v>351</v>
      </c>
      <c r="G1274" s="70"/>
      <c r="H1274" s="70"/>
      <c r="I1274" s="70"/>
      <c r="J1274" s="1"/>
    </row>
    <row r="1275" spans="1:20" s="18" customFormat="1" ht="63" hidden="1" customHeight="1">
      <c r="A1275" s="82" t="s">
        <v>81</v>
      </c>
      <c r="B1275" s="49">
        <v>793</v>
      </c>
      <c r="C1275" s="15" t="s">
        <v>173</v>
      </c>
      <c r="D1275" s="15" t="s">
        <v>19</v>
      </c>
      <c r="E1275" s="15" t="s">
        <v>80</v>
      </c>
      <c r="F1275" s="15"/>
      <c r="G1275" s="70">
        <f t="shared" ref="G1275:I1276" si="363">G1276</f>
        <v>0</v>
      </c>
      <c r="H1275" s="70">
        <f t="shared" si="363"/>
        <v>0</v>
      </c>
      <c r="I1275" s="70">
        <f t="shared" si="363"/>
        <v>0</v>
      </c>
      <c r="P1275" s="17"/>
      <c r="Q1275" s="17"/>
      <c r="R1275" s="17"/>
      <c r="S1275" s="17"/>
      <c r="T1275" s="17"/>
    </row>
    <row r="1276" spans="1:20" ht="30.75" hidden="1" customHeight="1">
      <c r="A1276" s="16" t="s">
        <v>36</v>
      </c>
      <c r="B1276" s="49">
        <v>793</v>
      </c>
      <c r="C1276" s="15" t="s">
        <v>173</v>
      </c>
      <c r="D1276" s="15" t="s">
        <v>19</v>
      </c>
      <c r="E1276" s="15" t="s">
        <v>80</v>
      </c>
      <c r="F1276" s="15" t="s">
        <v>37</v>
      </c>
      <c r="G1276" s="70">
        <f t="shared" si="363"/>
        <v>0</v>
      </c>
      <c r="H1276" s="70">
        <f t="shared" si="363"/>
        <v>0</v>
      </c>
      <c r="I1276" s="70">
        <f t="shared" si="363"/>
        <v>0</v>
      </c>
      <c r="J1276" s="1"/>
    </row>
    <row r="1277" spans="1:20" s="18" customFormat="1" ht="34.5" hidden="1" customHeight="1">
      <c r="A1277" s="16" t="s">
        <v>38</v>
      </c>
      <c r="B1277" s="49">
        <v>793</v>
      </c>
      <c r="C1277" s="15" t="s">
        <v>173</v>
      </c>
      <c r="D1277" s="15" t="s">
        <v>19</v>
      </c>
      <c r="E1277" s="15" t="s">
        <v>80</v>
      </c>
      <c r="F1277" s="15" t="s">
        <v>39</v>
      </c>
      <c r="G1277" s="70"/>
      <c r="H1277" s="70"/>
      <c r="I1277" s="70"/>
      <c r="P1277" s="17"/>
      <c r="Q1277" s="17"/>
      <c r="R1277" s="17"/>
      <c r="S1277" s="17"/>
      <c r="T1277" s="17"/>
    </row>
    <row r="1278" spans="1:20" s="18" customFormat="1" ht="20.25" hidden="1" customHeight="1">
      <c r="A1278" s="16" t="s">
        <v>83</v>
      </c>
      <c r="B1278" s="49">
        <v>793</v>
      </c>
      <c r="C1278" s="15" t="s">
        <v>173</v>
      </c>
      <c r="D1278" s="15" t="s">
        <v>19</v>
      </c>
      <c r="E1278" s="15" t="s">
        <v>82</v>
      </c>
      <c r="F1278" s="15"/>
      <c r="G1278" s="70">
        <f t="shared" ref="G1278:I1279" si="364">G1279</f>
        <v>0</v>
      </c>
      <c r="H1278" s="70">
        <f t="shared" si="364"/>
        <v>0</v>
      </c>
      <c r="I1278" s="70">
        <f t="shared" si="364"/>
        <v>0</v>
      </c>
      <c r="P1278" s="17"/>
      <c r="Q1278" s="17"/>
      <c r="R1278" s="17"/>
      <c r="S1278" s="17"/>
      <c r="T1278" s="17"/>
    </row>
    <row r="1279" spans="1:20" ht="30.75" hidden="1" customHeight="1">
      <c r="A1279" s="16" t="s">
        <v>36</v>
      </c>
      <c r="B1279" s="49">
        <v>793</v>
      </c>
      <c r="C1279" s="15" t="s">
        <v>173</v>
      </c>
      <c r="D1279" s="15" t="s">
        <v>19</v>
      </c>
      <c r="E1279" s="15" t="s">
        <v>82</v>
      </c>
      <c r="F1279" s="15" t="s">
        <v>37</v>
      </c>
      <c r="G1279" s="70">
        <f t="shared" si="364"/>
        <v>0</v>
      </c>
      <c r="H1279" s="70">
        <f t="shared" si="364"/>
        <v>0</v>
      </c>
      <c r="I1279" s="70">
        <f t="shared" si="364"/>
        <v>0</v>
      </c>
      <c r="J1279" s="1"/>
    </row>
    <row r="1280" spans="1:20" s="18" customFormat="1" ht="34.5" hidden="1" customHeight="1">
      <c r="A1280" s="16" t="s">
        <v>38</v>
      </c>
      <c r="B1280" s="49">
        <v>793</v>
      </c>
      <c r="C1280" s="15" t="s">
        <v>173</v>
      </c>
      <c r="D1280" s="15" t="s">
        <v>19</v>
      </c>
      <c r="E1280" s="15" t="s">
        <v>82</v>
      </c>
      <c r="F1280" s="15" t="s">
        <v>39</v>
      </c>
      <c r="G1280" s="70"/>
      <c r="H1280" s="70"/>
      <c r="I1280" s="70"/>
      <c r="P1280" s="17"/>
      <c r="Q1280" s="17"/>
      <c r="R1280" s="17"/>
      <c r="S1280" s="17"/>
      <c r="T1280" s="17"/>
    </row>
    <row r="1281" spans="1:20" s="18" customFormat="1" ht="20.25" hidden="1" customHeight="1">
      <c r="A1281" s="16" t="s">
        <v>85</v>
      </c>
      <c r="B1281" s="49">
        <v>793</v>
      </c>
      <c r="C1281" s="15" t="s">
        <v>173</v>
      </c>
      <c r="D1281" s="15" t="s">
        <v>19</v>
      </c>
      <c r="E1281" s="15" t="s">
        <v>84</v>
      </c>
      <c r="F1281" s="15"/>
      <c r="G1281" s="70">
        <f t="shared" ref="G1281:I1282" si="365">G1282</f>
        <v>0</v>
      </c>
      <c r="H1281" s="70">
        <f t="shared" si="365"/>
        <v>0</v>
      </c>
      <c r="I1281" s="70">
        <f t="shared" si="365"/>
        <v>0</v>
      </c>
      <c r="P1281" s="17"/>
      <c r="Q1281" s="17"/>
      <c r="R1281" s="17"/>
      <c r="S1281" s="17"/>
      <c r="T1281" s="17"/>
    </row>
    <row r="1282" spans="1:20" ht="30.75" hidden="1" customHeight="1">
      <c r="A1282" s="16" t="s">
        <v>36</v>
      </c>
      <c r="B1282" s="49">
        <v>793</v>
      </c>
      <c r="C1282" s="15" t="s">
        <v>173</v>
      </c>
      <c r="D1282" s="15" t="s">
        <v>19</v>
      </c>
      <c r="E1282" s="15" t="s">
        <v>84</v>
      </c>
      <c r="F1282" s="15" t="s">
        <v>37</v>
      </c>
      <c r="G1282" s="70">
        <f t="shared" si="365"/>
        <v>0</v>
      </c>
      <c r="H1282" s="70">
        <f t="shared" si="365"/>
        <v>0</v>
      </c>
      <c r="I1282" s="70">
        <f t="shared" si="365"/>
        <v>0</v>
      </c>
      <c r="J1282" s="1"/>
    </row>
    <row r="1283" spans="1:20" s="18" customFormat="1" ht="34.5" hidden="1" customHeight="1">
      <c r="A1283" s="16" t="s">
        <v>38</v>
      </c>
      <c r="B1283" s="49">
        <v>793</v>
      </c>
      <c r="C1283" s="15" t="s">
        <v>173</v>
      </c>
      <c r="D1283" s="15" t="s">
        <v>19</v>
      </c>
      <c r="E1283" s="15" t="s">
        <v>84</v>
      </c>
      <c r="F1283" s="15" t="s">
        <v>39</v>
      </c>
      <c r="G1283" s="70"/>
      <c r="H1283" s="70"/>
      <c r="I1283" s="70"/>
      <c r="P1283" s="17"/>
      <c r="Q1283" s="17"/>
      <c r="R1283" s="17"/>
      <c r="S1283" s="17"/>
      <c r="T1283" s="17"/>
    </row>
    <row r="1284" spans="1:20" ht="73.5" customHeight="1">
      <c r="A1284" s="37" t="s">
        <v>716</v>
      </c>
      <c r="B1284" s="49">
        <v>793</v>
      </c>
      <c r="C1284" s="15" t="s">
        <v>173</v>
      </c>
      <c r="D1284" s="15" t="s">
        <v>173</v>
      </c>
      <c r="E1284" s="15" t="s">
        <v>723</v>
      </c>
      <c r="F1284" s="15"/>
      <c r="G1284" s="70">
        <f>G1285</f>
        <v>2017013.5199999996</v>
      </c>
      <c r="H1284" s="8">
        <v>0</v>
      </c>
      <c r="I1284" s="8">
        <v>0</v>
      </c>
      <c r="J1284" s="178"/>
      <c r="K1284" s="186"/>
      <c r="L1284" s="186"/>
      <c r="M1284" s="186"/>
      <c r="N1284" s="186"/>
      <c r="O1284" s="186"/>
      <c r="P1284" s="186"/>
      <c r="Q1284" s="186"/>
      <c r="R1284" s="186"/>
      <c r="S1284" s="1"/>
      <c r="T1284" s="1"/>
    </row>
    <row r="1285" spans="1:20" ht="21" customHeight="1">
      <c r="A1285" s="82" t="s">
        <v>156</v>
      </c>
      <c r="B1285" s="49">
        <v>793</v>
      </c>
      <c r="C1285" s="15" t="s">
        <v>173</v>
      </c>
      <c r="D1285" s="15" t="s">
        <v>173</v>
      </c>
      <c r="E1285" s="15" t="s">
        <v>723</v>
      </c>
      <c r="F1285" s="15" t="s">
        <v>157</v>
      </c>
      <c r="G1285" s="70">
        <f>G1286</f>
        <v>2017013.5199999996</v>
      </c>
      <c r="H1285" s="8">
        <v>0</v>
      </c>
      <c r="I1285" s="8">
        <v>0</v>
      </c>
      <c r="J1285" s="178"/>
      <c r="K1285" s="186"/>
      <c r="L1285" s="186"/>
      <c r="M1285" s="186"/>
      <c r="N1285" s="186"/>
      <c r="O1285" s="186"/>
      <c r="P1285" s="186"/>
      <c r="Q1285" s="186"/>
      <c r="R1285" s="186"/>
      <c r="S1285" s="1"/>
      <c r="T1285" s="1"/>
    </row>
    <row r="1286" spans="1:20" ht="20.25" customHeight="1">
      <c r="A1286" s="82" t="s">
        <v>178</v>
      </c>
      <c r="B1286" s="49">
        <v>793</v>
      </c>
      <c r="C1286" s="15" t="s">
        <v>173</v>
      </c>
      <c r="D1286" s="15" t="s">
        <v>173</v>
      </c>
      <c r="E1286" s="15" t="s">
        <v>723</v>
      </c>
      <c r="F1286" s="15" t="s">
        <v>179</v>
      </c>
      <c r="G1286" s="87">
        <f>'прил 5,'!G1586</f>
        <v>2017013.5199999996</v>
      </c>
      <c r="H1286" s="8">
        <v>0</v>
      </c>
      <c r="I1286" s="8">
        <v>0</v>
      </c>
      <c r="J1286" s="178"/>
      <c r="K1286" s="186"/>
      <c r="L1286" s="186"/>
      <c r="M1286" s="186"/>
      <c r="N1286" s="186"/>
      <c r="O1286" s="186"/>
      <c r="P1286" s="186"/>
      <c r="Q1286" s="186"/>
      <c r="R1286" s="186"/>
      <c r="S1286" s="1"/>
      <c r="T1286" s="1"/>
    </row>
    <row r="1287" spans="1:20" ht="25.5" hidden="1" customHeight="1">
      <c r="A1287" s="37" t="s">
        <v>628</v>
      </c>
      <c r="B1287" s="49">
        <v>793</v>
      </c>
      <c r="C1287" s="15" t="s">
        <v>173</v>
      </c>
      <c r="D1287" s="15" t="s">
        <v>173</v>
      </c>
      <c r="E1287" s="15" t="s">
        <v>625</v>
      </c>
      <c r="F1287" s="15"/>
      <c r="G1287" s="87">
        <f>G1288</f>
        <v>0</v>
      </c>
      <c r="H1287" s="8">
        <v>0</v>
      </c>
      <c r="I1287" s="8">
        <v>0</v>
      </c>
      <c r="J1287" s="178"/>
      <c r="K1287" s="186"/>
      <c r="L1287" s="186"/>
      <c r="M1287" s="186"/>
      <c r="N1287" s="186"/>
      <c r="O1287" s="186"/>
      <c r="P1287" s="186"/>
      <c r="Q1287" s="186"/>
      <c r="R1287" s="186"/>
      <c r="S1287" s="1"/>
      <c r="T1287" s="1"/>
    </row>
    <row r="1288" spans="1:20" ht="39.75" hidden="1" customHeight="1">
      <c r="A1288" s="37" t="s">
        <v>627</v>
      </c>
      <c r="B1288" s="49">
        <v>793</v>
      </c>
      <c r="C1288" s="15" t="s">
        <v>173</v>
      </c>
      <c r="D1288" s="15" t="s">
        <v>173</v>
      </c>
      <c r="E1288" s="15" t="s">
        <v>626</v>
      </c>
      <c r="F1288" s="15"/>
      <c r="G1288" s="87">
        <f>G1289</f>
        <v>0</v>
      </c>
      <c r="H1288" s="8">
        <v>0</v>
      </c>
      <c r="I1288" s="8">
        <v>0</v>
      </c>
      <c r="J1288" s="178"/>
      <c r="K1288" s="186"/>
      <c r="L1288" s="186"/>
      <c r="M1288" s="186"/>
      <c r="N1288" s="186"/>
      <c r="O1288" s="186"/>
      <c r="P1288" s="186"/>
      <c r="Q1288" s="186"/>
      <c r="R1288" s="186"/>
      <c r="S1288" s="1"/>
      <c r="T1288" s="1"/>
    </row>
    <row r="1289" spans="1:20" ht="30.75" hidden="1" customHeight="1">
      <c r="A1289" s="16" t="s">
        <v>96</v>
      </c>
      <c r="B1289" s="49">
        <v>793</v>
      </c>
      <c r="C1289" s="15" t="s">
        <v>173</v>
      </c>
      <c r="D1289" s="15" t="s">
        <v>173</v>
      </c>
      <c r="E1289" s="15" t="s">
        <v>626</v>
      </c>
      <c r="F1289" s="15" t="s">
        <v>349</v>
      </c>
      <c r="G1289" s="87">
        <f>G1290</f>
        <v>0</v>
      </c>
      <c r="H1289" s="8">
        <v>0</v>
      </c>
      <c r="I1289" s="8">
        <v>0</v>
      </c>
      <c r="J1289" s="178"/>
      <c r="K1289" s="186"/>
      <c r="L1289" s="186"/>
      <c r="M1289" s="186"/>
      <c r="N1289" s="186"/>
      <c r="O1289" s="186"/>
      <c r="P1289" s="186"/>
      <c r="Q1289" s="186"/>
      <c r="R1289" s="186"/>
      <c r="S1289" s="1"/>
      <c r="T1289" s="1"/>
    </row>
    <row r="1290" spans="1:20" ht="30.75" hidden="1" customHeight="1">
      <c r="A1290" s="16" t="s">
        <v>350</v>
      </c>
      <c r="B1290" s="49">
        <v>793</v>
      </c>
      <c r="C1290" s="15" t="s">
        <v>173</v>
      </c>
      <c r="D1290" s="15" t="s">
        <v>173</v>
      </c>
      <c r="E1290" s="15" t="s">
        <v>626</v>
      </c>
      <c r="F1290" s="15" t="s">
        <v>351</v>
      </c>
      <c r="G1290" s="87"/>
      <c r="H1290" s="8">
        <v>0</v>
      </c>
      <c r="I1290" s="8">
        <v>0</v>
      </c>
      <c r="J1290" s="178"/>
      <c r="K1290" s="186"/>
      <c r="L1290" s="186"/>
      <c r="M1290" s="186"/>
      <c r="N1290" s="186"/>
      <c r="O1290" s="186"/>
      <c r="P1290" s="186"/>
      <c r="Q1290" s="186"/>
      <c r="R1290" s="186"/>
      <c r="S1290" s="1"/>
      <c r="T1290" s="1"/>
    </row>
    <row r="1291" spans="1:20" ht="55.5" hidden="1" customHeight="1">
      <c r="A1291" s="139" t="s">
        <v>741</v>
      </c>
      <c r="B1291" s="49">
        <v>793</v>
      </c>
      <c r="C1291" s="15" t="s">
        <v>173</v>
      </c>
      <c r="D1291" s="15" t="s">
        <v>173</v>
      </c>
      <c r="E1291" s="15" t="s">
        <v>725</v>
      </c>
      <c r="F1291" s="15"/>
      <c r="G1291" s="87">
        <f>G1292+G1294</f>
        <v>0</v>
      </c>
      <c r="H1291" s="70">
        <f t="shared" ref="H1291:I1291" si="366">H1292+H1294</f>
        <v>0</v>
      </c>
      <c r="I1291" s="70">
        <f t="shared" si="366"/>
        <v>0</v>
      </c>
      <c r="J1291" s="177"/>
      <c r="K1291" s="186"/>
      <c r="L1291" s="186"/>
      <c r="M1291" s="186"/>
      <c r="N1291" s="186"/>
      <c r="O1291" s="186"/>
      <c r="P1291" s="186"/>
      <c r="Q1291" s="186"/>
      <c r="R1291" s="186"/>
      <c r="S1291" s="1"/>
      <c r="T1291" s="1"/>
    </row>
    <row r="1292" spans="1:20" ht="27" hidden="1" customHeight="1">
      <c r="A1292" s="16" t="s">
        <v>96</v>
      </c>
      <c r="B1292" s="49">
        <v>793</v>
      </c>
      <c r="C1292" s="15" t="s">
        <v>173</v>
      </c>
      <c r="D1292" s="15" t="s">
        <v>173</v>
      </c>
      <c r="E1292" s="15" t="s">
        <v>611</v>
      </c>
      <c r="F1292" s="15" t="s">
        <v>349</v>
      </c>
      <c r="G1292" s="87">
        <f>G1293</f>
        <v>0</v>
      </c>
      <c r="H1292" s="8">
        <f>H1293</f>
        <v>0</v>
      </c>
      <c r="I1292" s="8">
        <v>0</v>
      </c>
      <c r="J1292" s="178"/>
      <c r="K1292" s="186"/>
      <c r="L1292" s="186"/>
      <c r="M1292" s="186"/>
      <c r="N1292" s="186"/>
      <c r="O1292" s="186"/>
      <c r="P1292" s="186"/>
      <c r="Q1292" s="186"/>
      <c r="R1292" s="186"/>
      <c r="S1292" s="1"/>
      <c r="T1292" s="1"/>
    </row>
    <row r="1293" spans="1:20" ht="18.75" hidden="1" customHeight="1">
      <c r="A1293" s="82" t="s">
        <v>350</v>
      </c>
      <c r="B1293" s="49">
        <v>793</v>
      </c>
      <c r="C1293" s="15" t="s">
        <v>173</v>
      </c>
      <c r="D1293" s="15" t="s">
        <v>173</v>
      </c>
      <c r="E1293" s="15" t="s">
        <v>611</v>
      </c>
      <c r="F1293" s="15" t="s">
        <v>351</v>
      </c>
      <c r="G1293" s="87"/>
      <c r="H1293" s="8"/>
      <c r="I1293" s="8">
        <v>0</v>
      </c>
      <c r="J1293" s="178"/>
      <c r="K1293" s="186"/>
      <c r="L1293" s="186"/>
      <c r="M1293" s="186"/>
      <c r="N1293" s="186"/>
      <c r="O1293" s="186"/>
      <c r="P1293" s="186"/>
      <c r="Q1293" s="186"/>
      <c r="R1293" s="186"/>
      <c r="S1293" s="1"/>
      <c r="T1293" s="1"/>
    </row>
    <row r="1294" spans="1:20" ht="39.75" hidden="1" customHeight="1">
      <c r="A1294" s="82" t="s">
        <v>36</v>
      </c>
      <c r="B1294" s="49">
        <v>793</v>
      </c>
      <c r="C1294" s="15" t="s">
        <v>173</v>
      </c>
      <c r="D1294" s="15" t="s">
        <v>173</v>
      </c>
      <c r="E1294" s="15" t="s">
        <v>726</v>
      </c>
      <c r="F1294" s="15" t="s">
        <v>349</v>
      </c>
      <c r="G1294" s="87">
        <f>G1295</f>
        <v>0</v>
      </c>
      <c r="H1294" s="8"/>
      <c r="I1294" s="8"/>
      <c r="J1294" s="178"/>
      <c r="K1294" s="186"/>
      <c r="L1294" s="186"/>
      <c r="M1294" s="186"/>
      <c r="N1294" s="186"/>
      <c r="O1294" s="186"/>
      <c r="P1294" s="186"/>
      <c r="Q1294" s="186"/>
      <c r="R1294" s="186"/>
      <c r="S1294" s="1"/>
      <c r="T1294" s="1"/>
    </row>
    <row r="1295" spans="1:20" ht="39" hidden="1" customHeight="1">
      <c r="A1295" s="16" t="s">
        <v>38</v>
      </c>
      <c r="B1295" s="49">
        <v>793</v>
      </c>
      <c r="C1295" s="15" t="s">
        <v>173</v>
      </c>
      <c r="D1295" s="15" t="s">
        <v>173</v>
      </c>
      <c r="E1295" s="15" t="s">
        <v>725</v>
      </c>
      <c r="F1295" s="15" t="s">
        <v>351</v>
      </c>
      <c r="G1295" s="87">
        <f>358104.72+400000-758104.72</f>
        <v>0</v>
      </c>
      <c r="H1295" s="8"/>
      <c r="I1295" s="8"/>
      <c r="J1295" s="178"/>
      <c r="K1295" s="186"/>
      <c r="L1295" s="186"/>
      <c r="M1295" s="186"/>
      <c r="N1295" s="186"/>
      <c r="O1295" s="186"/>
      <c r="P1295" s="186"/>
      <c r="Q1295" s="186"/>
      <c r="R1295" s="186"/>
      <c r="S1295" s="1"/>
      <c r="T1295" s="1"/>
    </row>
    <row r="1296" spans="1:20" ht="57" hidden="1" customHeight="1">
      <c r="A1296" s="37" t="s">
        <v>741</v>
      </c>
      <c r="B1296" s="49">
        <v>793</v>
      </c>
      <c r="C1296" s="15" t="s">
        <v>173</v>
      </c>
      <c r="D1296" s="15" t="s">
        <v>173</v>
      </c>
      <c r="E1296" s="15" t="s">
        <v>611</v>
      </c>
      <c r="F1296" s="15"/>
      <c r="G1296" s="87">
        <f>G1297+G1299</f>
        <v>0</v>
      </c>
      <c r="H1296" s="70">
        <f t="shared" ref="H1296:I1296" si="367">H1297+H1299</f>
        <v>0</v>
      </c>
      <c r="I1296" s="70">
        <f t="shared" si="367"/>
        <v>0</v>
      </c>
      <c r="J1296" s="177"/>
      <c r="K1296" s="186"/>
      <c r="L1296" s="186"/>
      <c r="M1296" s="186"/>
      <c r="N1296" s="186"/>
      <c r="O1296" s="186"/>
      <c r="P1296" s="186"/>
      <c r="Q1296" s="186"/>
      <c r="R1296" s="186"/>
      <c r="S1296" s="1"/>
      <c r="T1296" s="1"/>
    </row>
    <row r="1297" spans="1:20" ht="27" hidden="1" customHeight="1">
      <c r="A1297" s="16" t="s">
        <v>96</v>
      </c>
      <c r="B1297" s="49">
        <v>793</v>
      </c>
      <c r="C1297" s="15" t="s">
        <v>173</v>
      </c>
      <c r="D1297" s="15" t="s">
        <v>173</v>
      </c>
      <c r="E1297" s="15" t="s">
        <v>611</v>
      </c>
      <c r="F1297" s="15" t="s">
        <v>349</v>
      </c>
      <c r="G1297" s="87">
        <f>G1298</f>
        <v>0</v>
      </c>
      <c r="H1297" s="8">
        <f>H1298</f>
        <v>0</v>
      </c>
      <c r="I1297" s="8">
        <v>0</v>
      </c>
      <c r="J1297" s="178"/>
      <c r="K1297" s="186"/>
      <c r="L1297" s="186"/>
      <c r="M1297" s="186"/>
      <c r="N1297" s="186"/>
      <c r="O1297" s="186"/>
      <c r="P1297" s="186"/>
      <c r="Q1297" s="186"/>
      <c r="R1297" s="186"/>
      <c r="S1297" s="1"/>
      <c r="T1297" s="1"/>
    </row>
    <row r="1298" spans="1:20" ht="18.75" hidden="1" customHeight="1">
      <c r="A1298" s="82" t="s">
        <v>350</v>
      </c>
      <c r="B1298" s="49">
        <v>793</v>
      </c>
      <c r="C1298" s="15" t="s">
        <v>173</v>
      </c>
      <c r="D1298" s="15" t="s">
        <v>173</v>
      </c>
      <c r="E1298" s="15" t="s">
        <v>611</v>
      </c>
      <c r="F1298" s="15" t="s">
        <v>351</v>
      </c>
      <c r="G1298" s="87"/>
      <c r="H1298" s="8"/>
      <c r="I1298" s="8">
        <v>0</v>
      </c>
      <c r="J1298" s="178"/>
      <c r="K1298" s="186"/>
      <c r="L1298" s="186"/>
      <c r="M1298" s="186"/>
      <c r="N1298" s="186"/>
      <c r="O1298" s="186"/>
      <c r="P1298" s="186"/>
      <c r="Q1298" s="186"/>
      <c r="R1298" s="186"/>
      <c r="S1298" s="1"/>
      <c r="T1298" s="1"/>
    </row>
    <row r="1299" spans="1:20" ht="30" hidden="1" customHeight="1">
      <c r="A1299" s="82" t="s">
        <v>36</v>
      </c>
      <c r="B1299" s="49">
        <v>793</v>
      </c>
      <c r="C1299" s="15" t="s">
        <v>173</v>
      </c>
      <c r="D1299" s="15" t="s">
        <v>173</v>
      </c>
      <c r="E1299" s="15" t="s">
        <v>611</v>
      </c>
      <c r="F1299" s="15" t="s">
        <v>349</v>
      </c>
      <c r="G1299" s="87">
        <f>G1300</f>
        <v>0</v>
      </c>
      <c r="H1299" s="8">
        <v>0</v>
      </c>
      <c r="I1299" s="8">
        <v>0</v>
      </c>
      <c r="J1299" s="178"/>
      <c r="K1299" s="186"/>
      <c r="L1299" s="186"/>
      <c r="M1299" s="186"/>
      <c r="N1299" s="186"/>
      <c r="O1299" s="186"/>
      <c r="P1299" s="186"/>
      <c r="Q1299" s="186"/>
      <c r="R1299" s="186"/>
      <c r="S1299" s="1"/>
      <c r="T1299" s="1"/>
    </row>
    <row r="1300" spans="1:20" ht="30.75" hidden="1" customHeight="1">
      <c r="A1300" s="16" t="s">
        <v>38</v>
      </c>
      <c r="B1300" s="49">
        <v>793</v>
      </c>
      <c r="C1300" s="15" t="s">
        <v>173</v>
      </c>
      <c r="D1300" s="15" t="s">
        <v>173</v>
      </c>
      <c r="E1300" s="15" t="s">
        <v>611</v>
      </c>
      <c r="F1300" s="15" t="s">
        <v>351</v>
      </c>
      <c r="G1300" s="87"/>
      <c r="H1300" s="8"/>
      <c r="I1300" s="8"/>
      <c r="J1300" s="178"/>
      <c r="K1300" s="186"/>
      <c r="L1300" s="186"/>
      <c r="M1300" s="186"/>
      <c r="N1300" s="186"/>
      <c r="O1300" s="186"/>
      <c r="P1300" s="186"/>
      <c r="Q1300" s="186"/>
      <c r="R1300" s="186"/>
      <c r="S1300" s="1"/>
      <c r="T1300" s="1"/>
    </row>
    <row r="1301" spans="1:20" s="3" customFormat="1" ht="33.75" hidden="1" customHeight="1">
      <c r="A1301" s="16" t="s">
        <v>510</v>
      </c>
      <c r="B1301" s="49">
        <v>793</v>
      </c>
      <c r="C1301" s="15" t="s">
        <v>173</v>
      </c>
      <c r="D1301" s="15" t="s">
        <v>173</v>
      </c>
      <c r="E1301" s="15" t="s">
        <v>511</v>
      </c>
      <c r="F1301" s="15"/>
      <c r="G1301" s="87">
        <f>G1302</f>
        <v>0</v>
      </c>
      <c r="H1301" s="8">
        <v>0</v>
      </c>
      <c r="I1301" s="8">
        <v>0</v>
      </c>
      <c r="J1301" s="178"/>
      <c r="K1301" s="199"/>
      <c r="L1301" s="199"/>
      <c r="M1301" s="199"/>
      <c r="N1301" s="199"/>
      <c r="O1301" s="199"/>
      <c r="P1301" s="199"/>
      <c r="Q1301" s="199"/>
      <c r="R1301" s="199"/>
    </row>
    <row r="1302" spans="1:20" s="3" customFormat="1" ht="38.25" hidden="1" customHeight="1">
      <c r="A1302" s="16" t="s">
        <v>36</v>
      </c>
      <c r="B1302" s="49">
        <v>793</v>
      </c>
      <c r="C1302" s="15" t="s">
        <v>173</v>
      </c>
      <c r="D1302" s="15" t="s">
        <v>173</v>
      </c>
      <c r="E1302" s="15" t="s">
        <v>511</v>
      </c>
      <c r="F1302" s="15" t="s">
        <v>37</v>
      </c>
      <c r="G1302" s="70">
        <f>G1303</f>
        <v>0</v>
      </c>
      <c r="H1302" s="8">
        <v>0</v>
      </c>
      <c r="I1302" s="8">
        <v>0</v>
      </c>
      <c r="J1302" s="178"/>
      <c r="K1302" s="199"/>
      <c r="L1302" s="199"/>
      <c r="M1302" s="199"/>
      <c r="N1302" s="199"/>
      <c r="O1302" s="199"/>
      <c r="P1302" s="199"/>
      <c r="Q1302" s="199"/>
      <c r="R1302" s="199"/>
    </row>
    <row r="1303" spans="1:20" s="3" customFormat="1" ht="38.25" hidden="1" customHeight="1">
      <c r="A1303" s="16" t="s">
        <v>38</v>
      </c>
      <c r="B1303" s="49">
        <v>793</v>
      </c>
      <c r="C1303" s="15" t="s">
        <v>173</v>
      </c>
      <c r="D1303" s="15" t="s">
        <v>173</v>
      </c>
      <c r="E1303" s="15" t="s">
        <v>511</v>
      </c>
      <c r="F1303" s="15" t="s">
        <v>39</v>
      </c>
      <c r="G1303" s="70"/>
      <c r="H1303" s="8">
        <v>0</v>
      </c>
      <c r="I1303" s="8">
        <v>0</v>
      </c>
      <c r="J1303" s="178"/>
      <c r="K1303" s="199"/>
      <c r="L1303" s="199"/>
      <c r="M1303" s="199"/>
      <c r="N1303" s="199"/>
      <c r="O1303" s="199"/>
      <c r="P1303" s="199"/>
      <c r="Q1303" s="199"/>
      <c r="R1303" s="199"/>
    </row>
    <row r="1304" spans="1:20" ht="85.5" customHeight="1">
      <c r="A1304" s="37" t="s">
        <v>826</v>
      </c>
      <c r="B1304" s="49">
        <v>793</v>
      </c>
      <c r="C1304" s="15" t="s">
        <v>173</v>
      </c>
      <c r="D1304" s="15" t="s">
        <v>173</v>
      </c>
      <c r="E1304" s="15" t="s">
        <v>722</v>
      </c>
      <c r="F1304" s="15"/>
      <c r="G1304" s="70">
        <f>G1305</f>
        <v>675000</v>
      </c>
      <c r="H1304" s="8">
        <v>0</v>
      </c>
      <c r="I1304" s="8">
        <v>0</v>
      </c>
      <c r="J1304" s="178"/>
      <c r="K1304" s="186"/>
      <c r="L1304" s="186"/>
      <c r="M1304" s="186"/>
      <c r="N1304" s="186"/>
      <c r="O1304" s="186"/>
      <c r="P1304" s="186"/>
      <c r="Q1304" s="186"/>
      <c r="R1304" s="186"/>
      <c r="S1304" s="1"/>
      <c r="T1304" s="1"/>
    </row>
    <row r="1305" spans="1:20" ht="21" customHeight="1">
      <c r="A1305" s="82" t="s">
        <v>156</v>
      </c>
      <c r="B1305" s="49">
        <v>793</v>
      </c>
      <c r="C1305" s="15" t="s">
        <v>173</v>
      </c>
      <c r="D1305" s="15" t="s">
        <v>173</v>
      </c>
      <c r="E1305" s="15" t="s">
        <v>722</v>
      </c>
      <c r="F1305" s="15" t="s">
        <v>157</v>
      </c>
      <c r="G1305" s="70">
        <f>G1306</f>
        <v>675000</v>
      </c>
      <c r="H1305" s="8">
        <v>0</v>
      </c>
      <c r="I1305" s="8">
        <v>0</v>
      </c>
      <c r="J1305" s="178"/>
      <c r="K1305" s="186"/>
      <c r="L1305" s="186"/>
      <c r="M1305" s="186"/>
      <c r="N1305" s="186"/>
      <c r="O1305" s="186"/>
      <c r="P1305" s="186"/>
      <c r="Q1305" s="186"/>
      <c r="R1305" s="186"/>
      <c r="S1305" s="1"/>
      <c r="T1305" s="1"/>
    </row>
    <row r="1306" spans="1:20" ht="20.25" customHeight="1">
      <c r="A1306" s="82" t="s">
        <v>178</v>
      </c>
      <c r="B1306" s="49">
        <v>793</v>
      </c>
      <c r="C1306" s="15" t="s">
        <v>173</v>
      </c>
      <c r="D1306" s="15" t="s">
        <v>173</v>
      </c>
      <c r="E1306" s="15" t="s">
        <v>722</v>
      </c>
      <c r="F1306" s="15" t="s">
        <v>179</v>
      </c>
      <c r="G1306" s="87">
        <f>'прил 5,'!G1609</f>
        <v>675000</v>
      </c>
      <c r="H1306" s="8">
        <v>0</v>
      </c>
      <c r="I1306" s="8">
        <v>0</v>
      </c>
      <c r="J1306" s="178"/>
      <c r="K1306" s="186"/>
      <c r="L1306" s="186"/>
      <c r="M1306" s="186"/>
      <c r="N1306" s="186"/>
      <c r="O1306" s="186"/>
      <c r="P1306" s="186"/>
      <c r="Q1306" s="186"/>
      <c r="R1306" s="186"/>
      <c r="S1306" s="1"/>
      <c r="T1306" s="1"/>
    </row>
    <row r="1307" spans="1:20" ht="67.5" customHeight="1">
      <c r="A1307" s="37" t="s">
        <v>1013</v>
      </c>
      <c r="B1307" s="49">
        <v>793</v>
      </c>
      <c r="C1307" s="15" t="s">
        <v>173</v>
      </c>
      <c r="D1307" s="15" t="s">
        <v>173</v>
      </c>
      <c r="E1307" s="15" t="s">
        <v>611</v>
      </c>
      <c r="F1307" s="15"/>
      <c r="G1307" s="70">
        <f>G1308</f>
        <v>1652729.41</v>
      </c>
      <c r="H1307" s="8">
        <v>0</v>
      </c>
      <c r="I1307" s="8">
        <v>0</v>
      </c>
      <c r="J1307" s="178"/>
      <c r="K1307" s="186"/>
      <c r="L1307" s="186"/>
      <c r="M1307" s="186"/>
      <c r="N1307" s="186"/>
      <c r="O1307" s="186"/>
      <c r="P1307" s="186"/>
      <c r="Q1307" s="186"/>
      <c r="R1307" s="186"/>
      <c r="S1307" s="1"/>
      <c r="T1307" s="1"/>
    </row>
    <row r="1308" spans="1:20" ht="44.25" customHeight="1">
      <c r="A1308" s="82" t="s">
        <v>96</v>
      </c>
      <c r="B1308" s="49">
        <v>793</v>
      </c>
      <c r="C1308" s="15" t="s">
        <v>173</v>
      </c>
      <c r="D1308" s="15" t="s">
        <v>173</v>
      </c>
      <c r="E1308" s="15" t="s">
        <v>611</v>
      </c>
      <c r="F1308" s="15" t="s">
        <v>349</v>
      </c>
      <c r="G1308" s="70">
        <f>G1309</f>
        <v>1652729.41</v>
      </c>
      <c r="H1308" s="8">
        <v>0</v>
      </c>
      <c r="I1308" s="8">
        <v>0</v>
      </c>
      <c r="J1308" s="178"/>
      <c r="K1308" s="186"/>
      <c r="L1308" s="186"/>
      <c r="M1308" s="186"/>
      <c r="N1308" s="186"/>
      <c r="O1308" s="186"/>
      <c r="P1308" s="186"/>
      <c r="Q1308" s="186"/>
      <c r="R1308" s="186"/>
      <c r="S1308" s="1"/>
      <c r="T1308" s="1"/>
    </row>
    <row r="1309" spans="1:20" ht="20.25" customHeight="1">
      <c r="A1309" s="82" t="s">
        <v>350</v>
      </c>
      <c r="B1309" s="49">
        <v>793</v>
      </c>
      <c r="C1309" s="15" t="s">
        <v>173</v>
      </c>
      <c r="D1309" s="15" t="s">
        <v>173</v>
      </c>
      <c r="E1309" s="15" t="s">
        <v>611</v>
      </c>
      <c r="F1309" s="15" t="s">
        <v>351</v>
      </c>
      <c r="G1309" s="87">
        <f>'прил 5,'!G1606</f>
        <v>1652729.41</v>
      </c>
      <c r="H1309" s="8">
        <v>0</v>
      </c>
      <c r="I1309" s="8">
        <v>0</v>
      </c>
      <c r="J1309" s="178"/>
      <c r="K1309" s="186"/>
      <c r="L1309" s="186"/>
      <c r="M1309" s="186"/>
      <c r="N1309" s="186"/>
      <c r="O1309" s="186"/>
      <c r="P1309" s="186"/>
      <c r="Q1309" s="186"/>
      <c r="R1309" s="186"/>
      <c r="S1309" s="1"/>
      <c r="T1309" s="1"/>
    </row>
    <row r="1310" spans="1:20" ht="57" hidden="1" customHeight="1">
      <c r="A1310" s="37" t="s">
        <v>876</v>
      </c>
      <c r="B1310" s="49">
        <v>795</v>
      </c>
      <c r="C1310" s="15" t="s">
        <v>173</v>
      </c>
      <c r="D1310" s="15" t="s">
        <v>173</v>
      </c>
      <c r="E1310" s="15" t="s">
        <v>875</v>
      </c>
      <c r="F1310" s="15"/>
      <c r="G1310" s="87">
        <f>G1311</f>
        <v>0</v>
      </c>
      <c r="H1310" s="87">
        <f t="shared" ref="H1310:I1310" si="368">H1311</f>
        <v>0</v>
      </c>
      <c r="I1310" s="87">
        <f t="shared" si="368"/>
        <v>0</v>
      </c>
      <c r="J1310" s="1"/>
    </row>
    <row r="1311" spans="1:20" ht="27" hidden="1" customHeight="1">
      <c r="A1311" s="82" t="s">
        <v>63</v>
      </c>
      <c r="B1311" s="49">
        <v>795</v>
      </c>
      <c r="C1311" s="15" t="s">
        <v>173</v>
      </c>
      <c r="D1311" s="15" t="s">
        <v>173</v>
      </c>
      <c r="E1311" s="15" t="s">
        <v>875</v>
      </c>
      <c r="F1311" s="15" t="s">
        <v>64</v>
      </c>
      <c r="G1311" s="87">
        <f>G1312</f>
        <v>0</v>
      </c>
      <c r="H1311" s="8">
        <f>H1312</f>
        <v>0</v>
      </c>
      <c r="I1311" s="8">
        <f>I1312</f>
        <v>0</v>
      </c>
      <c r="J1311" s="1"/>
    </row>
    <row r="1312" spans="1:20" ht="18.75" hidden="1" customHeight="1">
      <c r="A1312" s="82" t="s">
        <v>180</v>
      </c>
      <c r="B1312" s="49">
        <v>795</v>
      </c>
      <c r="C1312" s="15" t="s">
        <v>173</v>
      </c>
      <c r="D1312" s="15" t="s">
        <v>173</v>
      </c>
      <c r="E1312" s="15" t="s">
        <v>875</v>
      </c>
      <c r="F1312" s="15" t="s">
        <v>181</v>
      </c>
      <c r="G1312" s="70"/>
      <c r="H1312" s="70">
        <v>0</v>
      </c>
      <c r="I1312" s="70">
        <v>0</v>
      </c>
      <c r="J1312" s="1"/>
    </row>
    <row r="1313" spans="1:20" ht="34.5" customHeight="1">
      <c r="A1313" s="16" t="s">
        <v>895</v>
      </c>
      <c r="B1313" s="14">
        <v>793</v>
      </c>
      <c r="C1313" s="15" t="s">
        <v>173</v>
      </c>
      <c r="D1313" s="15" t="s">
        <v>28</v>
      </c>
      <c r="E1313" s="15" t="s">
        <v>896</v>
      </c>
      <c r="F1313" s="15"/>
      <c r="G1313" s="70">
        <f t="shared" ref="G1313:I1314" si="369">G1314</f>
        <v>2902090.59</v>
      </c>
      <c r="H1313" s="70">
        <f t="shared" si="369"/>
        <v>800000</v>
      </c>
      <c r="I1313" s="70">
        <f t="shared" si="369"/>
        <v>0</v>
      </c>
      <c r="J1313" s="1"/>
      <c r="P1313" s="1"/>
      <c r="Q1313" s="1"/>
      <c r="R1313" s="1"/>
      <c r="S1313" s="1"/>
      <c r="T1313" s="1"/>
    </row>
    <row r="1314" spans="1:20" ht="34.5" customHeight="1">
      <c r="A1314" s="16" t="s">
        <v>36</v>
      </c>
      <c r="B1314" s="14">
        <v>793</v>
      </c>
      <c r="C1314" s="15" t="s">
        <v>173</v>
      </c>
      <c r="D1314" s="15" t="s">
        <v>28</v>
      </c>
      <c r="E1314" s="15" t="s">
        <v>896</v>
      </c>
      <c r="F1314" s="15" t="s">
        <v>37</v>
      </c>
      <c r="G1314" s="70">
        <f t="shared" si="369"/>
        <v>2902090.59</v>
      </c>
      <c r="H1314" s="70">
        <f t="shared" si="369"/>
        <v>800000</v>
      </c>
      <c r="I1314" s="70">
        <f t="shared" si="369"/>
        <v>0</v>
      </c>
      <c r="J1314" s="1"/>
      <c r="P1314" s="1"/>
      <c r="Q1314" s="1"/>
      <c r="R1314" s="1"/>
      <c r="S1314" s="1"/>
      <c r="T1314" s="1"/>
    </row>
    <row r="1315" spans="1:20" ht="34.5" customHeight="1">
      <c r="A1315" s="16" t="s">
        <v>38</v>
      </c>
      <c r="B1315" s="14">
        <v>793</v>
      </c>
      <c r="C1315" s="15" t="s">
        <v>173</v>
      </c>
      <c r="D1315" s="15" t="s">
        <v>28</v>
      </c>
      <c r="E1315" s="15" t="s">
        <v>896</v>
      </c>
      <c r="F1315" s="15" t="s">
        <v>39</v>
      </c>
      <c r="G1315" s="70">
        <f>'прил 5,'!G1541</f>
        <v>2902090.59</v>
      </c>
      <c r="H1315" s="70">
        <f>'прил 5,'!H1543</f>
        <v>800000</v>
      </c>
      <c r="I1315" s="70">
        <v>0</v>
      </c>
      <c r="J1315" s="1"/>
      <c r="P1315" s="1"/>
      <c r="Q1315" s="1"/>
      <c r="R1315" s="1"/>
      <c r="S1315" s="1"/>
      <c r="T1315" s="1"/>
    </row>
    <row r="1316" spans="1:20" s="242" customFormat="1" ht="31.5" customHeight="1">
      <c r="A1316" s="34" t="s">
        <v>487</v>
      </c>
      <c r="B1316" s="36" t="s">
        <v>94</v>
      </c>
      <c r="C1316" s="36" t="s">
        <v>69</v>
      </c>
      <c r="D1316" s="36" t="s">
        <v>19</v>
      </c>
      <c r="E1316" s="36" t="s">
        <v>287</v>
      </c>
      <c r="F1316" s="75"/>
      <c r="G1316" s="71">
        <f>G1317+G1320+G1323+G1329+G1338+G1332+G1335+G1326</f>
        <v>39811017.469999999</v>
      </c>
      <c r="H1316" s="71">
        <f>H1317+H1320+H1323+H1329+H1338+H1332+H1327</f>
        <v>8520019.1400000006</v>
      </c>
      <c r="I1316" s="71">
        <f>I1317+I1320+I1323+I1329+I1338+I1332+I1328</f>
        <v>34520683.240000002</v>
      </c>
      <c r="J1316" s="239" t="s">
        <v>467</v>
      </c>
      <c r="P1316" s="175"/>
      <c r="Q1316" s="239"/>
      <c r="R1316" s="239"/>
      <c r="S1316" s="239"/>
      <c r="T1316" s="239"/>
    </row>
    <row r="1317" spans="1:20" s="43" customFormat="1">
      <c r="A1317" s="16" t="s">
        <v>147</v>
      </c>
      <c r="B1317" s="15" t="s">
        <v>94</v>
      </c>
      <c r="C1317" s="15" t="s">
        <v>69</v>
      </c>
      <c r="D1317" s="15" t="s">
        <v>19</v>
      </c>
      <c r="E1317" s="15" t="s">
        <v>291</v>
      </c>
      <c r="F1317" s="39"/>
      <c r="G1317" s="87">
        <f t="shared" ref="G1317:I1318" si="370">G1318</f>
        <v>526224</v>
      </c>
      <c r="H1317" s="87">
        <f t="shared" si="370"/>
        <v>527669</v>
      </c>
      <c r="I1317" s="87">
        <f t="shared" si="370"/>
        <v>529129</v>
      </c>
      <c r="J1317" s="109" t="s">
        <v>491</v>
      </c>
      <c r="P1317" s="109"/>
      <c r="Q1317" s="109"/>
      <c r="R1317" s="109"/>
      <c r="S1317" s="109"/>
      <c r="T1317" s="109"/>
    </row>
    <row r="1318" spans="1:20" s="43" customFormat="1">
      <c r="A1318" s="16" t="s">
        <v>148</v>
      </c>
      <c r="B1318" s="15" t="s">
        <v>94</v>
      </c>
      <c r="C1318" s="15" t="s">
        <v>69</v>
      </c>
      <c r="D1318" s="15" t="s">
        <v>19</v>
      </c>
      <c r="E1318" s="15" t="s">
        <v>291</v>
      </c>
      <c r="F1318" s="15" t="s">
        <v>149</v>
      </c>
      <c r="G1318" s="87">
        <f t="shared" si="370"/>
        <v>526224</v>
      </c>
      <c r="H1318" s="87">
        <f t="shared" si="370"/>
        <v>527669</v>
      </c>
      <c r="I1318" s="87">
        <f t="shared" si="370"/>
        <v>529129</v>
      </c>
      <c r="J1318" s="109" t="s">
        <v>492</v>
      </c>
      <c r="P1318" s="109"/>
      <c r="Q1318" s="109"/>
      <c r="R1318" s="109"/>
      <c r="S1318" s="109"/>
      <c r="T1318" s="109"/>
    </row>
    <row r="1319" spans="1:20" s="43" customFormat="1">
      <c r="A1319" s="16" t="s">
        <v>355</v>
      </c>
      <c r="B1319" s="15" t="s">
        <v>94</v>
      </c>
      <c r="C1319" s="15" t="s">
        <v>69</v>
      </c>
      <c r="D1319" s="15" t="s">
        <v>19</v>
      </c>
      <c r="E1319" s="15" t="s">
        <v>291</v>
      </c>
      <c r="F1319" s="15" t="s">
        <v>356</v>
      </c>
      <c r="G1319" s="87">
        <f>'прил 5,'!G1002+'прил 5,'!G1669+'прил 5,'!G1088</f>
        <v>526224</v>
      </c>
      <c r="H1319" s="87">
        <f>'прил 5,'!H1002+'прил 5,'!H1669+'прил 5,'!H1088</f>
        <v>527669</v>
      </c>
      <c r="I1319" s="87">
        <f>'прил 5,'!I1002+'прил 5,'!I1669+'прил 5,'!I1088</f>
        <v>529129</v>
      </c>
      <c r="J1319" s="109" t="s">
        <v>493</v>
      </c>
      <c r="P1319" s="109"/>
      <c r="Q1319" s="109"/>
      <c r="R1319" s="109"/>
      <c r="S1319" s="109"/>
      <c r="T1319" s="109"/>
    </row>
    <row r="1320" spans="1:20" s="28" customFormat="1" ht="54" hidden="1" customHeight="1">
      <c r="A1320" s="16" t="s">
        <v>357</v>
      </c>
      <c r="B1320" s="14">
        <v>793</v>
      </c>
      <c r="C1320" s="15" t="s">
        <v>69</v>
      </c>
      <c r="D1320" s="15" t="s">
        <v>70</v>
      </c>
      <c r="E1320" s="15" t="s">
        <v>376</v>
      </c>
      <c r="F1320" s="39"/>
      <c r="G1320" s="87">
        <f t="shared" ref="G1320:I1321" si="371">G1321</f>
        <v>0</v>
      </c>
      <c r="H1320" s="87">
        <f t="shared" si="371"/>
        <v>0</v>
      </c>
      <c r="I1320" s="87">
        <f t="shared" si="371"/>
        <v>0</v>
      </c>
      <c r="J1320" s="109" t="s">
        <v>494</v>
      </c>
      <c r="P1320" s="109"/>
      <c r="Q1320" s="109"/>
      <c r="R1320" s="109"/>
      <c r="S1320" s="109"/>
      <c r="T1320" s="109"/>
    </row>
    <row r="1321" spans="1:20" s="28" customFormat="1" ht="27" hidden="1" customHeight="1">
      <c r="A1321" s="16" t="s">
        <v>63</v>
      </c>
      <c r="B1321" s="14">
        <v>793</v>
      </c>
      <c r="C1321" s="15" t="s">
        <v>69</v>
      </c>
      <c r="D1321" s="15" t="s">
        <v>70</v>
      </c>
      <c r="E1321" s="15" t="s">
        <v>376</v>
      </c>
      <c r="F1321" s="15" t="s">
        <v>64</v>
      </c>
      <c r="G1321" s="87">
        <f t="shared" si="371"/>
        <v>0</v>
      </c>
      <c r="H1321" s="87">
        <f t="shared" si="371"/>
        <v>0</v>
      </c>
      <c r="I1321" s="87">
        <f t="shared" si="371"/>
        <v>0</v>
      </c>
      <c r="J1321" s="109">
        <v>10872600</v>
      </c>
      <c r="P1321" s="109"/>
      <c r="Q1321" s="109"/>
      <c r="R1321" s="109"/>
      <c r="S1321" s="109"/>
      <c r="T1321" s="109"/>
    </row>
    <row r="1322" spans="1:20" ht="38.25" hidden="1">
      <c r="A1322" s="16" t="s">
        <v>341</v>
      </c>
      <c r="B1322" s="14">
        <v>793</v>
      </c>
      <c r="C1322" s="15" t="s">
        <v>69</v>
      </c>
      <c r="D1322" s="15" t="s">
        <v>70</v>
      </c>
      <c r="E1322" s="15" t="s">
        <v>376</v>
      </c>
      <c r="F1322" s="15" t="s">
        <v>342</v>
      </c>
      <c r="G1322" s="87">
        <f>'прил 5,'!G1699</f>
        <v>0</v>
      </c>
      <c r="H1322" s="87">
        <f>'прил 5,'!H1699</f>
        <v>0</v>
      </c>
      <c r="I1322" s="87">
        <f>'прил 5,'!I1699</f>
        <v>0</v>
      </c>
      <c r="J1322" s="2">
        <v>200000</v>
      </c>
    </row>
    <row r="1323" spans="1:20" ht="25.5" customHeight="1">
      <c r="A1323" s="16" t="s">
        <v>664</v>
      </c>
      <c r="B1323" s="14">
        <v>793</v>
      </c>
      <c r="C1323" s="15" t="s">
        <v>69</v>
      </c>
      <c r="D1323" s="15" t="s">
        <v>70</v>
      </c>
      <c r="E1323" s="15" t="s">
        <v>687</v>
      </c>
      <c r="F1323" s="15"/>
      <c r="G1323" s="87">
        <f t="shared" ref="G1323:I1324" si="372">G1324</f>
        <v>280789</v>
      </c>
      <c r="H1323" s="87">
        <f t="shared" si="372"/>
        <v>307174</v>
      </c>
      <c r="I1323" s="87">
        <f t="shared" si="372"/>
        <v>335221</v>
      </c>
      <c r="J1323" s="2">
        <f>J1316+J1317+J1318+J1319+J1320+J1321</f>
        <v>16407672</v>
      </c>
    </row>
    <row r="1324" spans="1:20" ht="25.5" customHeight="1">
      <c r="A1324" s="16" t="s">
        <v>359</v>
      </c>
      <c r="B1324" s="14">
        <v>793</v>
      </c>
      <c r="C1324" s="15" t="s">
        <v>69</v>
      </c>
      <c r="D1324" s="15" t="s">
        <v>70</v>
      </c>
      <c r="E1324" s="15" t="s">
        <v>687</v>
      </c>
      <c r="F1324" s="15" t="s">
        <v>149</v>
      </c>
      <c r="G1324" s="87">
        <f t="shared" si="372"/>
        <v>280789</v>
      </c>
      <c r="H1324" s="87">
        <f t="shared" si="372"/>
        <v>307174</v>
      </c>
      <c r="I1324" s="87">
        <f t="shared" si="372"/>
        <v>335221</v>
      </c>
    </row>
    <row r="1325" spans="1:20" ht="25.5" customHeight="1">
      <c r="A1325" s="16" t="s">
        <v>673</v>
      </c>
      <c r="B1325" s="14">
        <v>793</v>
      </c>
      <c r="C1325" s="15" t="s">
        <v>69</v>
      </c>
      <c r="D1325" s="15" t="s">
        <v>70</v>
      </c>
      <c r="E1325" s="15" t="s">
        <v>687</v>
      </c>
      <c r="F1325" s="15" t="s">
        <v>672</v>
      </c>
      <c r="G1325" s="87">
        <f>'прил 5,'!G1702</f>
        <v>280789</v>
      </c>
      <c r="H1325" s="87">
        <f>'прил 5,'!H1702</f>
        <v>307174</v>
      </c>
      <c r="I1325" s="87">
        <f>'прил 5,'!I1702</f>
        <v>335221</v>
      </c>
    </row>
    <row r="1326" spans="1:20" s="18" customFormat="1">
      <c r="A1326" s="16" t="s">
        <v>1065</v>
      </c>
      <c r="B1326" s="14">
        <v>793</v>
      </c>
      <c r="C1326" s="15" t="s">
        <v>69</v>
      </c>
      <c r="D1326" s="15" t="s">
        <v>70</v>
      </c>
      <c r="E1326" s="15" t="s">
        <v>1064</v>
      </c>
      <c r="F1326" s="15"/>
      <c r="G1326" s="70">
        <f t="shared" ref="G1326:I1326" si="373">G1327</f>
        <v>1763974.1</v>
      </c>
      <c r="H1326" s="70">
        <f t="shared" si="373"/>
        <v>1260000</v>
      </c>
      <c r="I1326" s="70">
        <f t="shared" si="373"/>
        <v>1260000</v>
      </c>
      <c r="J1326" s="177"/>
      <c r="K1326" s="200"/>
      <c r="L1326" s="200"/>
      <c r="M1326" s="200"/>
      <c r="N1326" s="200"/>
      <c r="O1326" s="200"/>
      <c r="P1326" s="200"/>
      <c r="Q1326" s="200"/>
      <c r="R1326" s="200"/>
    </row>
    <row r="1327" spans="1:20" s="18" customFormat="1" ht="10.5" customHeight="1">
      <c r="A1327" s="131" t="s">
        <v>354</v>
      </c>
      <c r="B1327" s="14">
        <v>793</v>
      </c>
      <c r="C1327" s="15" t="s">
        <v>69</v>
      </c>
      <c r="D1327" s="15" t="s">
        <v>70</v>
      </c>
      <c r="E1327" s="15" t="s">
        <v>1064</v>
      </c>
      <c r="F1327" s="15" t="s">
        <v>149</v>
      </c>
      <c r="G1327" s="70">
        <v>1763974.1</v>
      </c>
      <c r="H1327" s="70">
        <v>1260000</v>
      </c>
      <c r="I1327" s="70">
        <v>1260000</v>
      </c>
      <c r="J1327" s="177"/>
      <c r="K1327" s="200"/>
      <c r="L1327" s="200"/>
      <c r="M1327" s="200"/>
      <c r="N1327" s="200"/>
      <c r="O1327" s="200"/>
      <c r="P1327" s="200"/>
      <c r="Q1327" s="200"/>
      <c r="R1327" s="200"/>
    </row>
    <row r="1328" spans="1:20" s="18" customFormat="1" ht="29.25" customHeight="1">
      <c r="A1328" s="16" t="s">
        <v>150</v>
      </c>
      <c r="B1328" s="14">
        <v>793</v>
      </c>
      <c r="C1328" s="15" t="s">
        <v>69</v>
      </c>
      <c r="D1328" s="15" t="s">
        <v>70</v>
      </c>
      <c r="E1328" s="15" t="s">
        <v>1064</v>
      </c>
      <c r="F1328" s="15" t="s">
        <v>151</v>
      </c>
      <c r="G1328" s="70">
        <f>G1327</f>
        <v>1763974.1</v>
      </c>
      <c r="H1328" s="70">
        <f t="shared" ref="H1328:I1328" si="374">H1327</f>
        <v>1260000</v>
      </c>
      <c r="I1328" s="70">
        <f t="shared" si="374"/>
        <v>1260000</v>
      </c>
      <c r="J1328" s="177"/>
      <c r="K1328" s="200"/>
      <c r="L1328" s="200"/>
      <c r="M1328" s="200"/>
      <c r="N1328" s="200"/>
      <c r="O1328" s="200"/>
      <c r="P1328" s="200"/>
      <c r="Q1328" s="200"/>
      <c r="R1328" s="200"/>
    </row>
    <row r="1329" spans="1:20" ht="57" customHeight="1">
      <c r="A1329" s="80" t="s">
        <v>289</v>
      </c>
      <c r="B1329" s="14">
        <v>793</v>
      </c>
      <c r="C1329" s="15" t="s">
        <v>69</v>
      </c>
      <c r="D1329" s="15" t="s">
        <v>54</v>
      </c>
      <c r="E1329" s="15" t="s">
        <v>288</v>
      </c>
      <c r="F1329" s="15"/>
      <c r="G1329" s="87">
        <f>G1330</f>
        <v>5925317.3300000001</v>
      </c>
      <c r="H1329" s="87">
        <f t="shared" ref="H1329:I1329" si="375">H1330</f>
        <v>6237176.1399999997</v>
      </c>
      <c r="I1329" s="87">
        <f t="shared" si="375"/>
        <v>6237176.1399999997</v>
      </c>
    </row>
    <row r="1330" spans="1:20" ht="25.5">
      <c r="A1330" s="16" t="s">
        <v>348</v>
      </c>
      <c r="B1330" s="14">
        <v>793</v>
      </c>
      <c r="C1330" s="15" t="s">
        <v>69</v>
      </c>
      <c r="D1330" s="15" t="s">
        <v>54</v>
      </c>
      <c r="E1330" s="15" t="s">
        <v>288</v>
      </c>
      <c r="F1330" s="15" t="s">
        <v>349</v>
      </c>
      <c r="G1330" s="87">
        <f>G1331</f>
        <v>5925317.3300000001</v>
      </c>
      <c r="H1330" s="87">
        <f>H1331</f>
        <v>6237176.1399999997</v>
      </c>
      <c r="I1330" s="87">
        <f>I1331</f>
        <v>6237176.1399999997</v>
      </c>
      <c r="J1330" s="2">
        <v>78000</v>
      </c>
    </row>
    <row r="1331" spans="1:20">
      <c r="A1331" s="16" t="s">
        <v>350</v>
      </c>
      <c r="B1331" s="14">
        <v>793</v>
      </c>
      <c r="C1331" s="15" t="s">
        <v>69</v>
      </c>
      <c r="D1331" s="15" t="s">
        <v>54</v>
      </c>
      <c r="E1331" s="15" t="s">
        <v>288</v>
      </c>
      <c r="F1331" s="15" t="s">
        <v>351</v>
      </c>
      <c r="G1331" s="87">
        <f>'прил 5,'!G1725</f>
        <v>5925317.3300000001</v>
      </c>
      <c r="H1331" s="87">
        <f>'прил 5,'!H1725</f>
        <v>6237176.1399999997</v>
      </c>
      <c r="I1331" s="87">
        <f>'прил 5,'!I1725</f>
        <v>6237176.1399999997</v>
      </c>
      <c r="J1331" s="2">
        <v>390000</v>
      </c>
    </row>
    <row r="1332" spans="1:20" ht="51">
      <c r="A1332" s="80" t="s">
        <v>290</v>
      </c>
      <c r="B1332" s="14">
        <v>793</v>
      </c>
      <c r="C1332" s="15" t="s">
        <v>69</v>
      </c>
      <c r="D1332" s="15" t="s">
        <v>54</v>
      </c>
      <c r="E1332" s="15" t="s">
        <v>374</v>
      </c>
      <c r="F1332" s="15"/>
      <c r="G1332" s="87">
        <f t="shared" ref="G1332:I1333" si="376">G1333</f>
        <v>24177843.039999999</v>
      </c>
      <c r="H1332" s="87">
        <f t="shared" si="376"/>
        <v>0</v>
      </c>
      <c r="I1332" s="87">
        <f t="shared" si="376"/>
        <v>25971157.100000001</v>
      </c>
      <c r="J1332" s="2">
        <v>189200</v>
      </c>
    </row>
    <row r="1333" spans="1:20" ht="25.5">
      <c r="A1333" s="16" t="s">
        <v>348</v>
      </c>
      <c r="B1333" s="14">
        <v>793</v>
      </c>
      <c r="C1333" s="15" t="s">
        <v>69</v>
      </c>
      <c r="D1333" s="15" t="s">
        <v>54</v>
      </c>
      <c r="E1333" s="15" t="s">
        <v>374</v>
      </c>
      <c r="F1333" s="15" t="s">
        <v>349</v>
      </c>
      <c r="G1333" s="87">
        <f t="shared" si="376"/>
        <v>24177843.039999999</v>
      </c>
      <c r="H1333" s="87">
        <f t="shared" si="376"/>
        <v>0</v>
      </c>
      <c r="I1333" s="87">
        <f t="shared" si="376"/>
        <v>25971157.100000001</v>
      </c>
      <c r="J1333" s="2">
        <v>270072</v>
      </c>
    </row>
    <row r="1334" spans="1:20">
      <c r="A1334" s="16" t="s">
        <v>350</v>
      </c>
      <c r="B1334" s="14">
        <v>793</v>
      </c>
      <c r="C1334" s="15" t="s">
        <v>69</v>
      </c>
      <c r="D1334" s="15" t="s">
        <v>54</v>
      </c>
      <c r="E1334" s="15" t="s">
        <v>374</v>
      </c>
      <c r="F1334" s="15" t="s">
        <v>351</v>
      </c>
      <c r="G1334" s="87">
        <f>'прил 5,'!G1728</f>
        <v>24177843.039999999</v>
      </c>
      <c r="H1334" s="87">
        <f>'прил 5,'!H1728</f>
        <v>0</v>
      </c>
      <c r="I1334" s="87">
        <f>'прил 5,'!I1728</f>
        <v>25971157.100000001</v>
      </c>
      <c r="J1334" s="2">
        <v>4607800</v>
      </c>
    </row>
    <row r="1335" spans="1:20" ht="75.75" customHeight="1">
      <c r="A1335" s="142" t="s">
        <v>1056</v>
      </c>
      <c r="B1335" s="14">
        <v>793</v>
      </c>
      <c r="C1335" s="15" t="s">
        <v>69</v>
      </c>
      <c r="D1335" s="15" t="s">
        <v>54</v>
      </c>
      <c r="E1335" s="15" t="s">
        <v>1048</v>
      </c>
      <c r="F1335" s="15"/>
      <c r="G1335" s="70">
        <f t="shared" ref="G1335:I1336" si="377">G1336</f>
        <v>6948870</v>
      </c>
      <c r="H1335" s="70">
        <f t="shared" si="377"/>
        <v>0</v>
      </c>
      <c r="I1335" s="70">
        <f t="shared" si="377"/>
        <v>25971157.100000001</v>
      </c>
      <c r="J1335" s="177"/>
      <c r="K1335" s="186"/>
      <c r="L1335" s="186"/>
      <c r="M1335" s="186"/>
      <c r="N1335" s="186"/>
      <c r="O1335" s="186"/>
      <c r="P1335" s="186"/>
      <c r="Q1335" s="186"/>
      <c r="R1335" s="186"/>
      <c r="S1335" s="1"/>
      <c r="T1335" s="1"/>
    </row>
    <row r="1336" spans="1:20" ht="25.5">
      <c r="A1336" s="16" t="s">
        <v>348</v>
      </c>
      <c r="B1336" s="14">
        <v>793</v>
      </c>
      <c r="C1336" s="15" t="s">
        <v>69</v>
      </c>
      <c r="D1336" s="15" t="s">
        <v>54</v>
      </c>
      <c r="E1336" s="15" t="s">
        <v>1048</v>
      </c>
      <c r="F1336" s="15" t="s">
        <v>349</v>
      </c>
      <c r="G1336" s="70">
        <f t="shared" si="377"/>
        <v>6948870</v>
      </c>
      <c r="H1336" s="70">
        <f t="shared" si="377"/>
        <v>0</v>
      </c>
      <c r="I1336" s="70">
        <f t="shared" si="377"/>
        <v>25971157.100000001</v>
      </c>
      <c r="J1336" s="177"/>
      <c r="K1336" s="186"/>
      <c r="L1336" s="186"/>
      <c r="M1336" s="186"/>
      <c r="N1336" s="186"/>
      <c r="O1336" s="186"/>
      <c r="P1336" s="186"/>
      <c r="Q1336" s="186"/>
      <c r="R1336" s="186"/>
      <c r="S1336" s="1"/>
      <c r="T1336" s="1"/>
    </row>
    <row r="1337" spans="1:20">
      <c r="A1337" s="16" t="s">
        <v>350</v>
      </c>
      <c r="B1337" s="14">
        <v>793</v>
      </c>
      <c r="C1337" s="15" t="s">
        <v>69</v>
      </c>
      <c r="D1337" s="15" t="s">
        <v>54</v>
      </c>
      <c r="E1337" s="15" t="s">
        <v>1048</v>
      </c>
      <c r="F1337" s="15" t="s">
        <v>351</v>
      </c>
      <c r="G1337" s="70">
        <f>'прил 5,'!G1731</f>
        <v>6948870</v>
      </c>
      <c r="H1337" s="70">
        <v>0</v>
      </c>
      <c r="I1337" s="70">
        <v>25971157.100000001</v>
      </c>
      <c r="J1337" s="177"/>
      <c r="K1337" s="186"/>
      <c r="L1337" s="186"/>
      <c r="M1337" s="186"/>
      <c r="N1337" s="186"/>
      <c r="O1337" s="186"/>
      <c r="P1337" s="186"/>
      <c r="Q1337" s="186"/>
      <c r="R1337" s="186"/>
      <c r="S1337" s="1"/>
      <c r="T1337" s="1"/>
    </row>
    <row r="1338" spans="1:20" s="18" customFormat="1" ht="25.5">
      <c r="A1338" s="16" t="s">
        <v>360</v>
      </c>
      <c r="B1338" s="14">
        <v>793</v>
      </c>
      <c r="C1338" s="15" t="s">
        <v>69</v>
      </c>
      <c r="D1338" s="15" t="s">
        <v>54</v>
      </c>
      <c r="E1338" s="15" t="s">
        <v>292</v>
      </c>
      <c r="F1338" s="15"/>
      <c r="G1338" s="87">
        <f t="shared" ref="G1338:I1339" si="378">G1339</f>
        <v>188000</v>
      </c>
      <c r="H1338" s="87">
        <f t="shared" si="378"/>
        <v>188000</v>
      </c>
      <c r="I1338" s="87">
        <f t="shared" si="378"/>
        <v>188000</v>
      </c>
      <c r="J1338" s="17">
        <v>10872600</v>
      </c>
      <c r="P1338" s="17"/>
      <c r="Q1338" s="17"/>
      <c r="R1338" s="17"/>
      <c r="S1338" s="17"/>
      <c r="T1338" s="17"/>
    </row>
    <row r="1339" spans="1:20" s="18" customFormat="1" ht="25.5">
      <c r="A1339" s="16" t="s">
        <v>358</v>
      </c>
      <c r="B1339" s="14">
        <v>793</v>
      </c>
      <c r="C1339" s="15" t="s">
        <v>69</v>
      </c>
      <c r="D1339" s="15" t="s">
        <v>54</v>
      </c>
      <c r="E1339" s="15" t="s">
        <v>292</v>
      </c>
      <c r="F1339" s="15" t="s">
        <v>149</v>
      </c>
      <c r="G1339" s="87">
        <f t="shared" si="378"/>
        <v>188000</v>
      </c>
      <c r="H1339" s="87">
        <f t="shared" si="378"/>
        <v>188000</v>
      </c>
      <c r="I1339" s="87">
        <f t="shared" si="378"/>
        <v>188000</v>
      </c>
      <c r="J1339" s="17">
        <v>200000</v>
      </c>
      <c r="P1339" s="17"/>
      <c r="Q1339" s="17"/>
      <c r="R1339" s="17"/>
      <c r="S1339" s="17"/>
      <c r="T1339" s="17"/>
    </row>
    <row r="1340" spans="1:20" s="18" customFormat="1">
      <c r="A1340" s="16" t="s">
        <v>355</v>
      </c>
      <c r="B1340" s="14">
        <v>793</v>
      </c>
      <c r="C1340" s="15" t="s">
        <v>69</v>
      </c>
      <c r="D1340" s="15" t="s">
        <v>54</v>
      </c>
      <c r="E1340" s="15" t="s">
        <v>292</v>
      </c>
      <c r="F1340" s="15" t="s">
        <v>356</v>
      </c>
      <c r="G1340" s="87">
        <f>'прил 5,'!G1734</f>
        <v>188000</v>
      </c>
      <c r="H1340" s="87">
        <f>'прил 5,'!H1734</f>
        <v>188000</v>
      </c>
      <c r="I1340" s="87">
        <f>'прил 5,'!I1734</f>
        <v>188000</v>
      </c>
      <c r="J1340" s="17">
        <f>SUM(J1330:J1339)</f>
        <v>16607672</v>
      </c>
      <c r="P1340" s="17"/>
      <c r="Q1340" s="17"/>
      <c r="R1340" s="17"/>
      <c r="S1340" s="17"/>
      <c r="T1340" s="17"/>
    </row>
    <row r="1341" spans="1:20" s="22" customFormat="1" ht="47.25" customHeight="1">
      <c r="A1341" s="34" t="s">
        <v>460</v>
      </c>
      <c r="B1341" s="35">
        <v>793</v>
      </c>
      <c r="C1341" s="36" t="s">
        <v>54</v>
      </c>
      <c r="D1341" s="36" t="s">
        <v>123</v>
      </c>
      <c r="E1341" s="36" t="s">
        <v>459</v>
      </c>
      <c r="F1341" s="36"/>
      <c r="G1341" s="71">
        <f>G1348+G1351</f>
        <v>386370</v>
      </c>
      <c r="H1341" s="71">
        <f t="shared" ref="H1341:I1341" si="379">H1348</f>
        <v>63000</v>
      </c>
      <c r="I1341" s="71">
        <f t="shared" si="379"/>
        <v>63000</v>
      </c>
      <c r="J1341" s="21">
        <v>343551</v>
      </c>
      <c r="P1341" s="21"/>
      <c r="Q1341" s="21"/>
      <c r="R1341" s="21"/>
      <c r="S1341" s="21"/>
      <c r="T1341" s="21"/>
    </row>
    <row r="1342" spans="1:20" ht="91.5" hidden="1" customHeight="1">
      <c r="A1342" s="16" t="s">
        <v>613</v>
      </c>
      <c r="B1342" s="15" t="s">
        <v>94</v>
      </c>
      <c r="C1342" s="15" t="s">
        <v>26</v>
      </c>
      <c r="D1342" s="15" t="s">
        <v>70</v>
      </c>
      <c r="E1342" s="15" t="s">
        <v>612</v>
      </c>
      <c r="F1342" s="15"/>
      <c r="G1342" s="70">
        <f>G1343</f>
        <v>0</v>
      </c>
      <c r="H1342" s="70">
        <f t="shared" ref="H1342:I1343" si="380">H1343</f>
        <v>0</v>
      </c>
      <c r="I1342" s="70">
        <f t="shared" si="380"/>
        <v>0</v>
      </c>
      <c r="J1342" s="1"/>
    </row>
    <row r="1343" spans="1:20" ht="31.5" hidden="1" customHeight="1">
      <c r="A1343" s="16" t="s">
        <v>30</v>
      </c>
      <c r="B1343" s="15" t="s">
        <v>94</v>
      </c>
      <c r="C1343" s="15" t="s">
        <v>26</v>
      </c>
      <c r="D1343" s="15" t="s">
        <v>70</v>
      </c>
      <c r="E1343" s="15" t="s">
        <v>612</v>
      </c>
      <c r="F1343" s="15" t="s">
        <v>31</v>
      </c>
      <c r="G1343" s="70">
        <f>G1344</f>
        <v>0</v>
      </c>
      <c r="H1343" s="70">
        <f t="shared" si="380"/>
        <v>0</v>
      </c>
      <c r="I1343" s="70">
        <f t="shared" si="380"/>
        <v>0</v>
      </c>
      <c r="J1343" s="1"/>
    </row>
    <row r="1344" spans="1:20" ht="17.25" hidden="1" customHeight="1">
      <c r="A1344" s="16" t="s">
        <v>32</v>
      </c>
      <c r="B1344" s="15" t="s">
        <v>94</v>
      </c>
      <c r="C1344" s="15" t="s">
        <v>26</v>
      </c>
      <c r="D1344" s="15" t="s">
        <v>70</v>
      </c>
      <c r="E1344" s="15" t="s">
        <v>612</v>
      </c>
      <c r="F1344" s="15" t="s">
        <v>33</v>
      </c>
      <c r="G1344" s="70">
        <f>'прил 5,'!G857</f>
        <v>0</v>
      </c>
      <c r="H1344" s="103"/>
      <c r="I1344" s="103"/>
      <c r="J1344" s="1"/>
    </row>
    <row r="1345" spans="1:20" s="18" customFormat="1" ht="52.5" hidden="1" customHeight="1">
      <c r="A1345" s="16" t="s">
        <v>745</v>
      </c>
      <c r="B1345" s="15" t="s">
        <v>94</v>
      </c>
      <c r="C1345" s="15" t="s">
        <v>26</v>
      </c>
      <c r="D1345" s="15" t="s">
        <v>28</v>
      </c>
      <c r="E1345" s="15" t="s">
        <v>746</v>
      </c>
      <c r="F1345" s="15"/>
      <c r="G1345" s="70">
        <f>G1346</f>
        <v>0</v>
      </c>
      <c r="H1345" s="70">
        <f t="shared" ref="H1345:I1346" si="381">H1346</f>
        <v>0</v>
      </c>
      <c r="I1345" s="70">
        <f t="shared" si="381"/>
        <v>0</v>
      </c>
      <c r="P1345" s="17"/>
      <c r="Q1345" s="17"/>
      <c r="R1345" s="17"/>
      <c r="S1345" s="17"/>
      <c r="T1345" s="17"/>
    </row>
    <row r="1346" spans="1:20" s="18" customFormat="1" ht="25.5" hidden="1">
      <c r="A1346" s="16" t="s">
        <v>96</v>
      </c>
      <c r="B1346" s="15" t="s">
        <v>94</v>
      </c>
      <c r="C1346" s="15" t="s">
        <v>26</v>
      </c>
      <c r="D1346" s="15" t="s">
        <v>28</v>
      </c>
      <c r="E1346" s="15" t="s">
        <v>746</v>
      </c>
      <c r="F1346" s="15" t="s">
        <v>349</v>
      </c>
      <c r="G1346" s="70">
        <f>G1347</f>
        <v>0</v>
      </c>
      <c r="H1346" s="70">
        <f t="shared" si="381"/>
        <v>0</v>
      </c>
      <c r="I1346" s="70">
        <f t="shared" si="381"/>
        <v>0</v>
      </c>
      <c r="P1346" s="17"/>
      <c r="Q1346" s="17"/>
      <c r="R1346" s="17"/>
      <c r="S1346" s="17"/>
      <c r="T1346" s="17"/>
    </row>
    <row r="1347" spans="1:20" s="18" customFormat="1" ht="105" hidden="1" customHeight="1">
      <c r="A1347" s="50" t="s">
        <v>421</v>
      </c>
      <c r="B1347" s="15" t="s">
        <v>94</v>
      </c>
      <c r="C1347" s="15" t="s">
        <v>26</v>
      </c>
      <c r="D1347" s="15" t="s">
        <v>28</v>
      </c>
      <c r="E1347" s="15" t="s">
        <v>746</v>
      </c>
      <c r="F1347" s="15" t="s">
        <v>420</v>
      </c>
      <c r="G1347" s="70">
        <f>'прил 5,'!G733</f>
        <v>0</v>
      </c>
      <c r="H1347" s="70">
        <v>0</v>
      </c>
      <c r="I1347" s="70">
        <v>0</v>
      </c>
      <c r="P1347" s="17"/>
      <c r="Q1347" s="17"/>
      <c r="R1347" s="17"/>
      <c r="S1347" s="17"/>
      <c r="T1347" s="17"/>
    </row>
    <row r="1348" spans="1:20" ht="33.75" customHeight="1">
      <c r="A1348" s="16" t="s">
        <v>458</v>
      </c>
      <c r="B1348" s="14">
        <v>793</v>
      </c>
      <c r="C1348" s="15" t="s">
        <v>54</v>
      </c>
      <c r="D1348" s="15" t="s">
        <v>123</v>
      </c>
      <c r="E1348" s="15" t="s">
        <v>456</v>
      </c>
      <c r="F1348" s="15"/>
      <c r="G1348" s="70">
        <f>G1349</f>
        <v>22000</v>
      </c>
      <c r="H1348" s="70">
        <f t="shared" ref="H1348:I1348" si="382">H1349</f>
        <v>63000</v>
      </c>
      <c r="I1348" s="70">
        <f t="shared" si="382"/>
        <v>63000</v>
      </c>
      <c r="J1348" s="2">
        <v>63000</v>
      </c>
    </row>
    <row r="1349" spans="1:20" ht="41.25" customHeight="1">
      <c r="A1349" s="16" t="s">
        <v>457</v>
      </c>
      <c r="B1349" s="14">
        <v>793</v>
      </c>
      <c r="C1349" s="15" t="s">
        <v>54</v>
      </c>
      <c r="D1349" s="15" t="s">
        <v>123</v>
      </c>
      <c r="E1349" s="15" t="s">
        <v>456</v>
      </c>
      <c r="F1349" s="15" t="s">
        <v>37</v>
      </c>
      <c r="G1349" s="70">
        <f>G1350</f>
        <v>22000</v>
      </c>
      <c r="H1349" s="70">
        <f t="shared" ref="H1349:I1349" si="383">H1350</f>
        <v>63000</v>
      </c>
      <c r="I1349" s="70">
        <f t="shared" si="383"/>
        <v>63000</v>
      </c>
      <c r="J1349" s="2">
        <f>SUM(J1341:J1348)</f>
        <v>406551</v>
      </c>
    </row>
    <row r="1350" spans="1:20" ht="30.75" customHeight="1">
      <c r="A1350" s="16" t="s">
        <v>38</v>
      </c>
      <c r="B1350" s="14">
        <v>793</v>
      </c>
      <c r="C1350" s="15" t="s">
        <v>54</v>
      </c>
      <c r="D1350" s="15" t="s">
        <v>123</v>
      </c>
      <c r="E1350" s="15" t="s">
        <v>456</v>
      </c>
      <c r="F1350" s="15" t="s">
        <v>39</v>
      </c>
      <c r="G1350" s="70">
        <f>'прил 5,'!G1401</f>
        <v>22000</v>
      </c>
      <c r="H1350" s="70">
        <f>'прил 5,'!H1401+'прил 5,'!H988</f>
        <v>63000</v>
      </c>
      <c r="I1350" s="70">
        <f>'прил 5,'!I1401+'прил 5,'!I988</f>
        <v>63000</v>
      </c>
    </row>
    <row r="1351" spans="1:20" ht="30.75" customHeight="1">
      <c r="A1351" s="16" t="s">
        <v>30</v>
      </c>
      <c r="B1351" s="14">
        <v>774</v>
      </c>
      <c r="C1351" s="15" t="s">
        <v>26</v>
      </c>
      <c r="D1351" s="15" t="s">
        <v>70</v>
      </c>
      <c r="E1351" s="15" t="s">
        <v>1040</v>
      </c>
      <c r="F1351" s="15" t="s">
        <v>31</v>
      </c>
      <c r="G1351" s="70">
        <f>G1352</f>
        <v>364370</v>
      </c>
      <c r="H1351" s="70"/>
      <c r="I1351" s="70"/>
      <c r="J1351" s="1"/>
    </row>
    <row r="1352" spans="1:20" ht="30.75" customHeight="1">
      <c r="A1352" s="16" t="s">
        <v>32</v>
      </c>
      <c r="B1352" s="14">
        <v>774</v>
      </c>
      <c r="C1352" s="15" t="s">
        <v>26</v>
      </c>
      <c r="D1352" s="15" t="s">
        <v>70</v>
      </c>
      <c r="E1352" s="15" t="s">
        <v>1040</v>
      </c>
      <c r="F1352" s="15" t="s">
        <v>33</v>
      </c>
      <c r="G1352" s="70">
        <f>'прил 5,'!G902</f>
        <v>364370</v>
      </c>
      <c r="H1352" s="70"/>
      <c r="I1352" s="70"/>
      <c r="J1352" s="1"/>
    </row>
    <row r="1353" spans="1:20" s="22" customFormat="1" ht="36" customHeight="1">
      <c r="A1353" s="34" t="s">
        <v>841</v>
      </c>
      <c r="B1353" s="35">
        <v>793</v>
      </c>
      <c r="C1353" s="36" t="s">
        <v>54</v>
      </c>
      <c r="D1353" s="36" t="s">
        <v>88</v>
      </c>
      <c r="E1353" s="35" t="s">
        <v>842</v>
      </c>
      <c r="F1353" s="35"/>
      <c r="G1353" s="71">
        <f>G1354</f>
        <v>363450</v>
      </c>
      <c r="H1353" s="71">
        <f>H1354</f>
        <v>0</v>
      </c>
      <c r="I1353" s="71">
        <f>I1354</f>
        <v>0</v>
      </c>
      <c r="P1353" s="21"/>
      <c r="Q1353" s="21"/>
      <c r="R1353" s="21"/>
      <c r="S1353" s="21"/>
      <c r="T1353" s="21"/>
    </row>
    <row r="1354" spans="1:20" ht="39" customHeight="1">
      <c r="A1354" s="16" t="s">
        <v>844</v>
      </c>
      <c r="B1354" s="14">
        <v>793</v>
      </c>
      <c r="C1354" s="15" t="s">
        <v>54</v>
      </c>
      <c r="D1354" s="15" t="s">
        <v>88</v>
      </c>
      <c r="E1354" s="14" t="s">
        <v>843</v>
      </c>
      <c r="F1354" s="14"/>
      <c r="G1354" s="70">
        <f>G1355</f>
        <v>363450</v>
      </c>
      <c r="H1354" s="70">
        <f t="shared" ref="H1354:I1354" si="384">H1355</f>
        <v>0</v>
      </c>
      <c r="I1354" s="70">
        <f t="shared" si="384"/>
        <v>0</v>
      </c>
      <c r="J1354" s="1"/>
    </row>
    <row r="1355" spans="1:20" ht="17.25" customHeight="1">
      <c r="A1355" s="16" t="s">
        <v>324</v>
      </c>
      <c r="B1355" s="14">
        <v>793</v>
      </c>
      <c r="C1355" s="15" t="s">
        <v>54</v>
      </c>
      <c r="D1355" s="15" t="s">
        <v>88</v>
      </c>
      <c r="E1355" s="14" t="s">
        <v>843</v>
      </c>
      <c r="F1355" s="14">
        <v>200</v>
      </c>
      <c r="G1355" s="70">
        <f>G1356</f>
        <v>363450</v>
      </c>
      <c r="H1355" s="70">
        <f>H1356</f>
        <v>0</v>
      </c>
      <c r="I1355" s="70">
        <f>I1356</f>
        <v>0</v>
      </c>
      <c r="J1355" s="1"/>
    </row>
    <row r="1356" spans="1:20" ht="27.75" customHeight="1">
      <c r="A1356" s="16" t="s">
        <v>38</v>
      </c>
      <c r="B1356" s="14">
        <v>793</v>
      </c>
      <c r="C1356" s="15" t="s">
        <v>54</v>
      </c>
      <c r="D1356" s="15" t="s">
        <v>88</v>
      </c>
      <c r="E1356" s="14" t="s">
        <v>843</v>
      </c>
      <c r="F1356" s="14">
        <v>240</v>
      </c>
      <c r="G1356" s="70">
        <f>'прил 5,'!G1445</f>
        <v>363450</v>
      </c>
      <c r="H1356" s="70">
        <v>0</v>
      </c>
      <c r="I1356" s="70">
        <v>0</v>
      </c>
      <c r="J1356" s="1"/>
    </row>
    <row r="1357" spans="1:20" s="74" customFormat="1" ht="42" customHeight="1">
      <c r="A1357" s="78" t="s">
        <v>117</v>
      </c>
      <c r="B1357" s="73"/>
      <c r="C1357" s="73"/>
      <c r="D1357" s="73"/>
      <c r="E1357" s="73"/>
      <c r="F1357" s="73"/>
      <c r="G1357" s="243">
        <f>G1385+G1424+G1449+G1458+G1479+G1515+G1371+G1358+G1439</f>
        <v>84787543.190000013</v>
      </c>
      <c r="H1357" s="243">
        <f t="shared" ref="H1357:I1357" si="385">H1385+H1424+H1449+H1458+H1479+H1515+H1371+H1358+H1439</f>
        <v>76035359.75000003</v>
      </c>
      <c r="I1357" s="243">
        <f t="shared" si="385"/>
        <v>77491791.040000007</v>
      </c>
      <c r="J1357" s="112"/>
      <c r="P1357" s="112"/>
      <c r="Q1357" s="112"/>
      <c r="R1357" s="112"/>
      <c r="S1357" s="112"/>
      <c r="T1357" s="112"/>
    </row>
    <row r="1358" spans="1:20" hidden="1">
      <c r="A1358" s="34"/>
      <c r="B1358" s="35"/>
      <c r="C1358" s="36"/>
      <c r="D1358" s="36"/>
      <c r="E1358" s="36"/>
      <c r="F1358" s="36"/>
      <c r="G1358" s="12"/>
      <c r="H1358" s="12"/>
      <c r="I1358" s="12"/>
      <c r="J1358" s="1"/>
      <c r="L1358" s="2"/>
    </row>
    <row r="1359" spans="1:20" ht="40.5" hidden="1" customHeight="1">
      <c r="A1359" s="16"/>
      <c r="B1359" s="15"/>
      <c r="C1359" s="15"/>
      <c r="D1359" s="15"/>
      <c r="E1359" s="15"/>
      <c r="F1359" s="15"/>
      <c r="G1359" s="8"/>
      <c r="H1359" s="70"/>
      <c r="I1359" s="70"/>
      <c r="J1359" s="1"/>
    </row>
    <row r="1360" spans="1:20" ht="30" hidden="1" customHeight="1">
      <c r="A1360" s="16"/>
      <c r="B1360" s="15"/>
      <c r="C1360" s="15"/>
      <c r="D1360" s="15"/>
      <c r="E1360" s="15"/>
      <c r="F1360" s="15"/>
      <c r="G1360" s="8"/>
      <c r="H1360" s="70"/>
      <c r="I1360" s="70"/>
      <c r="J1360" s="1"/>
    </row>
    <row r="1361" spans="1:20" ht="91.5" hidden="1" customHeight="1">
      <c r="A1361" s="50"/>
      <c r="B1361" s="15"/>
      <c r="C1361" s="15"/>
      <c r="D1361" s="15"/>
      <c r="E1361" s="15"/>
      <c r="F1361" s="15"/>
      <c r="G1361" s="8"/>
      <c r="H1361" s="70"/>
      <c r="I1361" s="70"/>
      <c r="J1361" s="1"/>
    </row>
    <row r="1362" spans="1:20" ht="43.5" hidden="1" customHeight="1">
      <c r="A1362" s="50"/>
      <c r="B1362" s="15"/>
      <c r="C1362" s="15"/>
      <c r="D1362" s="15"/>
      <c r="E1362" s="15"/>
      <c r="F1362" s="15"/>
      <c r="G1362" s="8"/>
      <c r="H1362" s="70"/>
      <c r="I1362" s="70"/>
      <c r="J1362" s="1"/>
    </row>
    <row r="1363" spans="1:20" ht="39.75" hidden="1" customHeight="1">
      <c r="A1363" s="16"/>
      <c r="B1363" s="15"/>
      <c r="C1363" s="15"/>
      <c r="D1363" s="15"/>
      <c r="E1363" s="15"/>
      <c r="F1363" s="15"/>
      <c r="G1363" s="8"/>
      <c r="H1363" s="70"/>
      <c r="I1363" s="70"/>
      <c r="J1363" s="1"/>
    </row>
    <row r="1364" spans="1:20" ht="86.25" hidden="1" customHeight="1">
      <c r="A1364" s="50"/>
      <c r="B1364" s="15"/>
      <c r="C1364" s="15"/>
      <c r="D1364" s="15"/>
      <c r="E1364" s="15"/>
      <c r="F1364" s="15"/>
      <c r="G1364" s="8"/>
      <c r="H1364" s="70"/>
      <c r="I1364" s="70"/>
      <c r="J1364" s="1"/>
    </row>
    <row r="1365" spans="1:20" ht="48" hidden="1" customHeight="1">
      <c r="A1365" s="80"/>
      <c r="B1365" s="14"/>
      <c r="C1365" s="15"/>
      <c r="D1365" s="15"/>
      <c r="E1365" s="15"/>
      <c r="F1365" s="14"/>
      <c r="G1365" s="70"/>
      <c r="H1365" s="70"/>
      <c r="I1365" s="70"/>
      <c r="J1365" s="1"/>
    </row>
    <row r="1366" spans="1:20" hidden="1">
      <c r="A1366" s="16"/>
      <c r="B1366" s="14"/>
      <c r="C1366" s="15"/>
      <c r="D1366" s="15"/>
      <c r="E1366" s="15"/>
      <c r="F1366" s="15"/>
      <c r="G1366" s="25"/>
      <c r="H1366" s="25"/>
      <c r="I1366" s="25"/>
      <c r="J1366" s="1"/>
    </row>
    <row r="1367" spans="1:20" hidden="1">
      <c r="A1367" s="16"/>
      <c r="B1367" s="14"/>
      <c r="C1367" s="15"/>
      <c r="D1367" s="15"/>
      <c r="E1367" s="15"/>
      <c r="F1367" s="15"/>
      <c r="G1367" s="25"/>
      <c r="H1367" s="25"/>
      <c r="I1367" s="25"/>
      <c r="J1367" s="1"/>
    </row>
    <row r="1368" spans="1:20" ht="42.75" hidden="1" customHeight="1">
      <c r="A1368" s="80"/>
      <c r="B1368" s="14"/>
      <c r="C1368" s="15"/>
      <c r="D1368" s="15"/>
      <c r="E1368" s="15"/>
      <c r="F1368" s="14"/>
      <c r="G1368" s="70"/>
      <c r="H1368" s="70"/>
      <c r="I1368" s="70"/>
      <c r="J1368" s="1"/>
    </row>
    <row r="1369" spans="1:20" hidden="1">
      <c r="A1369" s="16"/>
      <c r="B1369" s="14"/>
      <c r="C1369" s="15"/>
      <c r="D1369" s="15"/>
      <c r="E1369" s="15"/>
      <c r="F1369" s="15"/>
      <c r="G1369" s="25"/>
      <c r="H1369" s="25"/>
      <c r="I1369" s="25"/>
      <c r="J1369" s="1"/>
    </row>
    <row r="1370" spans="1:20" hidden="1">
      <c r="A1370" s="16"/>
      <c r="B1370" s="14"/>
      <c r="C1370" s="15"/>
      <c r="D1370" s="15"/>
      <c r="E1370" s="15"/>
      <c r="F1370" s="15"/>
      <c r="G1370" s="25"/>
      <c r="H1370" s="25"/>
      <c r="I1370" s="25"/>
      <c r="J1370" s="1"/>
    </row>
    <row r="1371" spans="1:20" s="247" customFormat="1" ht="30.75" customHeight="1">
      <c r="A1371" s="233" t="s">
        <v>273</v>
      </c>
      <c r="B1371" s="244">
        <v>793</v>
      </c>
      <c r="C1371" s="245" t="s">
        <v>173</v>
      </c>
      <c r="D1371" s="245" t="s">
        <v>70</v>
      </c>
      <c r="E1371" s="36" t="s">
        <v>571</v>
      </c>
      <c r="F1371" s="36"/>
      <c r="G1371" s="71">
        <f>G1372</f>
        <v>6412980</v>
      </c>
      <c r="H1371" s="246">
        <v>0</v>
      </c>
      <c r="I1371" s="246">
        <v>0</v>
      </c>
      <c r="P1371" s="248"/>
      <c r="Q1371" s="248"/>
      <c r="R1371" s="248"/>
      <c r="S1371" s="248"/>
      <c r="T1371" s="248"/>
    </row>
    <row r="1372" spans="1:20" ht="30.75" customHeight="1">
      <c r="A1372" s="16" t="s">
        <v>273</v>
      </c>
      <c r="B1372" s="14">
        <v>793</v>
      </c>
      <c r="C1372" s="15" t="s">
        <v>173</v>
      </c>
      <c r="D1372" s="15" t="s">
        <v>70</v>
      </c>
      <c r="E1372" s="15" t="s">
        <v>572</v>
      </c>
      <c r="F1372" s="15"/>
      <c r="G1372" s="70">
        <f>G1375+G1377+G1373+G1383+G1380+G1382</f>
        <v>6412980</v>
      </c>
      <c r="H1372" s="70">
        <v>0</v>
      </c>
      <c r="I1372" s="70">
        <v>0</v>
      </c>
      <c r="J1372" s="1"/>
    </row>
    <row r="1373" spans="1:20" ht="30.75" hidden="1" customHeight="1">
      <c r="A1373" s="16" t="s">
        <v>36</v>
      </c>
      <c r="B1373" s="49">
        <v>795</v>
      </c>
      <c r="C1373" s="15" t="s">
        <v>173</v>
      </c>
      <c r="D1373" s="15" t="s">
        <v>28</v>
      </c>
      <c r="E1373" s="15" t="s">
        <v>572</v>
      </c>
      <c r="F1373" s="15" t="s">
        <v>37</v>
      </c>
      <c r="G1373" s="70">
        <f>G1374</f>
        <v>0</v>
      </c>
      <c r="H1373" s="70">
        <v>0</v>
      </c>
      <c r="I1373" s="70">
        <v>0</v>
      </c>
      <c r="J1373" s="1"/>
    </row>
    <row r="1374" spans="1:20" ht="30.75" hidden="1" customHeight="1">
      <c r="A1374" s="16" t="s">
        <v>38</v>
      </c>
      <c r="B1374" s="49">
        <v>795</v>
      </c>
      <c r="C1374" s="15" t="s">
        <v>173</v>
      </c>
      <c r="D1374" s="15" t="s">
        <v>28</v>
      </c>
      <c r="E1374" s="15" t="s">
        <v>572</v>
      </c>
      <c r="F1374" s="15" t="s">
        <v>39</v>
      </c>
      <c r="G1374" s="70">
        <f>'прил 5,'!G1988</f>
        <v>0</v>
      </c>
      <c r="H1374" s="70">
        <v>0</v>
      </c>
      <c r="I1374" s="70">
        <v>0</v>
      </c>
      <c r="J1374" s="1"/>
    </row>
    <row r="1375" spans="1:20" ht="23.25" hidden="1" customHeight="1">
      <c r="A1375" s="16" t="s">
        <v>148</v>
      </c>
      <c r="B1375" s="14">
        <v>793</v>
      </c>
      <c r="C1375" s="15" t="s">
        <v>70</v>
      </c>
      <c r="D1375" s="15" t="s">
        <v>123</v>
      </c>
      <c r="E1375" s="15" t="s">
        <v>572</v>
      </c>
      <c r="F1375" s="15" t="s">
        <v>149</v>
      </c>
      <c r="G1375" s="70">
        <f>G1376</f>
        <v>0</v>
      </c>
      <c r="H1375" s="70">
        <v>0</v>
      </c>
      <c r="I1375" s="70">
        <v>0</v>
      </c>
      <c r="J1375" s="1"/>
    </row>
    <row r="1376" spans="1:20" ht="30.75" hidden="1" customHeight="1">
      <c r="A1376" s="16" t="s">
        <v>150</v>
      </c>
      <c r="B1376" s="14">
        <v>793</v>
      </c>
      <c r="C1376" s="15" t="s">
        <v>70</v>
      </c>
      <c r="D1376" s="15" t="s">
        <v>123</v>
      </c>
      <c r="E1376" s="15" t="s">
        <v>572</v>
      </c>
      <c r="F1376" s="15" t="s">
        <v>151</v>
      </c>
      <c r="G1376" s="70">
        <f>'прил 5,'!G1288</f>
        <v>0</v>
      </c>
      <c r="H1376" s="70">
        <v>0</v>
      </c>
      <c r="I1376" s="70">
        <v>0</v>
      </c>
      <c r="J1376" s="1"/>
    </row>
    <row r="1377" spans="1:20" ht="21.75" hidden="1" customHeight="1">
      <c r="A1377" s="16" t="s">
        <v>156</v>
      </c>
      <c r="B1377" s="14">
        <v>793</v>
      </c>
      <c r="C1377" s="15" t="s">
        <v>173</v>
      </c>
      <c r="D1377" s="15" t="s">
        <v>70</v>
      </c>
      <c r="E1377" s="15" t="s">
        <v>572</v>
      </c>
      <c r="F1377" s="15" t="s">
        <v>157</v>
      </c>
      <c r="G1377" s="70">
        <f>G1378</f>
        <v>0</v>
      </c>
      <c r="H1377" s="70">
        <v>0</v>
      </c>
      <c r="I1377" s="70">
        <v>0</v>
      </c>
      <c r="J1377" s="1"/>
    </row>
    <row r="1378" spans="1:20" ht="22.5" hidden="1" customHeight="1">
      <c r="A1378" s="16" t="s">
        <v>178</v>
      </c>
      <c r="B1378" s="14">
        <v>793</v>
      </c>
      <c r="C1378" s="15" t="s">
        <v>173</v>
      </c>
      <c r="D1378" s="15" t="s">
        <v>70</v>
      </c>
      <c r="E1378" s="15" t="s">
        <v>572</v>
      </c>
      <c r="F1378" s="15" t="s">
        <v>179</v>
      </c>
      <c r="G1378" s="70"/>
      <c r="H1378" s="70">
        <v>0</v>
      </c>
      <c r="I1378" s="70">
        <v>0</v>
      </c>
      <c r="J1378" s="1"/>
    </row>
    <row r="1379" spans="1:20" ht="25.5" hidden="1">
      <c r="A1379" s="16" t="s">
        <v>36</v>
      </c>
      <c r="B1379" s="49">
        <v>795</v>
      </c>
      <c r="C1379" s="15" t="s">
        <v>173</v>
      </c>
      <c r="D1379" s="15" t="s">
        <v>28</v>
      </c>
      <c r="E1379" s="15" t="s">
        <v>572</v>
      </c>
      <c r="F1379" s="15" t="s">
        <v>37</v>
      </c>
      <c r="G1379" s="8">
        <f t="shared" ref="G1379:I1379" si="386">G1380</f>
        <v>0</v>
      </c>
      <c r="H1379" s="8">
        <f t="shared" si="386"/>
        <v>0</v>
      </c>
      <c r="I1379" s="8">
        <f t="shared" si="386"/>
        <v>0</v>
      </c>
      <c r="J1379" s="1"/>
    </row>
    <row r="1380" spans="1:20" ht="25.5" hidden="1">
      <c r="A1380" s="16" t="s">
        <v>38</v>
      </c>
      <c r="B1380" s="49">
        <v>795</v>
      </c>
      <c r="C1380" s="15" t="s">
        <v>173</v>
      </c>
      <c r="D1380" s="15" t="s">
        <v>28</v>
      </c>
      <c r="E1380" s="15" t="s">
        <v>572</v>
      </c>
      <c r="F1380" s="15" t="s">
        <v>39</v>
      </c>
      <c r="G1380" s="8">
        <f>'прил 5,'!G1998</f>
        <v>0</v>
      </c>
      <c r="H1380" s="8">
        <v>0</v>
      </c>
      <c r="I1380" s="8">
        <v>0</v>
      </c>
      <c r="J1380" s="1"/>
    </row>
    <row r="1381" spans="1:20" ht="25.5">
      <c r="A1381" s="16" t="s">
        <v>96</v>
      </c>
      <c r="B1381" s="49">
        <v>795</v>
      </c>
      <c r="C1381" s="15" t="s">
        <v>173</v>
      </c>
      <c r="D1381" s="15" t="s">
        <v>28</v>
      </c>
      <c r="E1381" s="15" t="s">
        <v>572</v>
      </c>
      <c r="F1381" s="15" t="s">
        <v>349</v>
      </c>
      <c r="G1381" s="8">
        <f t="shared" ref="G1381:I1381" si="387">G1382</f>
        <v>5412980</v>
      </c>
      <c r="H1381" s="8">
        <f t="shared" si="387"/>
        <v>0</v>
      </c>
      <c r="I1381" s="8">
        <f t="shared" si="387"/>
        <v>0</v>
      </c>
      <c r="J1381" s="1"/>
    </row>
    <row r="1382" spans="1:20">
      <c r="A1382" s="16" t="s">
        <v>350</v>
      </c>
      <c r="B1382" s="49">
        <v>795</v>
      </c>
      <c r="C1382" s="15" t="s">
        <v>173</v>
      </c>
      <c r="D1382" s="15" t="s">
        <v>28</v>
      </c>
      <c r="E1382" s="15" t="s">
        <v>572</v>
      </c>
      <c r="F1382" s="15" t="s">
        <v>351</v>
      </c>
      <c r="G1382" s="8">
        <f>'прил 5,'!G1550</f>
        <v>5412980</v>
      </c>
      <c r="H1382" s="8"/>
      <c r="I1382" s="8"/>
      <c r="J1382" s="1"/>
    </row>
    <row r="1383" spans="1:20" ht="25.5">
      <c r="A1383" s="16" t="s">
        <v>30</v>
      </c>
      <c r="B1383" s="14">
        <v>757</v>
      </c>
      <c r="C1383" s="15" t="s">
        <v>44</v>
      </c>
      <c r="D1383" s="15" t="s">
        <v>19</v>
      </c>
      <c r="E1383" s="15" t="s">
        <v>572</v>
      </c>
      <c r="F1383" s="15" t="s">
        <v>31</v>
      </c>
      <c r="G1383" s="8">
        <f t="shared" ref="G1383:I1383" si="388">G1384</f>
        <v>1000000</v>
      </c>
      <c r="H1383" s="8">
        <f t="shared" si="388"/>
        <v>0</v>
      </c>
      <c r="I1383" s="8">
        <f t="shared" si="388"/>
        <v>0</v>
      </c>
      <c r="J1383" s="1"/>
    </row>
    <row r="1384" spans="1:20">
      <c r="A1384" s="16" t="s">
        <v>32</v>
      </c>
      <c r="B1384" s="14">
        <v>757</v>
      </c>
      <c r="C1384" s="15" t="s">
        <v>44</v>
      </c>
      <c r="D1384" s="15" t="s">
        <v>19</v>
      </c>
      <c r="E1384" s="15" t="s">
        <v>572</v>
      </c>
      <c r="F1384" s="15" t="s">
        <v>33</v>
      </c>
      <c r="G1384" s="8">
        <f>'прил 5,'!G236+'прил 5,'!G336+'прил 5,'!G761+'прил 5,'!G110+'прил 5,'!G871+'прил 5,'!G789</f>
        <v>1000000</v>
      </c>
      <c r="H1384" s="8">
        <v>0</v>
      </c>
      <c r="I1384" s="8">
        <v>0</v>
      </c>
      <c r="J1384" s="1"/>
    </row>
    <row r="1385" spans="1:20" s="235" customFormat="1" ht="25.5" customHeight="1">
      <c r="A1385" s="34" t="s">
        <v>318</v>
      </c>
      <c r="B1385" s="35">
        <v>793</v>
      </c>
      <c r="C1385" s="36" t="s">
        <v>19</v>
      </c>
      <c r="D1385" s="36" t="s">
        <v>28</v>
      </c>
      <c r="E1385" s="36" t="s">
        <v>240</v>
      </c>
      <c r="F1385" s="36"/>
      <c r="G1385" s="71">
        <f>G1386+G1393</f>
        <v>50144808.490000002</v>
      </c>
      <c r="H1385" s="71">
        <f>H1386+H1393</f>
        <v>50677498.560000002</v>
      </c>
      <c r="I1385" s="71">
        <f>I1386+I1393</f>
        <v>51327473.43</v>
      </c>
      <c r="J1385" s="234">
        <v>1816051</v>
      </c>
      <c r="P1385" s="234"/>
      <c r="Q1385" s="234"/>
      <c r="R1385" s="234"/>
      <c r="S1385" s="234"/>
      <c r="T1385" s="234"/>
    </row>
    <row r="1386" spans="1:20">
      <c r="A1386" s="16" t="s">
        <v>319</v>
      </c>
      <c r="B1386" s="14">
        <v>793</v>
      </c>
      <c r="C1386" s="15" t="s">
        <v>19</v>
      </c>
      <c r="D1386" s="15" t="s">
        <v>28</v>
      </c>
      <c r="E1386" s="15" t="s">
        <v>241</v>
      </c>
      <c r="F1386" s="15"/>
      <c r="G1386" s="70">
        <f>G1390+G1387</f>
        <v>2168162.42</v>
      </c>
      <c r="H1386" s="70">
        <f t="shared" ref="H1386:I1386" si="389">H1390</f>
        <v>1889447.4</v>
      </c>
      <c r="I1386" s="70">
        <f t="shared" si="389"/>
        <v>1908341.87</v>
      </c>
      <c r="J1386" s="2">
        <v>22376720</v>
      </c>
    </row>
    <row r="1387" spans="1:20" ht="79.5" customHeight="1">
      <c r="A1387" s="82" t="s">
        <v>1086</v>
      </c>
      <c r="B1387" s="149">
        <v>793</v>
      </c>
      <c r="C1387" s="84" t="s">
        <v>19</v>
      </c>
      <c r="D1387" s="84" t="s">
        <v>28</v>
      </c>
      <c r="E1387" s="84" t="s">
        <v>1085</v>
      </c>
      <c r="F1387" s="84"/>
      <c r="G1387" s="87">
        <f t="shared" ref="G1387:I1388" si="390">G1388</f>
        <v>297422.42</v>
      </c>
      <c r="H1387" s="87">
        <f t="shared" si="390"/>
        <v>0</v>
      </c>
      <c r="I1387" s="87">
        <f t="shared" si="390"/>
        <v>0</v>
      </c>
      <c r="J1387" s="177"/>
      <c r="K1387" s="186"/>
      <c r="L1387" s="186"/>
      <c r="M1387" s="186"/>
      <c r="N1387" s="186"/>
      <c r="O1387" s="186"/>
      <c r="P1387" s="186"/>
      <c r="Q1387" s="186"/>
      <c r="R1387" s="186"/>
      <c r="S1387" s="1"/>
      <c r="T1387" s="1"/>
    </row>
    <row r="1388" spans="1:20" ht="51">
      <c r="A1388" s="82" t="s">
        <v>320</v>
      </c>
      <c r="B1388" s="149">
        <v>793</v>
      </c>
      <c r="C1388" s="84" t="s">
        <v>19</v>
      </c>
      <c r="D1388" s="84" t="s">
        <v>28</v>
      </c>
      <c r="E1388" s="84" t="s">
        <v>1085</v>
      </c>
      <c r="F1388" s="84" t="s">
        <v>58</v>
      </c>
      <c r="G1388" s="87">
        <f t="shared" si="390"/>
        <v>297422.42</v>
      </c>
      <c r="H1388" s="87">
        <f t="shared" si="390"/>
        <v>0</v>
      </c>
      <c r="I1388" s="87">
        <f t="shared" si="390"/>
        <v>0</v>
      </c>
      <c r="J1388" s="177"/>
      <c r="K1388" s="186"/>
      <c r="L1388" s="186"/>
      <c r="M1388" s="186"/>
      <c r="N1388" s="186"/>
      <c r="O1388" s="186"/>
      <c r="P1388" s="186"/>
      <c r="Q1388" s="186"/>
      <c r="R1388" s="186"/>
      <c r="S1388" s="1"/>
      <c r="T1388" s="1"/>
    </row>
    <row r="1389" spans="1:20" ht="25.5">
      <c r="A1389" s="82" t="s">
        <v>56</v>
      </c>
      <c r="B1389" s="149">
        <v>793</v>
      </c>
      <c r="C1389" s="84" t="s">
        <v>19</v>
      </c>
      <c r="D1389" s="84" t="s">
        <v>28</v>
      </c>
      <c r="E1389" s="84" t="s">
        <v>1085</v>
      </c>
      <c r="F1389" s="84" t="s">
        <v>59</v>
      </c>
      <c r="G1389" s="87">
        <f>'прил 5,'!G1120</f>
        <v>297422.42</v>
      </c>
      <c r="H1389" s="87"/>
      <c r="I1389" s="87"/>
      <c r="J1389" s="177"/>
      <c r="K1389" s="186"/>
      <c r="L1389" s="186"/>
      <c r="M1389" s="186"/>
      <c r="N1389" s="186"/>
      <c r="O1389" s="186"/>
      <c r="P1389" s="186"/>
      <c r="Q1389" s="186"/>
      <c r="R1389" s="186"/>
      <c r="S1389" s="1"/>
      <c r="T1389" s="1"/>
    </row>
    <row r="1390" spans="1:20" ht="25.5">
      <c r="A1390" s="16" t="s">
        <v>76</v>
      </c>
      <c r="B1390" s="14">
        <v>793</v>
      </c>
      <c r="C1390" s="15" t="s">
        <v>19</v>
      </c>
      <c r="D1390" s="15" t="s">
        <v>28</v>
      </c>
      <c r="E1390" s="15" t="s">
        <v>242</v>
      </c>
      <c r="F1390" s="15"/>
      <c r="G1390" s="70">
        <f>G1391</f>
        <v>1870740</v>
      </c>
      <c r="H1390" s="70">
        <f t="shared" ref="H1390:I1391" si="391">H1391</f>
        <v>1889447.4</v>
      </c>
      <c r="I1390" s="70">
        <f t="shared" si="391"/>
        <v>1908341.87</v>
      </c>
      <c r="J1390" s="2">
        <v>1931480</v>
      </c>
    </row>
    <row r="1391" spans="1:20" ht="51">
      <c r="A1391" s="16" t="s">
        <v>320</v>
      </c>
      <c r="B1391" s="14">
        <v>793</v>
      </c>
      <c r="C1391" s="15" t="s">
        <v>19</v>
      </c>
      <c r="D1391" s="15" t="s">
        <v>28</v>
      </c>
      <c r="E1391" s="15" t="s">
        <v>242</v>
      </c>
      <c r="F1391" s="15" t="s">
        <v>58</v>
      </c>
      <c r="G1391" s="70">
        <f>G1392</f>
        <v>1870740</v>
      </c>
      <c r="H1391" s="70">
        <f t="shared" si="391"/>
        <v>1889447.4</v>
      </c>
      <c r="I1391" s="70">
        <f t="shared" si="391"/>
        <v>1908341.87</v>
      </c>
      <c r="J1391" s="2">
        <v>3861060</v>
      </c>
    </row>
    <row r="1392" spans="1:20" ht="25.5">
      <c r="A1392" s="16" t="s">
        <v>56</v>
      </c>
      <c r="B1392" s="14">
        <v>793</v>
      </c>
      <c r="C1392" s="15" t="s">
        <v>19</v>
      </c>
      <c r="D1392" s="15" t="s">
        <v>28</v>
      </c>
      <c r="E1392" s="15" t="s">
        <v>242</v>
      </c>
      <c r="F1392" s="15" t="s">
        <v>59</v>
      </c>
      <c r="G1392" s="70">
        <f>'прил 5,'!G1125</f>
        <v>1870740</v>
      </c>
      <c r="H1392" s="70">
        <f>'прил 5,'!H1125</f>
        <v>1889447.4</v>
      </c>
      <c r="I1392" s="70">
        <f>'прил 5,'!I1125</f>
        <v>1908341.87</v>
      </c>
      <c r="J1392" s="2">
        <v>36840</v>
      </c>
    </row>
    <row r="1393" spans="1:20" s="46" customFormat="1">
      <c r="A1393" s="56" t="s">
        <v>325</v>
      </c>
      <c r="B1393" s="14">
        <v>793</v>
      </c>
      <c r="C1393" s="15" t="s">
        <v>19</v>
      </c>
      <c r="D1393" s="15" t="s">
        <v>54</v>
      </c>
      <c r="E1393" s="15" t="s">
        <v>245</v>
      </c>
      <c r="F1393" s="15"/>
      <c r="G1393" s="70">
        <f>G1394+G1418+G1403+G1413+G1408+G1421</f>
        <v>47976646.07</v>
      </c>
      <c r="H1393" s="70">
        <f>H1394+H1418+H1403+H1413+H1408</f>
        <v>48788051.160000004</v>
      </c>
      <c r="I1393" s="70">
        <f>I1394+I1418+I1403+I1413+I1408</f>
        <v>49419131.560000002</v>
      </c>
      <c r="J1393" s="110">
        <v>1772668</v>
      </c>
      <c r="P1393" s="110"/>
      <c r="Q1393" s="110"/>
      <c r="R1393" s="110"/>
      <c r="S1393" s="110"/>
      <c r="T1393" s="110"/>
    </row>
    <row r="1394" spans="1:20" s="46" customFormat="1" ht="25.5">
      <c r="A1394" s="16" t="s">
        <v>76</v>
      </c>
      <c r="B1394" s="14">
        <v>793</v>
      </c>
      <c r="C1394" s="15" t="s">
        <v>19</v>
      </c>
      <c r="D1394" s="15" t="s">
        <v>54</v>
      </c>
      <c r="E1394" s="15" t="s">
        <v>246</v>
      </c>
      <c r="F1394" s="15"/>
      <c r="G1394" s="70">
        <f>G1395+G1397+G1401+G1399</f>
        <v>41246492</v>
      </c>
      <c r="H1394" s="70">
        <f t="shared" ref="H1394:I1394" si="392">H1395+H1397+H1401+H1399</f>
        <v>41892191</v>
      </c>
      <c r="I1394" s="70">
        <f t="shared" si="392"/>
        <v>42280397</v>
      </c>
      <c r="J1394" s="110">
        <v>26732</v>
      </c>
      <c r="P1394" s="110"/>
      <c r="Q1394" s="110"/>
      <c r="R1394" s="110"/>
      <c r="S1394" s="110"/>
      <c r="T1394" s="110"/>
    </row>
    <row r="1395" spans="1:20" s="46" customFormat="1" ht="51">
      <c r="A1395" s="16" t="s">
        <v>320</v>
      </c>
      <c r="B1395" s="14">
        <v>793</v>
      </c>
      <c r="C1395" s="15" t="s">
        <v>19</v>
      </c>
      <c r="D1395" s="15" t="s">
        <v>54</v>
      </c>
      <c r="E1395" s="15" t="s">
        <v>246</v>
      </c>
      <c r="F1395" s="15" t="s">
        <v>58</v>
      </c>
      <c r="G1395" s="70">
        <f>G1396</f>
        <v>38443613</v>
      </c>
      <c r="H1395" s="70">
        <f>H1396</f>
        <v>39412631</v>
      </c>
      <c r="I1395" s="70">
        <f>I1396</f>
        <v>39800837</v>
      </c>
      <c r="J1395" s="110">
        <v>292420</v>
      </c>
      <c r="P1395" s="110"/>
      <c r="Q1395" s="110"/>
      <c r="R1395" s="110"/>
      <c r="S1395" s="110"/>
      <c r="T1395" s="110"/>
    </row>
    <row r="1396" spans="1:20" s="46" customFormat="1" ht="34.5" customHeight="1">
      <c r="A1396" s="16" t="s">
        <v>56</v>
      </c>
      <c r="B1396" s="14">
        <v>793</v>
      </c>
      <c r="C1396" s="15" t="s">
        <v>19</v>
      </c>
      <c r="D1396" s="15" t="s">
        <v>54</v>
      </c>
      <c r="E1396" s="15" t="s">
        <v>246</v>
      </c>
      <c r="F1396" s="15" t="s">
        <v>59</v>
      </c>
      <c r="G1396" s="70">
        <f>'прил 5,'!G1135</f>
        <v>38443613</v>
      </c>
      <c r="H1396" s="70">
        <f>'прил 5,'!H1135</f>
        <v>39412631</v>
      </c>
      <c r="I1396" s="70">
        <f>'прил 5,'!I1135</f>
        <v>39800837</v>
      </c>
      <c r="J1396" s="110">
        <v>7380</v>
      </c>
      <c r="P1396" s="110"/>
      <c r="Q1396" s="110"/>
      <c r="R1396" s="110"/>
      <c r="S1396" s="110"/>
      <c r="T1396" s="110"/>
    </row>
    <row r="1397" spans="1:20" s="46" customFormat="1">
      <c r="A1397" s="16" t="s">
        <v>324</v>
      </c>
      <c r="B1397" s="14">
        <v>793</v>
      </c>
      <c r="C1397" s="15" t="s">
        <v>19</v>
      </c>
      <c r="D1397" s="15" t="s">
        <v>54</v>
      </c>
      <c r="E1397" s="15" t="s">
        <v>246</v>
      </c>
      <c r="F1397" s="15" t="s">
        <v>37</v>
      </c>
      <c r="G1397" s="70">
        <f>G1398</f>
        <v>2578597.85</v>
      </c>
      <c r="H1397" s="70">
        <f t="shared" ref="H1397:I1397" si="393">H1398</f>
        <v>2474560</v>
      </c>
      <c r="I1397" s="70">
        <f t="shared" si="393"/>
        <v>2474560</v>
      </c>
      <c r="J1397" s="110">
        <v>10000</v>
      </c>
      <c r="P1397" s="110"/>
      <c r="Q1397" s="110"/>
      <c r="R1397" s="110"/>
      <c r="S1397" s="110"/>
      <c r="T1397" s="110"/>
    </row>
    <row r="1398" spans="1:20" s="46" customFormat="1" ht="25.5">
      <c r="A1398" s="16" t="s">
        <v>38</v>
      </c>
      <c r="B1398" s="14">
        <v>793</v>
      </c>
      <c r="C1398" s="15" t="s">
        <v>19</v>
      </c>
      <c r="D1398" s="15" t="s">
        <v>54</v>
      </c>
      <c r="E1398" s="15" t="s">
        <v>246</v>
      </c>
      <c r="F1398" s="15" t="s">
        <v>39</v>
      </c>
      <c r="G1398" s="70">
        <f>'прил 5,'!G1137</f>
        <v>2578597.85</v>
      </c>
      <c r="H1398" s="70">
        <f>'прил 5,'!H1137</f>
        <v>2474560</v>
      </c>
      <c r="I1398" s="70">
        <f>'прил 5,'!I1137</f>
        <v>2474560</v>
      </c>
      <c r="J1398" s="110">
        <f>SUM(J1385:J1397)</f>
        <v>32131351</v>
      </c>
      <c r="P1398" s="110"/>
      <c r="Q1398" s="110"/>
      <c r="R1398" s="110"/>
      <c r="S1398" s="110"/>
      <c r="T1398" s="110"/>
    </row>
    <row r="1399" spans="1:20" s="46" customFormat="1" ht="21.75" customHeight="1">
      <c r="A1399" s="16" t="s">
        <v>148</v>
      </c>
      <c r="B1399" s="14">
        <v>793</v>
      </c>
      <c r="C1399" s="15" t="s">
        <v>19</v>
      </c>
      <c r="D1399" s="15" t="s">
        <v>54</v>
      </c>
      <c r="E1399" s="15" t="s">
        <v>246</v>
      </c>
      <c r="F1399" s="15" t="s">
        <v>149</v>
      </c>
      <c r="G1399" s="70">
        <f>G1400</f>
        <v>200196.82</v>
      </c>
      <c r="H1399" s="70"/>
      <c r="I1399" s="70"/>
      <c r="J1399" s="177"/>
      <c r="K1399" s="222"/>
      <c r="L1399" s="222"/>
      <c r="M1399" s="222"/>
      <c r="N1399" s="222"/>
      <c r="O1399" s="222"/>
      <c r="P1399" s="222"/>
      <c r="Q1399" s="222"/>
      <c r="R1399" s="222"/>
    </row>
    <row r="1400" spans="1:20" s="46" customFormat="1" ht="29.25" customHeight="1">
      <c r="A1400" s="16" t="s">
        <v>150</v>
      </c>
      <c r="B1400" s="14">
        <v>793</v>
      </c>
      <c r="C1400" s="15" t="s">
        <v>19</v>
      </c>
      <c r="D1400" s="15" t="s">
        <v>54</v>
      </c>
      <c r="E1400" s="15" t="s">
        <v>246</v>
      </c>
      <c r="F1400" s="15" t="s">
        <v>151</v>
      </c>
      <c r="G1400" s="70">
        <v>200196.82</v>
      </c>
      <c r="H1400" s="70"/>
      <c r="I1400" s="70"/>
      <c r="J1400" s="177"/>
      <c r="K1400" s="222"/>
      <c r="L1400" s="222"/>
      <c r="M1400" s="222"/>
      <c r="N1400" s="222"/>
      <c r="O1400" s="222"/>
      <c r="P1400" s="222"/>
      <c r="Q1400" s="222"/>
      <c r="R1400" s="222"/>
    </row>
    <row r="1401" spans="1:20" s="46" customFormat="1" ht="13.5" customHeight="1">
      <c r="A1401" s="16" t="s">
        <v>63</v>
      </c>
      <c r="B1401" s="14">
        <v>793</v>
      </c>
      <c r="C1401" s="15" t="s">
        <v>19</v>
      </c>
      <c r="D1401" s="15" t="s">
        <v>54</v>
      </c>
      <c r="E1401" s="15" t="s">
        <v>246</v>
      </c>
      <c r="F1401" s="15" t="s">
        <v>64</v>
      </c>
      <c r="G1401" s="70">
        <f>G1402</f>
        <v>24084.33</v>
      </c>
      <c r="H1401" s="70">
        <f>H1402</f>
        <v>5000</v>
      </c>
      <c r="I1401" s="70">
        <f>I1402</f>
        <v>5000</v>
      </c>
      <c r="J1401" s="110"/>
      <c r="P1401" s="110"/>
      <c r="Q1401" s="110"/>
      <c r="R1401" s="110"/>
      <c r="S1401" s="110"/>
      <c r="T1401" s="110"/>
    </row>
    <row r="1402" spans="1:20" s="46" customFormat="1">
      <c r="A1402" s="16" t="s">
        <v>144</v>
      </c>
      <c r="B1402" s="14">
        <v>793</v>
      </c>
      <c r="C1402" s="15" t="s">
        <v>19</v>
      </c>
      <c r="D1402" s="15" t="s">
        <v>54</v>
      </c>
      <c r="E1402" s="15" t="s">
        <v>246</v>
      </c>
      <c r="F1402" s="15" t="s">
        <v>67</v>
      </c>
      <c r="G1402" s="70">
        <f>'прил 5,'!G1141</f>
        <v>24084.33</v>
      </c>
      <c r="H1402" s="70">
        <f>'прил 5,'!H1141</f>
        <v>5000</v>
      </c>
      <c r="I1402" s="70">
        <f>'прил 5,'!I1141</f>
        <v>5000</v>
      </c>
      <c r="J1402" s="110"/>
      <c r="P1402" s="110"/>
      <c r="Q1402" s="110"/>
      <c r="R1402" s="110"/>
      <c r="S1402" s="110"/>
      <c r="T1402" s="110"/>
    </row>
    <row r="1403" spans="1:20" s="3" customFormat="1" ht="63.75">
      <c r="A1403" s="16" t="s">
        <v>684</v>
      </c>
      <c r="B1403" s="14">
        <v>793</v>
      </c>
      <c r="C1403" s="15" t="s">
        <v>19</v>
      </c>
      <c r="D1403" s="15" t="s">
        <v>54</v>
      </c>
      <c r="E1403" s="15" t="s">
        <v>682</v>
      </c>
      <c r="F1403" s="15"/>
      <c r="G1403" s="70">
        <f>G1404+G1406</f>
        <v>4801569.55</v>
      </c>
      <c r="H1403" s="70">
        <f>H1404+H1406</f>
        <v>4970232.34</v>
      </c>
      <c r="I1403" s="70">
        <f>I1404+I1406</f>
        <v>5145641.63</v>
      </c>
      <c r="J1403" s="111"/>
      <c r="P1403" s="111"/>
      <c r="Q1403" s="111"/>
      <c r="R1403" s="111"/>
      <c r="S1403" s="111"/>
      <c r="T1403" s="111"/>
    </row>
    <row r="1404" spans="1:20" s="3" customFormat="1" ht="51">
      <c r="A1404" s="16" t="s">
        <v>320</v>
      </c>
      <c r="B1404" s="14">
        <v>793</v>
      </c>
      <c r="C1404" s="15" t="s">
        <v>19</v>
      </c>
      <c r="D1404" s="15" t="s">
        <v>54</v>
      </c>
      <c r="E1404" s="15" t="s">
        <v>682</v>
      </c>
      <c r="F1404" s="15" t="s">
        <v>58</v>
      </c>
      <c r="G1404" s="70">
        <f>G1405</f>
        <v>4346569.55</v>
      </c>
      <c r="H1404" s="70">
        <f t="shared" ref="H1404:I1404" si="394">H1405</f>
        <v>4515232.34</v>
      </c>
      <c r="I1404" s="70">
        <f t="shared" si="394"/>
        <v>4690641.63</v>
      </c>
      <c r="J1404" s="111"/>
      <c r="P1404" s="111"/>
      <c r="Q1404" s="111"/>
      <c r="R1404" s="111"/>
      <c r="S1404" s="111"/>
      <c r="T1404" s="111"/>
    </row>
    <row r="1405" spans="1:20" s="3" customFormat="1" ht="25.5">
      <c r="A1405" s="16" t="s">
        <v>56</v>
      </c>
      <c r="B1405" s="14">
        <v>793</v>
      </c>
      <c r="C1405" s="15" t="s">
        <v>19</v>
      </c>
      <c r="D1405" s="15" t="s">
        <v>54</v>
      </c>
      <c r="E1405" s="15" t="s">
        <v>682</v>
      </c>
      <c r="F1405" s="15" t="s">
        <v>59</v>
      </c>
      <c r="G1405" s="70">
        <f>'прил 5,'!G1144</f>
        <v>4346569.55</v>
      </c>
      <c r="H1405" s="70">
        <f>'прил 5,'!H1144</f>
        <v>4515232.34</v>
      </c>
      <c r="I1405" s="70">
        <f>'прил 5,'!I1144</f>
        <v>4690641.63</v>
      </c>
      <c r="J1405" s="111"/>
      <c r="P1405" s="111"/>
      <c r="Q1405" s="111"/>
      <c r="R1405" s="111"/>
      <c r="S1405" s="111"/>
      <c r="T1405" s="111"/>
    </row>
    <row r="1406" spans="1:20" s="3" customFormat="1">
      <c r="A1406" s="16" t="s">
        <v>324</v>
      </c>
      <c r="B1406" s="14">
        <v>793</v>
      </c>
      <c r="C1406" s="15" t="s">
        <v>19</v>
      </c>
      <c r="D1406" s="15" t="s">
        <v>54</v>
      </c>
      <c r="E1406" s="15" t="s">
        <v>682</v>
      </c>
      <c r="F1406" s="15" t="s">
        <v>37</v>
      </c>
      <c r="G1406" s="70">
        <f>G1407</f>
        <v>455000</v>
      </c>
      <c r="H1406" s="70">
        <f>H1407</f>
        <v>455000</v>
      </c>
      <c r="I1406" s="70">
        <f>I1407</f>
        <v>455000</v>
      </c>
      <c r="J1406" s="111"/>
      <c r="P1406" s="111"/>
      <c r="Q1406" s="111"/>
      <c r="R1406" s="111"/>
      <c r="S1406" s="111"/>
      <c r="T1406" s="111"/>
    </row>
    <row r="1407" spans="1:20" s="3" customFormat="1" ht="25.5">
      <c r="A1407" s="16" t="s">
        <v>38</v>
      </c>
      <c r="B1407" s="14">
        <v>793</v>
      </c>
      <c r="C1407" s="15" t="s">
        <v>19</v>
      </c>
      <c r="D1407" s="15" t="s">
        <v>54</v>
      </c>
      <c r="E1407" s="15" t="s">
        <v>682</v>
      </c>
      <c r="F1407" s="15" t="s">
        <v>39</v>
      </c>
      <c r="G1407" s="70">
        <f>'прил 5,'!G1146</f>
        <v>455000</v>
      </c>
      <c r="H1407" s="70">
        <f>'прил 5,'!H1146</f>
        <v>455000</v>
      </c>
      <c r="I1407" s="70">
        <f>'прил 5,'!I1146</f>
        <v>455000</v>
      </c>
      <c r="J1407" s="111"/>
      <c r="P1407" s="111"/>
      <c r="Q1407" s="111"/>
      <c r="R1407" s="111"/>
      <c r="S1407" s="111"/>
      <c r="T1407" s="111"/>
    </row>
    <row r="1408" spans="1:20" s="3" customFormat="1" ht="76.5">
      <c r="A1408" s="16" t="s">
        <v>685</v>
      </c>
      <c r="B1408" s="14">
        <v>793</v>
      </c>
      <c r="C1408" s="15" t="s">
        <v>19</v>
      </c>
      <c r="D1408" s="15" t="s">
        <v>54</v>
      </c>
      <c r="E1408" s="15" t="s">
        <v>686</v>
      </c>
      <c r="F1408" s="15"/>
      <c r="G1408" s="70">
        <f>G1409+G1411</f>
        <v>1477406.02</v>
      </c>
      <c r="H1408" s="70">
        <f>H1409+H1411</f>
        <v>1529302.26</v>
      </c>
      <c r="I1408" s="70">
        <f>I1409+I1411</f>
        <v>1583274.35</v>
      </c>
      <c r="J1408" s="111"/>
      <c r="P1408" s="111"/>
      <c r="Q1408" s="111"/>
      <c r="R1408" s="111"/>
      <c r="S1408" s="111"/>
      <c r="T1408" s="111"/>
    </row>
    <row r="1409" spans="1:20" s="3" customFormat="1" ht="51">
      <c r="A1409" s="16" t="s">
        <v>320</v>
      </c>
      <c r="B1409" s="14">
        <v>793</v>
      </c>
      <c r="C1409" s="15" t="s">
        <v>19</v>
      </c>
      <c r="D1409" s="15" t="s">
        <v>54</v>
      </c>
      <c r="E1409" s="15" t="s">
        <v>724</v>
      </c>
      <c r="F1409" s="15" t="s">
        <v>58</v>
      </c>
      <c r="G1409" s="70">
        <f>G1410</f>
        <v>1337406.02</v>
      </c>
      <c r="H1409" s="70">
        <f>H1410</f>
        <v>1389302.26</v>
      </c>
      <c r="I1409" s="70">
        <f>I1410</f>
        <v>1443274.35</v>
      </c>
      <c r="J1409" s="111"/>
      <c r="P1409" s="111"/>
      <c r="Q1409" s="111"/>
      <c r="R1409" s="111"/>
      <c r="S1409" s="111"/>
      <c r="T1409" s="111"/>
    </row>
    <row r="1410" spans="1:20" s="3" customFormat="1" ht="25.5">
      <c r="A1410" s="16" t="s">
        <v>56</v>
      </c>
      <c r="B1410" s="14">
        <v>793</v>
      </c>
      <c r="C1410" s="15" t="s">
        <v>19</v>
      </c>
      <c r="D1410" s="15" t="s">
        <v>54</v>
      </c>
      <c r="E1410" s="15" t="s">
        <v>724</v>
      </c>
      <c r="F1410" s="15" t="s">
        <v>59</v>
      </c>
      <c r="G1410" s="70">
        <f>'прил 5,'!G1149</f>
        <v>1337406.02</v>
      </c>
      <c r="H1410" s="70">
        <f>'прил 5,'!H1149</f>
        <v>1389302.26</v>
      </c>
      <c r="I1410" s="70">
        <f>'прил 5,'!I1149</f>
        <v>1443274.35</v>
      </c>
      <c r="J1410" s="111"/>
      <c r="P1410" s="111"/>
      <c r="Q1410" s="111"/>
      <c r="R1410" s="111"/>
      <c r="S1410" s="111"/>
      <c r="T1410" s="111"/>
    </row>
    <row r="1411" spans="1:20" s="3" customFormat="1">
      <c r="A1411" s="16" t="s">
        <v>324</v>
      </c>
      <c r="B1411" s="14">
        <v>793</v>
      </c>
      <c r="C1411" s="15" t="s">
        <v>19</v>
      </c>
      <c r="D1411" s="15" t="s">
        <v>54</v>
      </c>
      <c r="E1411" s="15" t="s">
        <v>724</v>
      </c>
      <c r="F1411" s="15" t="s">
        <v>37</v>
      </c>
      <c r="G1411" s="70">
        <f>G1412</f>
        <v>140000</v>
      </c>
      <c r="H1411" s="70">
        <f>H1412</f>
        <v>140000</v>
      </c>
      <c r="I1411" s="70">
        <f>I1412</f>
        <v>140000</v>
      </c>
      <c r="J1411" s="111"/>
      <c r="P1411" s="111"/>
      <c r="Q1411" s="111"/>
      <c r="R1411" s="111"/>
      <c r="S1411" s="111"/>
      <c r="T1411" s="111"/>
    </row>
    <row r="1412" spans="1:20" s="3" customFormat="1" ht="25.5">
      <c r="A1412" s="16" t="s">
        <v>38</v>
      </c>
      <c r="B1412" s="14">
        <v>793</v>
      </c>
      <c r="C1412" s="15" t="s">
        <v>19</v>
      </c>
      <c r="D1412" s="15" t="s">
        <v>54</v>
      </c>
      <c r="E1412" s="15" t="s">
        <v>724</v>
      </c>
      <c r="F1412" s="15" t="s">
        <v>39</v>
      </c>
      <c r="G1412" s="70">
        <f>'прил 5,'!G1153</f>
        <v>140000</v>
      </c>
      <c r="H1412" s="70">
        <f>'прил 5,'!H1153</f>
        <v>140000</v>
      </c>
      <c r="I1412" s="70">
        <f>'прил 5,'!I1153</f>
        <v>140000</v>
      </c>
      <c r="J1412" s="111"/>
      <c r="P1412" s="111"/>
      <c r="Q1412" s="111"/>
      <c r="R1412" s="111"/>
      <c r="S1412" s="111"/>
      <c r="T1412" s="111"/>
    </row>
    <row r="1413" spans="1:20" ht="25.5" customHeight="1">
      <c r="A1413" s="81" t="s">
        <v>330</v>
      </c>
      <c r="B1413" s="14">
        <v>793</v>
      </c>
      <c r="C1413" s="15" t="s">
        <v>19</v>
      </c>
      <c r="D1413" s="15" t="s">
        <v>54</v>
      </c>
      <c r="E1413" s="15" t="s">
        <v>247</v>
      </c>
      <c r="F1413" s="15"/>
      <c r="G1413" s="70">
        <f>G1414+G1416</f>
        <v>369351.5</v>
      </c>
      <c r="H1413" s="70">
        <f>H1414+H1416</f>
        <v>382325.56</v>
      </c>
      <c r="I1413" s="70">
        <f>I1414+I1416</f>
        <v>395818.58</v>
      </c>
    </row>
    <row r="1414" spans="1:20" s="3" customFormat="1" ht="51">
      <c r="A1414" s="16" t="s">
        <v>320</v>
      </c>
      <c r="B1414" s="14">
        <v>793</v>
      </c>
      <c r="C1414" s="15" t="s">
        <v>19</v>
      </c>
      <c r="D1414" s="15" t="s">
        <v>54</v>
      </c>
      <c r="E1414" s="15" t="s">
        <v>247</v>
      </c>
      <c r="F1414" s="15" t="s">
        <v>58</v>
      </c>
      <c r="G1414" s="70">
        <f>G1415</f>
        <v>359351.5</v>
      </c>
      <c r="H1414" s="70">
        <f>H1415</f>
        <v>372325.56</v>
      </c>
      <c r="I1414" s="70">
        <f>I1415</f>
        <v>385818.58</v>
      </c>
      <c r="J1414" s="111"/>
      <c r="P1414" s="111"/>
      <c r="Q1414" s="111"/>
      <c r="R1414" s="111"/>
      <c r="S1414" s="111"/>
      <c r="T1414" s="111"/>
    </row>
    <row r="1415" spans="1:20" s="3" customFormat="1" ht="25.5">
      <c r="A1415" s="16" t="s">
        <v>56</v>
      </c>
      <c r="B1415" s="14">
        <v>793</v>
      </c>
      <c r="C1415" s="15" t="s">
        <v>19</v>
      </c>
      <c r="D1415" s="15" t="s">
        <v>54</v>
      </c>
      <c r="E1415" s="15" t="s">
        <v>247</v>
      </c>
      <c r="F1415" s="15" t="s">
        <v>59</v>
      </c>
      <c r="G1415" s="70">
        <f>'прил 5,'!G1156</f>
        <v>359351.5</v>
      </c>
      <c r="H1415" s="70">
        <f>'прил 5,'!H1156</f>
        <v>372325.56</v>
      </c>
      <c r="I1415" s="70">
        <f>'прил 5,'!I1156</f>
        <v>385818.58</v>
      </c>
      <c r="J1415" s="111"/>
      <c r="P1415" s="111"/>
      <c r="Q1415" s="111"/>
      <c r="R1415" s="111"/>
      <c r="S1415" s="111"/>
      <c r="T1415" s="111"/>
    </row>
    <row r="1416" spans="1:20" ht="25.5" customHeight="1">
      <c r="A1416" s="16" t="s">
        <v>324</v>
      </c>
      <c r="B1416" s="14">
        <v>793</v>
      </c>
      <c r="C1416" s="15" t="s">
        <v>19</v>
      </c>
      <c r="D1416" s="15" t="s">
        <v>54</v>
      </c>
      <c r="E1416" s="15" t="s">
        <v>247</v>
      </c>
      <c r="F1416" s="15" t="s">
        <v>37</v>
      </c>
      <c r="G1416" s="70">
        <f>G1417</f>
        <v>10000</v>
      </c>
      <c r="H1416" s="70">
        <f>H1417</f>
        <v>10000</v>
      </c>
      <c r="I1416" s="70">
        <f>I1417</f>
        <v>10000</v>
      </c>
    </row>
    <row r="1417" spans="1:20" ht="25.5" customHeight="1">
      <c r="A1417" s="16" t="s">
        <v>38</v>
      </c>
      <c r="B1417" s="14">
        <v>793</v>
      </c>
      <c r="C1417" s="15" t="s">
        <v>19</v>
      </c>
      <c r="D1417" s="15" t="s">
        <v>54</v>
      </c>
      <c r="E1417" s="15" t="s">
        <v>247</v>
      </c>
      <c r="F1417" s="15" t="s">
        <v>39</v>
      </c>
      <c r="G1417" s="70">
        <f>'прил 5,'!G1158</f>
        <v>10000</v>
      </c>
      <c r="H1417" s="70">
        <f>'прил 5,'!H1158</f>
        <v>10000</v>
      </c>
      <c r="I1417" s="70">
        <f>'прил 5,'!I1158</f>
        <v>10000</v>
      </c>
    </row>
    <row r="1418" spans="1:20" s="46" customFormat="1" ht="63.75">
      <c r="A1418" s="16" t="s">
        <v>331</v>
      </c>
      <c r="B1418" s="14">
        <v>793</v>
      </c>
      <c r="C1418" s="15" t="s">
        <v>19</v>
      </c>
      <c r="D1418" s="15" t="s">
        <v>54</v>
      </c>
      <c r="E1418" s="15" t="s">
        <v>387</v>
      </c>
      <c r="F1418" s="15"/>
      <c r="G1418" s="70">
        <f t="shared" ref="G1418:I1419" si="395">G1419</f>
        <v>14000</v>
      </c>
      <c r="H1418" s="70">
        <f t="shared" si="395"/>
        <v>14000</v>
      </c>
      <c r="I1418" s="70">
        <f t="shared" si="395"/>
        <v>14000</v>
      </c>
      <c r="J1418" s="110"/>
      <c r="P1418" s="110"/>
      <c r="Q1418" s="110"/>
      <c r="R1418" s="110"/>
      <c r="S1418" s="110"/>
      <c r="T1418" s="110"/>
    </row>
    <row r="1419" spans="1:20" s="46" customFormat="1">
      <c r="A1419" s="16" t="s">
        <v>324</v>
      </c>
      <c r="B1419" s="14">
        <v>793</v>
      </c>
      <c r="C1419" s="15" t="s">
        <v>19</v>
      </c>
      <c r="D1419" s="15" t="s">
        <v>54</v>
      </c>
      <c r="E1419" s="15" t="s">
        <v>387</v>
      </c>
      <c r="F1419" s="15" t="s">
        <v>37</v>
      </c>
      <c r="G1419" s="87">
        <f t="shared" si="395"/>
        <v>14000</v>
      </c>
      <c r="H1419" s="87">
        <f t="shared" si="395"/>
        <v>14000</v>
      </c>
      <c r="I1419" s="87">
        <f t="shared" si="395"/>
        <v>14000</v>
      </c>
      <c r="J1419" s="110"/>
      <c r="P1419" s="110"/>
      <c r="Q1419" s="110"/>
      <c r="R1419" s="110"/>
      <c r="S1419" s="110"/>
      <c r="T1419" s="110"/>
    </row>
    <row r="1420" spans="1:20" s="46" customFormat="1" ht="25.5">
      <c r="A1420" s="16" t="s">
        <v>38</v>
      </c>
      <c r="B1420" s="14">
        <v>793</v>
      </c>
      <c r="C1420" s="15" t="s">
        <v>19</v>
      </c>
      <c r="D1420" s="15" t="s">
        <v>54</v>
      </c>
      <c r="E1420" s="15" t="s">
        <v>387</v>
      </c>
      <c r="F1420" s="15" t="s">
        <v>39</v>
      </c>
      <c r="G1420" s="87">
        <f>'прил 5,'!G1161</f>
        <v>14000</v>
      </c>
      <c r="H1420" s="87">
        <f>'прил 5,'!H1161</f>
        <v>14000</v>
      </c>
      <c r="I1420" s="87">
        <f>'прил 5,'!I1161</f>
        <v>14000</v>
      </c>
      <c r="J1420" s="110"/>
      <c r="P1420" s="110"/>
      <c r="Q1420" s="110"/>
      <c r="R1420" s="110"/>
      <c r="S1420" s="110"/>
      <c r="T1420" s="110"/>
    </row>
    <row r="1421" spans="1:20" s="46" customFormat="1" ht="102" customHeight="1">
      <c r="A1421" s="16" t="s">
        <v>947</v>
      </c>
      <c r="B1421" s="14">
        <v>793</v>
      </c>
      <c r="C1421" s="15" t="s">
        <v>19</v>
      </c>
      <c r="D1421" s="15" t="s">
        <v>54</v>
      </c>
      <c r="E1421" s="15" t="s">
        <v>946</v>
      </c>
      <c r="F1421" s="15"/>
      <c r="G1421" s="70">
        <f t="shared" ref="G1421:I1422" si="396">G1422</f>
        <v>67827</v>
      </c>
      <c r="H1421" s="70">
        <f t="shared" si="396"/>
        <v>0</v>
      </c>
      <c r="I1421" s="70">
        <f t="shared" si="396"/>
        <v>0</v>
      </c>
      <c r="J1421" s="177"/>
      <c r="K1421" s="222"/>
      <c r="L1421" s="222"/>
      <c r="M1421" s="222"/>
      <c r="N1421" s="222"/>
      <c r="O1421" s="222"/>
      <c r="P1421" s="222"/>
      <c r="Q1421" s="222"/>
      <c r="R1421" s="222"/>
    </row>
    <row r="1422" spans="1:20" s="46" customFormat="1" ht="27" customHeight="1">
      <c r="A1422" s="16" t="s">
        <v>324</v>
      </c>
      <c r="B1422" s="14">
        <v>793</v>
      </c>
      <c r="C1422" s="15" t="s">
        <v>19</v>
      </c>
      <c r="D1422" s="15" t="s">
        <v>54</v>
      </c>
      <c r="E1422" s="15" t="s">
        <v>946</v>
      </c>
      <c r="F1422" s="15" t="s">
        <v>37</v>
      </c>
      <c r="G1422" s="70">
        <f t="shared" si="396"/>
        <v>67827</v>
      </c>
      <c r="H1422" s="70">
        <f t="shared" si="396"/>
        <v>0</v>
      </c>
      <c r="I1422" s="70">
        <f t="shared" si="396"/>
        <v>0</v>
      </c>
      <c r="J1422" s="177"/>
      <c r="K1422" s="222"/>
      <c r="L1422" s="222"/>
      <c r="M1422" s="222"/>
      <c r="N1422" s="222"/>
      <c r="O1422" s="222"/>
      <c r="P1422" s="222"/>
      <c r="Q1422" s="222"/>
      <c r="R1422" s="222"/>
    </row>
    <row r="1423" spans="1:20" s="46" customFormat="1" ht="25.5">
      <c r="A1423" s="16" t="s">
        <v>38</v>
      </c>
      <c r="B1423" s="14">
        <v>793</v>
      </c>
      <c r="C1423" s="15" t="s">
        <v>19</v>
      </c>
      <c r="D1423" s="15" t="s">
        <v>54</v>
      </c>
      <c r="E1423" s="15" t="s">
        <v>946</v>
      </c>
      <c r="F1423" s="15" t="s">
        <v>39</v>
      </c>
      <c r="G1423" s="70">
        <f>'прил 5,'!G1164</f>
        <v>67827</v>
      </c>
      <c r="H1423" s="70">
        <v>0</v>
      </c>
      <c r="I1423" s="70">
        <v>0</v>
      </c>
      <c r="J1423" s="177"/>
      <c r="K1423" s="222"/>
      <c r="L1423" s="222"/>
      <c r="M1423" s="222"/>
      <c r="N1423" s="222"/>
      <c r="O1423" s="222"/>
      <c r="P1423" s="222"/>
      <c r="Q1423" s="222"/>
      <c r="R1423" s="222"/>
    </row>
    <row r="1424" spans="1:20" s="22" customFormat="1" ht="25.5">
      <c r="A1424" s="34" t="s">
        <v>363</v>
      </c>
      <c r="B1424" s="35">
        <v>794</v>
      </c>
      <c r="C1424" s="36" t="s">
        <v>19</v>
      </c>
      <c r="D1424" s="36" t="s">
        <v>70</v>
      </c>
      <c r="E1424" s="36" t="s">
        <v>264</v>
      </c>
      <c r="F1424" s="36"/>
      <c r="G1424" s="71">
        <f>G1425+G1429+G1433</f>
        <v>3254488.71</v>
      </c>
      <c r="H1424" s="71">
        <f>H1425+H1429+H1433+H1440</f>
        <v>3280281.71</v>
      </c>
      <c r="I1424" s="71">
        <f>I1425+I1429+I1433+I1440</f>
        <v>3306331.71</v>
      </c>
      <c r="J1424" s="21">
        <v>1141737</v>
      </c>
      <c r="P1424" s="21"/>
      <c r="Q1424" s="21"/>
      <c r="R1424" s="21"/>
      <c r="S1424" s="21"/>
      <c r="T1424" s="21"/>
    </row>
    <row r="1425" spans="1:20" s="33" customFormat="1" ht="25.5">
      <c r="A1425" s="16" t="s">
        <v>364</v>
      </c>
      <c r="B1425" s="14">
        <v>794</v>
      </c>
      <c r="C1425" s="15" t="s">
        <v>19</v>
      </c>
      <c r="D1425" s="15" t="s">
        <v>70</v>
      </c>
      <c r="E1425" s="15" t="s">
        <v>265</v>
      </c>
      <c r="F1425" s="39"/>
      <c r="G1425" s="87">
        <f>G1426</f>
        <v>1176097</v>
      </c>
      <c r="H1425" s="87">
        <f t="shared" ref="H1425:I1427" si="397">H1426</f>
        <v>1187858</v>
      </c>
      <c r="I1425" s="87">
        <f t="shared" si="397"/>
        <v>1199736</v>
      </c>
      <c r="J1425" s="113">
        <v>541620</v>
      </c>
      <c r="P1425" s="113"/>
      <c r="Q1425" s="113"/>
      <c r="R1425" s="113"/>
      <c r="S1425" s="113"/>
      <c r="T1425" s="113"/>
    </row>
    <row r="1426" spans="1:20" s="33" customFormat="1" ht="25.5">
      <c r="A1426" s="16" t="s">
        <v>76</v>
      </c>
      <c r="B1426" s="14">
        <v>794</v>
      </c>
      <c r="C1426" s="15" t="s">
        <v>19</v>
      </c>
      <c r="D1426" s="15" t="s">
        <v>70</v>
      </c>
      <c r="E1426" s="15" t="s">
        <v>266</v>
      </c>
      <c r="F1426" s="15"/>
      <c r="G1426" s="87">
        <f>G1427</f>
        <v>1176097</v>
      </c>
      <c r="H1426" s="87">
        <f t="shared" si="397"/>
        <v>1187858</v>
      </c>
      <c r="I1426" s="87">
        <f t="shared" si="397"/>
        <v>1199736</v>
      </c>
      <c r="J1426" s="113">
        <v>797785</v>
      </c>
      <c r="P1426" s="113"/>
      <c r="Q1426" s="113"/>
      <c r="R1426" s="113"/>
      <c r="S1426" s="113"/>
      <c r="T1426" s="113"/>
    </row>
    <row r="1427" spans="1:20" s="33" customFormat="1" ht="51">
      <c r="A1427" s="56" t="s">
        <v>55</v>
      </c>
      <c r="B1427" s="14">
        <v>794</v>
      </c>
      <c r="C1427" s="15" t="s">
        <v>19</v>
      </c>
      <c r="D1427" s="15" t="s">
        <v>70</v>
      </c>
      <c r="E1427" s="15" t="s">
        <v>266</v>
      </c>
      <c r="F1427" s="15" t="s">
        <v>58</v>
      </c>
      <c r="G1427" s="87">
        <f>G1428</f>
        <v>1176097</v>
      </c>
      <c r="H1427" s="87">
        <f t="shared" si="397"/>
        <v>1187858</v>
      </c>
      <c r="I1427" s="87">
        <f t="shared" si="397"/>
        <v>1199736</v>
      </c>
      <c r="J1427" s="113">
        <v>630505</v>
      </c>
      <c r="P1427" s="113"/>
      <c r="Q1427" s="113"/>
      <c r="R1427" s="113"/>
      <c r="S1427" s="113"/>
      <c r="T1427" s="113"/>
    </row>
    <row r="1428" spans="1:20" ht="25.5">
      <c r="A1428" s="56" t="s">
        <v>56</v>
      </c>
      <c r="B1428" s="14">
        <v>794</v>
      </c>
      <c r="C1428" s="15" t="s">
        <v>19</v>
      </c>
      <c r="D1428" s="15" t="s">
        <v>70</v>
      </c>
      <c r="E1428" s="15" t="s">
        <v>266</v>
      </c>
      <c r="F1428" s="15" t="s">
        <v>59</v>
      </c>
      <c r="G1428" s="87">
        <f>'прил 5,'!G1786</f>
        <v>1176097</v>
      </c>
      <c r="H1428" s="87">
        <f>'прил 5,'!H1786</f>
        <v>1187858</v>
      </c>
      <c r="I1428" s="87">
        <f>'прил 5,'!I1786</f>
        <v>1199736</v>
      </c>
      <c r="J1428" s="113">
        <v>1885891</v>
      </c>
    </row>
    <row r="1429" spans="1:20" s="33" customFormat="1" ht="25.5">
      <c r="A1429" s="16" t="s">
        <v>365</v>
      </c>
      <c r="B1429" s="14">
        <v>794</v>
      </c>
      <c r="C1429" s="15" t="s">
        <v>19</v>
      </c>
      <c r="D1429" s="15" t="s">
        <v>70</v>
      </c>
      <c r="E1429" s="15" t="s">
        <v>267</v>
      </c>
      <c r="F1429" s="39"/>
      <c r="G1429" s="87">
        <f>G1430</f>
        <v>505512</v>
      </c>
      <c r="H1429" s="87">
        <f t="shared" ref="H1429:I1431" si="398">H1430</f>
        <v>505512</v>
      </c>
      <c r="I1429" s="87">
        <f t="shared" si="398"/>
        <v>505512</v>
      </c>
      <c r="J1429" s="113">
        <v>61300</v>
      </c>
      <c r="P1429" s="113"/>
      <c r="Q1429" s="113"/>
      <c r="R1429" s="113"/>
      <c r="S1429" s="113"/>
      <c r="T1429" s="113"/>
    </row>
    <row r="1430" spans="1:20" s="33" customFormat="1" ht="25.5">
      <c r="A1430" s="16" t="s">
        <v>76</v>
      </c>
      <c r="B1430" s="14">
        <v>794</v>
      </c>
      <c r="C1430" s="15" t="s">
        <v>19</v>
      </c>
      <c r="D1430" s="15" t="s">
        <v>70</v>
      </c>
      <c r="E1430" s="15" t="s">
        <v>268</v>
      </c>
      <c r="F1430" s="15"/>
      <c r="G1430" s="87">
        <f>G1431</f>
        <v>505512</v>
      </c>
      <c r="H1430" s="87">
        <f t="shared" si="398"/>
        <v>505512</v>
      </c>
      <c r="I1430" s="87">
        <f t="shared" si="398"/>
        <v>505512</v>
      </c>
      <c r="J1430" s="113">
        <f>SUM(J1424:J1429)</f>
        <v>5058838</v>
      </c>
      <c r="P1430" s="113"/>
      <c r="Q1430" s="113"/>
      <c r="R1430" s="113"/>
      <c r="S1430" s="113"/>
      <c r="T1430" s="113"/>
    </row>
    <row r="1431" spans="1:20" s="33" customFormat="1" ht="51">
      <c r="A1431" s="56" t="s">
        <v>55</v>
      </c>
      <c r="B1431" s="14">
        <v>794</v>
      </c>
      <c r="C1431" s="15" t="s">
        <v>19</v>
      </c>
      <c r="D1431" s="15" t="s">
        <v>70</v>
      </c>
      <c r="E1431" s="15" t="s">
        <v>268</v>
      </c>
      <c r="F1431" s="15" t="s">
        <v>58</v>
      </c>
      <c r="G1431" s="87">
        <f>G1432</f>
        <v>505512</v>
      </c>
      <c r="H1431" s="87">
        <f t="shared" si="398"/>
        <v>505512</v>
      </c>
      <c r="I1431" s="87">
        <f t="shared" si="398"/>
        <v>505512</v>
      </c>
      <c r="J1431" s="113"/>
      <c r="P1431" s="113"/>
      <c r="Q1431" s="113"/>
      <c r="R1431" s="113"/>
      <c r="S1431" s="113"/>
      <c r="T1431" s="113"/>
    </row>
    <row r="1432" spans="1:20" s="33" customFormat="1" ht="25.5">
      <c r="A1432" s="56" t="s">
        <v>56</v>
      </c>
      <c r="B1432" s="14">
        <v>794</v>
      </c>
      <c r="C1432" s="15" t="s">
        <v>19</v>
      </c>
      <c r="D1432" s="15" t="s">
        <v>70</v>
      </c>
      <c r="E1432" s="15" t="s">
        <v>268</v>
      </c>
      <c r="F1432" s="15" t="s">
        <v>59</v>
      </c>
      <c r="G1432" s="87">
        <f>'прил 5,'!G1790</f>
        <v>505512</v>
      </c>
      <c r="H1432" s="87">
        <f>'прил 5,'!H1788</f>
        <v>505512</v>
      </c>
      <c r="I1432" s="87">
        <f>'прил 5,'!I1788</f>
        <v>505512</v>
      </c>
      <c r="J1432" s="113"/>
      <c r="P1432" s="113"/>
      <c r="Q1432" s="113"/>
      <c r="R1432" s="113"/>
      <c r="S1432" s="113"/>
      <c r="T1432" s="113"/>
    </row>
    <row r="1433" spans="1:20">
      <c r="A1433" s="56" t="s">
        <v>366</v>
      </c>
      <c r="B1433" s="14">
        <v>794</v>
      </c>
      <c r="C1433" s="15" t="s">
        <v>19</v>
      </c>
      <c r="D1433" s="15" t="s">
        <v>70</v>
      </c>
      <c r="E1433" s="15" t="s">
        <v>269</v>
      </c>
      <c r="F1433" s="15"/>
      <c r="G1433" s="87">
        <f>G1434</f>
        <v>1572879.71</v>
      </c>
      <c r="H1433" s="87">
        <f>H1434</f>
        <v>1586911.71</v>
      </c>
      <c r="I1433" s="87">
        <f>I1434</f>
        <v>1601083.71</v>
      </c>
    </row>
    <row r="1434" spans="1:20" s="33" customFormat="1" ht="25.5">
      <c r="A1434" s="16" t="s">
        <v>76</v>
      </c>
      <c r="B1434" s="14">
        <v>794</v>
      </c>
      <c r="C1434" s="15" t="s">
        <v>19</v>
      </c>
      <c r="D1434" s="15" t="s">
        <v>70</v>
      </c>
      <c r="E1434" s="15" t="s">
        <v>270</v>
      </c>
      <c r="F1434" s="39"/>
      <c r="G1434" s="87">
        <f>G1435+G1437</f>
        <v>1572879.71</v>
      </c>
      <c r="H1434" s="87">
        <f>H1435+H1437</f>
        <v>1586911.71</v>
      </c>
      <c r="I1434" s="87">
        <f>I1435+I1437</f>
        <v>1601083.71</v>
      </c>
      <c r="J1434" s="113"/>
      <c r="P1434" s="113"/>
      <c r="Q1434" s="113"/>
      <c r="R1434" s="113"/>
      <c r="S1434" s="113"/>
      <c r="T1434" s="113"/>
    </row>
    <row r="1435" spans="1:20" ht="51">
      <c r="A1435" s="56" t="s">
        <v>55</v>
      </c>
      <c r="B1435" s="14">
        <v>794</v>
      </c>
      <c r="C1435" s="15" t="s">
        <v>19</v>
      </c>
      <c r="D1435" s="15" t="s">
        <v>70</v>
      </c>
      <c r="E1435" s="15" t="s">
        <v>270</v>
      </c>
      <c r="F1435" s="15" t="s">
        <v>58</v>
      </c>
      <c r="G1435" s="87">
        <f>G1436</f>
        <v>1218379.71</v>
      </c>
      <c r="H1435" s="87">
        <f>H1436</f>
        <v>1232411.71</v>
      </c>
      <c r="I1435" s="87">
        <f>I1436</f>
        <v>1246583.71</v>
      </c>
    </row>
    <row r="1436" spans="1:20" ht="25.5">
      <c r="A1436" s="56" t="s">
        <v>56</v>
      </c>
      <c r="B1436" s="14">
        <v>794</v>
      </c>
      <c r="C1436" s="15" t="s">
        <v>19</v>
      </c>
      <c r="D1436" s="15" t="s">
        <v>70</v>
      </c>
      <c r="E1436" s="15" t="s">
        <v>270</v>
      </c>
      <c r="F1436" s="15" t="s">
        <v>59</v>
      </c>
      <c r="G1436" s="87">
        <f>'прил 5,'!G1794</f>
        <v>1218379.71</v>
      </c>
      <c r="H1436" s="87">
        <f>'прил 5,'!H1794</f>
        <v>1232411.71</v>
      </c>
      <c r="I1436" s="87">
        <f>'прил 5,'!I1794</f>
        <v>1246583.71</v>
      </c>
    </row>
    <row r="1437" spans="1:20" ht="25.5">
      <c r="A1437" s="16" t="s">
        <v>36</v>
      </c>
      <c r="B1437" s="14">
        <v>794</v>
      </c>
      <c r="C1437" s="15" t="s">
        <v>19</v>
      </c>
      <c r="D1437" s="15" t="s">
        <v>70</v>
      </c>
      <c r="E1437" s="15" t="s">
        <v>270</v>
      </c>
      <c r="F1437" s="15" t="s">
        <v>37</v>
      </c>
      <c r="G1437" s="87">
        <f>G1438</f>
        <v>354500</v>
      </c>
      <c r="H1437" s="87">
        <f>H1438</f>
        <v>354500</v>
      </c>
      <c r="I1437" s="87">
        <f>I1438</f>
        <v>354500</v>
      </c>
    </row>
    <row r="1438" spans="1:20" ht="25.5">
      <c r="A1438" s="16" t="s">
        <v>38</v>
      </c>
      <c r="B1438" s="14">
        <v>794</v>
      </c>
      <c r="C1438" s="15" t="s">
        <v>19</v>
      </c>
      <c r="D1438" s="15" t="s">
        <v>70</v>
      </c>
      <c r="E1438" s="15" t="s">
        <v>270</v>
      </c>
      <c r="F1438" s="15" t="s">
        <v>39</v>
      </c>
      <c r="G1438" s="87">
        <f>'прил 5,'!G1796</f>
        <v>354500</v>
      </c>
      <c r="H1438" s="87">
        <f>'прил 5,'!H1796</f>
        <v>354500</v>
      </c>
      <c r="I1438" s="87">
        <f>'прил 5,'!I1796</f>
        <v>354500</v>
      </c>
    </row>
    <row r="1439" spans="1:20" s="22" customFormat="1" ht="25.5">
      <c r="A1439" s="34" t="s">
        <v>846</v>
      </c>
      <c r="B1439" s="35">
        <v>799</v>
      </c>
      <c r="C1439" s="36" t="s">
        <v>19</v>
      </c>
      <c r="D1439" s="36" t="s">
        <v>161</v>
      </c>
      <c r="E1439" s="36" t="s">
        <v>847</v>
      </c>
      <c r="F1439" s="36"/>
      <c r="G1439" s="71">
        <f>G1441+G1446</f>
        <v>2498291.29</v>
      </c>
      <c r="H1439" s="71">
        <f t="shared" ref="H1439:I1439" si="399">H1441</f>
        <v>2448139.29</v>
      </c>
      <c r="I1439" s="71">
        <f t="shared" si="399"/>
        <v>2467096.29</v>
      </c>
      <c r="P1439" s="21"/>
      <c r="Q1439" s="21"/>
      <c r="R1439" s="21"/>
      <c r="S1439" s="21"/>
      <c r="T1439" s="21"/>
    </row>
    <row r="1440" spans="1:20" s="46" customFormat="1" ht="25.5" hidden="1">
      <c r="A1440" s="56" t="s">
        <v>368</v>
      </c>
      <c r="B1440" s="14">
        <v>794</v>
      </c>
      <c r="C1440" s="15" t="s">
        <v>19</v>
      </c>
      <c r="D1440" s="15" t="s">
        <v>161</v>
      </c>
      <c r="E1440" s="15" t="s">
        <v>271</v>
      </c>
      <c r="F1440" s="15"/>
      <c r="G1440" s="87"/>
      <c r="H1440" s="87"/>
      <c r="I1440" s="87"/>
      <c r="J1440" s="110"/>
      <c r="P1440" s="110"/>
      <c r="Q1440" s="110"/>
      <c r="R1440" s="110"/>
      <c r="S1440" s="110"/>
      <c r="T1440" s="110"/>
    </row>
    <row r="1441" spans="1:20" s="46" customFormat="1" ht="25.5">
      <c r="A1441" s="16" t="s">
        <v>76</v>
      </c>
      <c r="B1441" s="14">
        <v>794</v>
      </c>
      <c r="C1441" s="15" t="s">
        <v>19</v>
      </c>
      <c r="D1441" s="15" t="s">
        <v>161</v>
      </c>
      <c r="E1441" s="15" t="s">
        <v>848</v>
      </c>
      <c r="F1441" s="15"/>
      <c r="G1441" s="87">
        <f>G1442+G1444</f>
        <v>2429370.29</v>
      </c>
      <c r="H1441" s="87">
        <f t="shared" ref="H1441:I1441" si="400">H1442+H1444</f>
        <v>2448139.29</v>
      </c>
      <c r="I1441" s="87">
        <f t="shared" si="400"/>
        <v>2467096.29</v>
      </c>
      <c r="J1441" s="110"/>
      <c r="P1441" s="110"/>
      <c r="Q1441" s="110"/>
      <c r="R1441" s="110"/>
      <c r="S1441" s="110"/>
      <c r="T1441" s="110"/>
    </row>
    <row r="1442" spans="1:20" s="3" customFormat="1" ht="51">
      <c r="A1442" s="56" t="s">
        <v>55</v>
      </c>
      <c r="B1442" s="14">
        <v>794</v>
      </c>
      <c r="C1442" s="15" t="s">
        <v>19</v>
      </c>
      <c r="D1442" s="15" t="s">
        <v>161</v>
      </c>
      <c r="E1442" s="15" t="s">
        <v>848</v>
      </c>
      <c r="F1442" s="15" t="s">
        <v>58</v>
      </c>
      <c r="G1442" s="87">
        <f>G1443</f>
        <v>2295770.29</v>
      </c>
      <c r="H1442" s="87">
        <f>H1443</f>
        <v>2314539.29</v>
      </c>
      <c r="I1442" s="87">
        <f>I1443</f>
        <v>2333496.29</v>
      </c>
      <c r="J1442" s="111"/>
      <c r="P1442" s="111"/>
      <c r="Q1442" s="111"/>
      <c r="R1442" s="111"/>
      <c r="S1442" s="111"/>
      <c r="T1442" s="111"/>
    </row>
    <row r="1443" spans="1:20" s="3" customFormat="1" ht="25.5">
      <c r="A1443" s="56" t="s">
        <v>56</v>
      </c>
      <c r="B1443" s="14">
        <v>794</v>
      </c>
      <c r="C1443" s="15" t="s">
        <v>19</v>
      </c>
      <c r="D1443" s="15" t="s">
        <v>161</v>
      </c>
      <c r="E1443" s="15" t="s">
        <v>848</v>
      </c>
      <c r="F1443" s="15" t="s">
        <v>59</v>
      </c>
      <c r="G1443" s="87">
        <f>'прил 5,'!G2215</f>
        <v>2295770.29</v>
      </c>
      <c r="H1443" s="87">
        <f>'прил 5,'!H2215</f>
        <v>2314539.29</v>
      </c>
      <c r="I1443" s="87">
        <f>'прил 5,'!I2215</f>
        <v>2333496.29</v>
      </c>
      <c r="J1443" s="111"/>
      <c r="P1443" s="111"/>
      <c r="Q1443" s="111"/>
      <c r="R1443" s="111"/>
      <c r="S1443" s="111"/>
      <c r="T1443" s="111"/>
    </row>
    <row r="1444" spans="1:20" s="3" customFormat="1" ht="25.5">
      <c r="A1444" s="16" t="s">
        <v>36</v>
      </c>
      <c r="B1444" s="14">
        <v>794</v>
      </c>
      <c r="C1444" s="15" t="s">
        <v>19</v>
      </c>
      <c r="D1444" s="15" t="s">
        <v>161</v>
      </c>
      <c r="E1444" s="15" t="s">
        <v>848</v>
      </c>
      <c r="F1444" s="15" t="s">
        <v>37</v>
      </c>
      <c r="G1444" s="87">
        <f>G1445</f>
        <v>133600</v>
      </c>
      <c r="H1444" s="87">
        <f>H1445</f>
        <v>133600</v>
      </c>
      <c r="I1444" s="87">
        <f>I1445</f>
        <v>133600</v>
      </c>
      <c r="J1444" s="111"/>
      <c r="P1444" s="111"/>
      <c r="Q1444" s="111"/>
      <c r="R1444" s="111"/>
      <c r="S1444" s="111"/>
      <c r="T1444" s="111"/>
    </row>
    <row r="1445" spans="1:20" s="3" customFormat="1" ht="25.5">
      <c r="A1445" s="16" t="s">
        <v>38</v>
      </c>
      <c r="B1445" s="14">
        <v>794</v>
      </c>
      <c r="C1445" s="15" t="s">
        <v>19</v>
      </c>
      <c r="D1445" s="15" t="s">
        <v>161</v>
      </c>
      <c r="E1445" s="15" t="s">
        <v>848</v>
      </c>
      <c r="F1445" s="15" t="s">
        <v>39</v>
      </c>
      <c r="G1445" s="87">
        <f>'прил 5,'!G2217</f>
        <v>133600</v>
      </c>
      <c r="H1445" s="87">
        <f>'прил 5,'!H2217</f>
        <v>133600</v>
      </c>
      <c r="I1445" s="87">
        <f>'прил 5,'!I2217</f>
        <v>133600</v>
      </c>
      <c r="J1445" s="111"/>
      <c r="P1445" s="111"/>
      <c r="Q1445" s="111"/>
      <c r="R1445" s="111"/>
      <c r="S1445" s="111"/>
      <c r="T1445" s="111"/>
    </row>
    <row r="1446" spans="1:20" s="3" customFormat="1" ht="74.25" customHeight="1">
      <c r="A1446" s="30" t="s">
        <v>140</v>
      </c>
      <c r="B1446" s="14">
        <v>794</v>
      </c>
      <c r="C1446" s="15" t="s">
        <v>19</v>
      </c>
      <c r="D1446" s="15" t="s">
        <v>161</v>
      </c>
      <c r="E1446" s="15" t="s">
        <v>956</v>
      </c>
      <c r="F1446" s="15"/>
      <c r="G1446" s="87">
        <f t="shared" ref="G1446:I1447" si="401">G1447</f>
        <v>68921</v>
      </c>
      <c r="H1446" s="87">
        <f t="shared" si="401"/>
        <v>0</v>
      </c>
      <c r="I1446" s="87">
        <f t="shared" si="401"/>
        <v>0</v>
      </c>
      <c r="J1446" s="111"/>
      <c r="P1446" s="111"/>
      <c r="Q1446" s="111"/>
      <c r="R1446" s="111"/>
      <c r="S1446" s="111"/>
      <c r="T1446" s="111"/>
    </row>
    <row r="1447" spans="1:20" s="3" customFormat="1" ht="37.5" customHeight="1">
      <c r="A1447" s="16" t="s">
        <v>36</v>
      </c>
      <c r="B1447" s="14">
        <v>794</v>
      </c>
      <c r="C1447" s="15" t="s">
        <v>19</v>
      </c>
      <c r="D1447" s="15" t="s">
        <v>161</v>
      </c>
      <c r="E1447" s="15" t="s">
        <v>956</v>
      </c>
      <c r="F1447" s="15" t="s">
        <v>37</v>
      </c>
      <c r="G1447" s="87">
        <f t="shared" si="401"/>
        <v>68921</v>
      </c>
      <c r="H1447" s="87">
        <f t="shared" si="401"/>
        <v>0</v>
      </c>
      <c r="I1447" s="87">
        <f t="shared" si="401"/>
        <v>0</v>
      </c>
      <c r="J1447" s="111"/>
      <c r="P1447" s="111"/>
      <c r="Q1447" s="111"/>
      <c r="R1447" s="111"/>
      <c r="S1447" s="111"/>
      <c r="T1447" s="111"/>
    </row>
    <row r="1448" spans="1:20" s="3" customFormat="1" ht="38.25" customHeight="1">
      <c r="A1448" s="16" t="s">
        <v>38</v>
      </c>
      <c r="B1448" s="14">
        <v>794</v>
      </c>
      <c r="C1448" s="15" t="s">
        <v>19</v>
      </c>
      <c r="D1448" s="15" t="s">
        <v>161</v>
      </c>
      <c r="E1448" s="15" t="s">
        <v>956</v>
      </c>
      <c r="F1448" s="15" t="s">
        <v>39</v>
      </c>
      <c r="G1448" s="87">
        <f>'прил 5,'!G2220</f>
        <v>68921</v>
      </c>
      <c r="H1448" s="87">
        <f>'прил 5,'!H2220</f>
        <v>0</v>
      </c>
      <c r="I1448" s="87">
        <f>'прил 5,'!I2220</f>
        <v>0</v>
      </c>
      <c r="J1448" s="111"/>
      <c r="P1448" s="111"/>
      <c r="Q1448" s="111"/>
      <c r="R1448" s="111"/>
      <c r="S1448" s="111"/>
      <c r="T1448" s="111"/>
    </row>
    <row r="1449" spans="1:20" s="22" customFormat="1" ht="25.5">
      <c r="A1449" s="240" t="s">
        <v>333</v>
      </c>
      <c r="B1449" s="35">
        <v>793</v>
      </c>
      <c r="C1449" s="36" t="s">
        <v>19</v>
      </c>
      <c r="D1449" s="36" t="s">
        <v>23</v>
      </c>
      <c r="E1449" s="36" t="s">
        <v>251</v>
      </c>
      <c r="F1449" s="36"/>
      <c r="G1449" s="71">
        <f>G1450</f>
        <v>16112923</v>
      </c>
      <c r="H1449" s="71">
        <f>H1450</f>
        <v>16249381</v>
      </c>
      <c r="I1449" s="71">
        <f>I1450</f>
        <v>16387204</v>
      </c>
      <c r="J1449" s="21">
        <v>8109357</v>
      </c>
      <c r="P1449" s="21"/>
      <c r="Q1449" s="21"/>
      <c r="R1449" s="21"/>
      <c r="S1449" s="21"/>
      <c r="T1449" s="21"/>
    </row>
    <row r="1450" spans="1:20" s="90" customFormat="1" ht="25.5" customHeight="1">
      <c r="A1450" s="82" t="s">
        <v>50</v>
      </c>
      <c r="B1450" s="149">
        <v>793</v>
      </c>
      <c r="C1450" s="84" t="s">
        <v>19</v>
      </c>
      <c r="D1450" s="84" t="s">
        <v>23</v>
      </c>
      <c r="E1450" s="84" t="s">
        <v>293</v>
      </c>
      <c r="F1450" s="84"/>
      <c r="G1450" s="87">
        <f>G1451+G1453+G1455</f>
        <v>16112923</v>
      </c>
      <c r="H1450" s="87">
        <f>H1451+H1453+H1455</f>
        <v>16249381</v>
      </c>
      <c r="I1450" s="87">
        <f>I1451+I1453+I1455</f>
        <v>16387204</v>
      </c>
      <c r="J1450" s="126">
        <v>6041147</v>
      </c>
      <c r="P1450" s="126"/>
      <c r="Q1450" s="126"/>
      <c r="R1450" s="126"/>
      <c r="S1450" s="126"/>
      <c r="T1450" s="126"/>
    </row>
    <row r="1451" spans="1:20" s="90" customFormat="1" ht="51">
      <c r="A1451" s="82" t="s">
        <v>320</v>
      </c>
      <c r="B1451" s="149">
        <v>793</v>
      </c>
      <c r="C1451" s="84" t="s">
        <v>19</v>
      </c>
      <c r="D1451" s="84" t="s">
        <v>23</v>
      </c>
      <c r="E1451" s="84" t="s">
        <v>293</v>
      </c>
      <c r="F1451" s="84" t="s">
        <v>58</v>
      </c>
      <c r="G1451" s="87">
        <f>G1452</f>
        <v>9335655</v>
      </c>
      <c r="H1451" s="87">
        <f>H1452</f>
        <v>9427412</v>
      </c>
      <c r="I1451" s="87">
        <f>I1452</f>
        <v>9520086</v>
      </c>
      <c r="J1451" s="126">
        <v>496800</v>
      </c>
      <c r="P1451" s="126"/>
      <c r="Q1451" s="126"/>
      <c r="R1451" s="126"/>
      <c r="S1451" s="126"/>
      <c r="T1451" s="126"/>
    </row>
    <row r="1452" spans="1:20" s="90" customFormat="1">
      <c r="A1452" s="82" t="s">
        <v>327</v>
      </c>
      <c r="B1452" s="149"/>
      <c r="C1452" s="84"/>
      <c r="D1452" s="84"/>
      <c r="E1452" s="84" t="s">
        <v>293</v>
      </c>
      <c r="F1452" s="84" t="s">
        <v>326</v>
      </c>
      <c r="G1452" s="87">
        <f>'прил 5,'!G1231</f>
        <v>9335655</v>
      </c>
      <c r="H1452" s="87">
        <f>'прил 5,'!H1231</f>
        <v>9427412</v>
      </c>
      <c r="I1452" s="87">
        <f>'прил 5,'!I1231</f>
        <v>9520086</v>
      </c>
      <c r="J1452" s="126">
        <f>SUM(J1449:J1451)</f>
        <v>14647304</v>
      </c>
      <c r="P1452" s="126"/>
      <c r="Q1452" s="126"/>
      <c r="R1452" s="126"/>
      <c r="S1452" s="126"/>
      <c r="T1452" s="126"/>
    </row>
    <row r="1453" spans="1:20" s="90" customFormat="1" ht="24" customHeight="1">
      <c r="A1453" s="82" t="s">
        <v>324</v>
      </c>
      <c r="B1453" s="149">
        <v>793</v>
      </c>
      <c r="C1453" s="84" t="s">
        <v>19</v>
      </c>
      <c r="D1453" s="84" t="s">
        <v>23</v>
      </c>
      <c r="E1453" s="84" t="s">
        <v>293</v>
      </c>
      <c r="F1453" s="84" t="s">
        <v>37</v>
      </c>
      <c r="G1453" s="87">
        <f>G1454</f>
        <v>6721909</v>
      </c>
      <c r="H1453" s="87">
        <f>H1454</f>
        <v>6766610</v>
      </c>
      <c r="I1453" s="87">
        <f>I1454</f>
        <v>6811759</v>
      </c>
      <c r="J1453" s="126"/>
      <c r="P1453" s="126"/>
      <c r="Q1453" s="126"/>
      <c r="R1453" s="126"/>
      <c r="S1453" s="126"/>
      <c r="T1453" s="126"/>
    </row>
    <row r="1454" spans="1:20" s="90" customFormat="1" ht="24" customHeight="1">
      <c r="A1454" s="82" t="s">
        <v>38</v>
      </c>
      <c r="B1454" s="149">
        <v>793</v>
      </c>
      <c r="C1454" s="84" t="s">
        <v>19</v>
      </c>
      <c r="D1454" s="84" t="s">
        <v>23</v>
      </c>
      <c r="E1454" s="84" t="s">
        <v>293</v>
      </c>
      <c r="F1454" s="84" t="s">
        <v>39</v>
      </c>
      <c r="G1454" s="87">
        <f>'прил 5,'!G1233</f>
        <v>6721909</v>
      </c>
      <c r="H1454" s="87">
        <f>'прил 5,'!H1233</f>
        <v>6766610</v>
      </c>
      <c r="I1454" s="87">
        <f>'прил 5,'!I1233</f>
        <v>6811759</v>
      </c>
      <c r="J1454" s="126"/>
      <c r="P1454" s="126"/>
      <c r="Q1454" s="126"/>
      <c r="R1454" s="126"/>
      <c r="S1454" s="126"/>
      <c r="T1454" s="126"/>
    </row>
    <row r="1455" spans="1:20" s="90" customFormat="1" ht="24" customHeight="1">
      <c r="A1455" s="82" t="s">
        <v>63</v>
      </c>
      <c r="B1455" s="149">
        <v>793</v>
      </c>
      <c r="C1455" s="84" t="s">
        <v>19</v>
      </c>
      <c r="D1455" s="84" t="s">
        <v>23</v>
      </c>
      <c r="E1455" s="84" t="s">
        <v>293</v>
      </c>
      <c r="F1455" s="84" t="s">
        <v>64</v>
      </c>
      <c r="G1455" s="87">
        <f>G1457+G1456</f>
        <v>55359</v>
      </c>
      <c r="H1455" s="87">
        <f>H1457+H1456</f>
        <v>55359</v>
      </c>
      <c r="I1455" s="87">
        <f>I1457+I1456</f>
        <v>55359</v>
      </c>
      <c r="J1455" s="126"/>
      <c r="P1455" s="126"/>
      <c r="Q1455" s="126"/>
      <c r="R1455" s="126"/>
      <c r="S1455" s="126"/>
      <c r="T1455" s="126"/>
    </row>
    <row r="1456" spans="1:20" s="90" customFormat="1" ht="24" hidden="1" customHeight="1">
      <c r="A1456" s="82" t="s">
        <v>329</v>
      </c>
      <c r="B1456" s="149">
        <v>793</v>
      </c>
      <c r="C1456" s="84" t="s">
        <v>19</v>
      </c>
      <c r="D1456" s="84" t="s">
        <v>23</v>
      </c>
      <c r="E1456" s="84" t="s">
        <v>293</v>
      </c>
      <c r="F1456" s="84" t="s">
        <v>328</v>
      </c>
      <c r="G1456" s="87">
        <f>'прил 5,'!G1237</f>
        <v>0</v>
      </c>
      <c r="H1456" s="87">
        <f>'прил 5,'!AH1237</f>
        <v>0</v>
      </c>
      <c r="I1456" s="87">
        <f>'прил 5,'!AI1237</f>
        <v>0</v>
      </c>
      <c r="J1456" s="126"/>
      <c r="P1456" s="126"/>
      <c r="Q1456" s="126"/>
      <c r="R1456" s="126"/>
      <c r="S1456" s="126"/>
      <c r="T1456" s="126"/>
    </row>
    <row r="1457" spans="1:20" s="90" customFormat="1" ht="24" customHeight="1">
      <c r="A1457" s="82" t="s">
        <v>144</v>
      </c>
      <c r="B1457" s="149">
        <v>793</v>
      </c>
      <c r="C1457" s="84" t="s">
        <v>19</v>
      </c>
      <c r="D1457" s="84" t="s">
        <v>23</v>
      </c>
      <c r="E1457" s="84" t="s">
        <v>293</v>
      </c>
      <c r="F1457" s="84" t="s">
        <v>67</v>
      </c>
      <c r="G1457" s="87">
        <f>'прил 5,'!G1238</f>
        <v>55359</v>
      </c>
      <c r="H1457" s="87">
        <f>'прил 5,'!H1238</f>
        <v>55359</v>
      </c>
      <c r="I1457" s="87">
        <f>'прил 5,'!I1238</f>
        <v>55359</v>
      </c>
      <c r="J1457" s="126"/>
      <c r="P1457" s="126"/>
      <c r="Q1457" s="126"/>
      <c r="R1457" s="126"/>
      <c r="S1457" s="126"/>
      <c r="T1457" s="126"/>
    </row>
    <row r="1458" spans="1:20" s="161" customFormat="1" ht="34.5" customHeight="1">
      <c r="A1458" s="158" t="s">
        <v>169</v>
      </c>
      <c r="B1458" s="155">
        <v>793</v>
      </c>
      <c r="C1458" s="156" t="s">
        <v>19</v>
      </c>
      <c r="D1458" s="156" t="s">
        <v>72</v>
      </c>
      <c r="E1458" s="156" t="s">
        <v>234</v>
      </c>
      <c r="F1458" s="159"/>
      <c r="G1458" s="157">
        <f>G1459</f>
        <v>2190000</v>
      </c>
      <c r="H1458" s="157">
        <f t="shared" ref="H1458:I1458" si="402">H1459</f>
        <v>1000000</v>
      </c>
      <c r="I1458" s="157">
        <f t="shared" si="402"/>
        <v>1000000</v>
      </c>
      <c r="J1458" s="160">
        <v>1000000</v>
      </c>
      <c r="P1458" s="160"/>
      <c r="Q1458" s="160"/>
      <c r="R1458" s="160"/>
      <c r="S1458" s="160"/>
      <c r="T1458" s="160"/>
    </row>
    <row r="1459" spans="1:20" s="90" customFormat="1" ht="25.5">
      <c r="A1459" s="139" t="s">
        <v>169</v>
      </c>
      <c r="B1459" s="149">
        <v>793</v>
      </c>
      <c r="C1459" s="84" t="s">
        <v>19</v>
      </c>
      <c r="D1459" s="84" t="s">
        <v>72</v>
      </c>
      <c r="E1459" s="84" t="s">
        <v>276</v>
      </c>
      <c r="F1459" s="149"/>
      <c r="G1459" s="87">
        <f>G1462+G1471+G1477+G1469+G1466+G1461+G1472+G1474+G1464</f>
        <v>2190000</v>
      </c>
      <c r="H1459" s="87">
        <f>H1462+H1471+H1477+H1469+H1466</f>
        <v>1000000</v>
      </c>
      <c r="I1459" s="87">
        <f>I1462+I1471+I1477+I1469+I1466</f>
        <v>1000000</v>
      </c>
      <c r="J1459" s="126"/>
      <c r="P1459" s="126"/>
      <c r="Q1459" s="126"/>
      <c r="R1459" s="126"/>
      <c r="S1459" s="126"/>
      <c r="T1459" s="126"/>
    </row>
    <row r="1460" spans="1:20" ht="24" hidden="1" customHeight="1">
      <c r="A1460" s="131" t="s">
        <v>148</v>
      </c>
      <c r="B1460" s="49">
        <v>795</v>
      </c>
      <c r="C1460" s="15" t="s">
        <v>69</v>
      </c>
      <c r="D1460" s="15" t="s">
        <v>70</v>
      </c>
      <c r="E1460" s="15" t="s">
        <v>276</v>
      </c>
      <c r="F1460" s="15" t="s">
        <v>149</v>
      </c>
      <c r="G1460" s="70">
        <f>G1461</f>
        <v>0</v>
      </c>
      <c r="H1460" s="70">
        <f>H1461</f>
        <v>0</v>
      </c>
      <c r="I1460" s="70">
        <f>I1461</f>
        <v>0</v>
      </c>
      <c r="J1460" s="1"/>
    </row>
    <row r="1461" spans="1:20" ht="18" hidden="1" customHeight="1">
      <c r="A1461" s="16" t="s">
        <v>150</v>
      </c>
      <c r="B1461" s="49">
        <v>795</v>
      </c>
      <c r="C1461" s="15" t="s">
        <v>69</v>
      </c>
      <c r="D1461" s="15" t="s">
        <v>70</v>
      </c>
      <c r="E1461" s="15" t="s">
        <v>276</v>
      </c>
      <c r="F1461" s="15" t="s">
        <v>151</v>
      </c>
      <c r="G1461" s="70"/>
      <c r="H1461" s="70"/>
      <c r="I1461" s="70"/>
      <c r="J1461" s="1"/>
    </row>
    <row r="1462" spans="1:20" s="90" customFormat="1" hidden="1">
      <c r="A1462" s="82" t="s">
        <v>324</v>
      </c>
      <c r="B1462" s="149">
        <v>793</v>
      </c>
      <c r="C1462" s="84" t="s">
        <v>54</v>
      </c>
      <c r="D1462" s="84" t="s">
        <v>123</v>
      </c>
      <c r="E1462" s="84" t="s">
        <v>276</v>
      </c>
      <c r="F1462" s="84" t="s">
        <v>37</v>
      </c>
      <c r="G1462" s="87">
        <f>G1463</f>
        <v>0</v>
      </c>
      <c r="H1462" s="87">
        <f>H1463</f>
        <v>0</v>
      </c>
      <c r="I1462" s="87">
        <f>I1463</f>
        <v>0</v>
      </c>
      <c r="J1462" s="126"/>
      <c r="P1462" s="126"/>
      <c r="Q1462" s="126"/>
      <c r="R1462" s="126"/>
      <c r="S1462" s="126"/>
      <c r="T1462" s="126"/>
    </row>
    <row r="1463" spans="1:20" s="90" customFormat="1" ht="27.75" hidden="1" customHeight="1">
      <c r="A1463" s="82" t="s">
        <v>38</v>
      </c>
      <c r="B1463" s="149">
        <v>793</v>
      </c>
      <c r="C1463" s="84" t="s">
        <v>54</v>
      </c>
      <c r="D1463" s="84" t="s">
        <v>123</v>
      </c>
      <c r="E1463" s="84" t="s">
        <v>276</v>
      </c>
      <c r="F1463" s="84" t="s">
        <v>39</v>
      </c>
      <c r="G1463" s="87">
        <f>'прил 5,'!G1890+'прил 5,'!G2006</f>
        <v>0</v>
      </c>
      <c r="H1463" s="87">
        <f>'прил 5,'!H1292+'прил 5,'!H1884</f>
        <v>0</v>
      </c>
      <c r="I1463" s="87">
        <f>'прил 5,'!I1292+'прил 5,'!I1884</f>
        <v>0</v>
      </c>
      <c r="J1463" s="126"/>
      <c r="P1463" s="126"/>
      <c r="Q1463" s="126"/>
      <c r="R1463" s="126"/>
      <c r="S1463" s="126"/>
      <c r="T1463" s="126"/>
    </row>
    <row r="1464" spans="1:20" s="90" customFormat="1" ht="27.75" customHeight="1">
      <c r="A1464" s="16" t="s">
        <v>324</v>
      </c>
      <c r="B1464" s="14">
        <v>793</v>
      </c>
      <c r="C1464" s="15" t="s">
        <v>19</v>
      </c>
      <c r="D1464" s="15" t="s">
        <v>23</v>
      </c>
      <c r="E1464" s="15" t="s">
        <v>276</v>
      </c>
      <c r="F1464" s="15" t="s">
        <v>37</v>
      </c>
      <c r="G1464" s="87">
        <f>G1465</f>
        <v>525228</v>
      </c>
      <c r="H1464" s="87"/>
      <c r="I1464" s="87"/>
      <c r="J1464" s="126"/>
      <c r="P1464" s="126"/>
      <c r="Q1464" s="126"/>
      <c r="R1464" s="126"/>
      <c r="S1464" s="126"/>
      <c r="T1464" s="126"/>
    </row>
    <row r="1465" spans="1:20" s="90" customFormat="1" ht="27.75" customHeight="1">
      <c r="A1465" s="16" t="s">
        <v>38</v>
      </c>
      <c r="B1465" s="14">
        <v>793</v>
      </c>
      <c r="C1465" s="15" t="s">
        <v>19</v>
      </c>
      <c r="D1465" s="15" t="s">
        <v>23</v>
      </c>
      <c r="E1465" s="15" t="s">
        <v>276</v>
      </c>
      <c r="F1465" s="15" t="s">
        <v>39</v>
      </c>
      <c r="G1465" s="87">
        <f>'прил 5,'!G1239+'прил 5,'!G405+'прил 5,'!G1326+'прил 5,'!G1449+'прил 5,'!G1657</f>
        <v>525228</v>
      </c>
      <c r="H1465" s="87"/>
      <c r="I1465" s="87"/>
      <c r="J1465" s="126"/>
      <c r="P1465" s="126"/>
      <c r="Q1465" s="126"/>
      <c r="R1465" s="126"/>
      <c r="S1465" s="126"/>
      <c r="T1465" s="126"/>
    </row>
    <row r="1466" spans="1:20" s="90" customFormat="1" ht="30.75" customHeight="1">
      <c r="A1466" s="82" t="s">
        <v>359</v>
      </c>
      <c r="B1466" s="149">
        <v>793</v>
      </c>
      <c r="C1466" s="84" t="s">
        <v>69</v>
      </c>
      <c r="D1466" s="84" t="s">
        <v>70</v>
      </c>
      <c r="E1466" s="84" t="s">
        <v>276</v>
      </c>
      <c r="F1466" s="84" t="s">
        <v>149</v>
      </c>
      <c r="G1466" s="87">
        <f>G1467</f>
        <v>65000</v>
      </c>
      <c r="H1466" s="87">
        <f>H1467</f>
        <v>0</v>
      </c>
      <c r="I1466" s="87">
        <f>I1467</f>
        <v>0</v>
      </c>
      <c r="J1466" s="126"/>
      <c r="P1466" s="126"/>
      <c r="Q1466" s="126"/>
      <c r="R1466" s="126"/>
      <c r="S1466" s="126"/>
      <c r="T1466" s="126"/>
    </row>
    <row r="1467" spans="1:20" s="90" customFormat="1" ht="30.75" customHeight="1">
      <c r="A1467" s="82" t="s">
        <v>355</v>
      </c>
      <c r="B1467" s="149">
        <v>793</v>
      </c>
      <c r="C1467" s="84" t="s">
        <v>69</v>
      </c>
      <c r="D1467" s="84" t="s">
        <v>70</v>
      </c>
      <c r="E1467" s="84" t="s">
        <v>276</v>
      </c>
      <c r="F1467" s="84" t="s">
        <v>151</v>
      </c>
      <c r="G1467" s="87">
        <f>'прил 5,'!G1709</f>
        <v>65000</v>
      </c>
      <c r="H1467" s="87">
        <f>'прил 5,'!H1709</f>
        <v>0</v>
      </c>
      <c r="I1467" s="87">
        <f>'прил 5,'!I1709</f>
        <v>0</v>
      </c>
      <c r="J1467" s="126"/>
      <c r="P1467" s="126"/>
      <c r="Q1467" s="126"/>
      <c r="R1467" s="126"/>
      <c r="S1467" s="126"/>
      <c r="T1467" s="126"/>
    </row>
    <row r="1468" spans="1:20" s="90" customFormat="1" ht="30.75" customHeight="1">
      <c r="A1468" s="82" t="s">
        <v>156</v>
      </c>
      <c r="B1468" s="149">
        <v>793</v>
      </c>
      <c r="C1468" s="84" t="s">
        <v>173</v>
      </c>
      <c r="D1468" s="84" t="s">
        <v>70</v>
      </c>
      <c r="E1468" s="84" t="s">
        <v>276</v>
      </c>
      <c r="F1468" s="84" t="s">
        <v>157</v>
      </c>
      <c r="G1468" s="87">
        <f>G1469</f>
        <v>783403.2</v>
      </c>
      <c r="H1468" s="87">
        <v>0</v>
      </c>
      <c r="I1468" s="87">
        <v>0</v>
      </c>
      <c r="P1468" s="126"/>
      <c r="Q1468" s="126"/>
      <c r="R1468" s="126"/>
      <c r="S1468" s="126"/>
      <c r="T1468" s="126"/>
    </row>
    <row r="1469" spans="1:20" s="90" customFormat="1" ht="30.75" customHeight="1">
      <c r="A1469" s="82" t="s">
        <v>178</v>
      </c>
      <c r="B1469" s="149">
        <v>793</v>
      </c>
      <c r="C1469" s="84" t="s">
        <v>173</v>
      </c>
      <c r="D1469" s="84" t="s">
        <v>70</v>
      </c>
      <c r="E1469" s="84" t="s">
        <v>276</v>
      </c>
      <c r="F1469" s="84" t="s">
        <v>179</v>
      </c>
      <c r="G1469" s="87">
        <f>'прил 5,'!G1451+'прил 5,'!G1262+'прил 5,'!G1328+'прил 5,'!G1562+'прил 5,'!G1663+'прил 5,'!G1581</f>
        <v>783403.2</v>
      </c>
      <c r="H1469" s="87">
        <f>'прил 5,'!H1451+'прил 5,'!H1262+'прил 5,'!H1328+'прил 5,'!H1562</f>
        <v>0</v>
      </c>
      <c r="I1469" s="87">
        <f>'прил 5,'!I1451+'прил 5,'!I1262+'прил 5,'!I1328+'прил 5,'!I1562</f>
        <v>0</v>
      </c>
      <c r="P1469" s="126"/>
      <c r="Q1469" s="126"/>
      <c r="R1469" s="126"/>
      <c r="S1469" s="126"/>
      <c r="T1469" s="126"/>
    </row>
    <row r="1470" spans="1:20" s="90" customFormat="1" hidden="1">
      <c r="A1470" s="82" t="s">
        <v>63</v>
      </c>
      <c r="B1470" s="84" t="s">
        <v>94</v>
      </c>
      <c r="C1470" s="84" t="s">
        <v>26</v>
      </c>
      <c r="D1470" s="84" t="s">
        <v>28</v>
      </c>
      <c r="E1470" s="84" t="s">
        <v>276</v>
      </c>
      <c r="F1470" s="84" t="s">
        <v>31</v>
      </c>
      <c r="G1470" s="87">
        <f>G1471</f>
        <v>0</v>
      </c>
      <c r="H1470" s="87">
        <f>H1471</f>
        <v>0</v>
      </c>
      <c r="I1470" s="87">
        <f>I1471</f>
        <v>0</v>
      </c>
      <c r="J1470" s="126"/>
      <c r="P1470" s="126"/>
      <c r="Q1470" s="126"/>
      <c r="R1470" s="126"/>
      <c r="S1470" s="126"/>
      <c r="T1470" s="126"/>
    </row>
    <row r="1471" spans="1:20" s="90" customFormat="1" ht="19.5" hidden="1" customHeight="1">
      <c r="A1471" s="82" t="s">
        <v>180</v>
      </c>
      <c r="B1471" s="84" t="s">
        <v>94</v>
      </c>
      <c r="C1471" s="84" t="s">
        <v>26</v>
      </c>
      <c r="D1471" s="84" t="s">
        <v>28</v>
      </c>
      <c r="E1471" s="84" t="s">
        <v>276</v>
      </c>
      <c r="F1471" s="84" t="s">
        <v>33</v>
      </c>
      <c r="G1471" s="87">
        <f>'прил 5,'!G240+'прил 5,'!G748</f>
        <v>0</v>
      </c>
      <c r="H1471" s="87"/>
      <c r="I1471" s="87"/>
      <c r="J1471" s="126"/>
      <c r="P1471" s="126"/>
      <c r="Q1471" s="126"/>
      <c r="R1471" s="126"/>
      <c r="S1471" s="126"/>
      <c r="T1471" s="126"/>
    </row>
    <row r="1472" spans="1:20" ht="24" hidden="1" customHeight="1">
      <c r="A1472" s="16" t="s">
        <v>30</v>
      </c>
      <c r="B1472" s="49">
        <v>795</v>
      </c>
      <c r="C1472" s="15" t="s">
        <v>44</v>
      </c>
      <c r="D1472" s="15" t="s">
        <v>19</v>
      </c>
      <c r="E1472" s="15" t="s">
        <v>276</v>
      </c>
      <c r="F1472" s="15" t="s">
        <v>31</v>
      </c>
      <c r="G1472" s="70">
        <f>G1473</f>
        <v>0</v>
      </c>
      <c r="H1472" s="70">
        <f>H1473</f>
        <v>0</v>
      </c>
      <c r="I1472" s="70">
        <f>I1473</f>
        <v>0</v>
      </c>
      <c r="J1472" s="1"/>
    </row>
    <row r="1473" spans="1:20" ht="18" hidden="1" customHeight="1">
      <c r="A1473" s="16" t="s">
        <v>32</v>
      </c>
      <c r="B1473" s="49">
        <v>795</v>
      </c>
      <c r="C1473" s="15" t="s">
        <v>44</v>
      </c>
      <c r="D1473" s="15" t="s">
        <v>19</v>
      </c>
      <c r="E1473" s="15" t="s">
        <v>276</v>
      </c>
      <c r="F1473" s="15" t="s">
        <v>33</v>
      </c>
      <c r="G1473" s="70"/>
      <c r="H1473" s="70"/>
      <c r="I1473" s="70"/>
      <c r="J1473" s="1"/>
    </row>
    <row r="1474" spans="1:20" ht="18" customHeight="1">
      <c r="A1474" s="82" t="s">
        <v>30</v>
      </c>
      <c r="B1474" s="49"/>
      <c r="C1474" s="15"/>
      <c r="D1474" s="15"/>
      <c r="E1474" s="84" t="s">
        <v>276</v>
      </c>
      <c r="F1474" s="15" t="s">
        <v>31</v>
      </c>
      <c r="G1474" s="70">
        <f>G1475</f>
        <v>574496</v>
      </c>
      <c r="H1474" s="70"/>
      <c r="I1474" s="70"/>
      <c r="J1474" s="1"/>
    </row>
    <row r="1475" spans="1:20" ht="18" customHeight="1">
      <c r="A1475" s="16" t="s">
        <v>32</v>
      </c>
      <c r="B1475" s="49"/>
      <c r="C1475" s="15"/>
      <c r="D1475" s="15"/>
      <c r="E1475" s="84" t="s">
        <v>276</v>
      </c>
      <c r="F1475" s="15" t="s">
        <v>33</v>
      </c>
      <c r="G1475" s="70">
        <f>'прил 5,'!G343+'прил 5,'!G905</f>
        <v>574496</v>
      </c>
      <c r="H1475" s="70"/>
      <c r="I1475" s="70"/>
      <c r="J1475" s="1"/>
    </row>
    <row r="1476" spans="1:20" s="90" customFormat="1">
      <c r="A1476" s="82" t="s">
        <v>63</v>
      </c>
      <c r="B1476" s="149">
        <v>793</v>
      </c>
      <c r="C1476" s="84" t="s">
        <v>19</v>
      </c>
      <c r="D1476" s="84" t="s">
        <v>72</v>
      </c>
      <c r="E1476" s="84" t="s">
        <v>276</v>
      </c>
      <c r="F1476" s="84" t="s">
        <v>64</v>
      </c>
      <c r="G1476" s="87">
        <f>G1477</f>
        <v>241872.8</v>
      </c>
      <c r="H1476" s="87">
        <f>H1477</f>
        <v>1000000</v>
      </c>
      <c r="I1476" s="87">
        <f>I1477</f>
        <v>1000000</v>
      </c>
      <c r="J1476" s="126"/>
      <c r="P1476" s="126"/>
      <c r="Q1476" s="126"/>
      <c r="R1476" s="126"/>
      <c r="S1476" s="126"/>
      <c r="T1476" s="126"/>
    </row>
    <row r="1477" spans="1:20" s="90" customFormat="1" ht="19.5" customHeight="1">
      <c r="A1477" s="82" t="s">
        <v>180</v>
      </c>
      <c r="B1477" s="149">
        <v>793</v>
      </c>
      <c r="C1477" s="84" t="s">
        <v>19</v>
      </c>
      <c r="D1477" s="84" t="s">
        <v>72</v>
      </c>
      <c r="E1477" s="84" t="s">
        <v>276</v>
      </c>
      <c r="F1477" s="84" t="s">
        <v>181</v>
      </c>
      <c r="G1477" s="87">
        <f>'прил 5,'!G1179</f>
        <v>241872.8</v>
      </c>
      <c r="H1477" s="87">
        <f>'прил 5,'!H1179</f>
        <v>1000000</v>
      </c>
      <c r="I1477" s="87">
        <f>'прил 5,'!I1179</f>
        <v>1000000</v>
      </c>
      <c r="J1477" s="126"/>
      <c r="P1477" s="126"/>
      <c r="Q1477" s="126"/>
      <c r="R1477" s="126"/>
      <c r="S1477" s="126"/>
      <c r="T1477" s="126"/>
    </row>
    <row r="1478" spans="1:20" s="90" customFormat="1" hidden="1">
      <c r="A1478" s="82" t="s">
        <v>32</v>
      </c>
      <c r="B1478" s="149">
        <v>757</v>
      </c>
      <c r="C1478" s="84" t="s">
        <v>44</v>
      </c>
      <c r="D1478" s="84" t="s">
        <v>19</v>
      </c>
      <c r="E1478" s="84" t="s">
        <v>276</v>
      </c>
      <c r="F1478" s="84" t="s">
        <v>33</v>
      </c>
      <c r="G1478" s="85"/>
      <c r="H1478" s="85"/>
      <c r="I1478" s="85"/>
      <c r="J1478" s="126"/>
      <c r="P1478" s="126"/>
      <c r="Q1478" s="126"/>
      <c r="R1478" s="126"/>
      <c r="S1478" s="126"/>
      <c r="T1478" s="126"/>
    </row>
    <row r="1479" spans="1:20" s="124" customFormat="1" ht="26.25" customHeight="1">
      <c r="A1479" s="154" t="s">
        <v>164</v>
      </c>
      <c r="B1479" s="155">
        <v>793</v>
      </c>
      <c r="C1479" s="156" t="s">
        <v>19</v>
      </c>
      <c r="D1479" s="156" t="s">
        <v>23</v>
      </c>
      <c r="E1479" s="162" t="s">
        <v>210</v>
      </c>
      <c r="F1479" s="156"/>
      <c r="G1479" s="157">
        <f>G1483+G1505+G1509+G1502+G1496+G1499+G1512+G1488</f>
        <v>4049764.0700000003</v>
      </c>
      <c r="H1479" s="157">
        <f t="shared" ref="H1479:I1479" si="403">H1480+H1483+H1488+H1491+H1506</f>
        <v>2375924.7599999998</v>
      </c>
      <c r="I1479" s="157">
        <f t="shared" si="403"/>
        <v>3000000</v>
      </c>
      <c r="J1479" s="123">
        <v>1487719</v>
      </c>
      <c r="P1479" s="123"/>
      <c r="Q1479" s="123"/>
      <c r="R1479" s="123"/>
      <c r="S1479" s="123"/>
      <c r="T1479" s="123"/>
    </row>
    <row r="1480" spans="1:20" s="124" customFormat="1" ht="51.75" hidden="1" customHeight="1">
      <c r="A1480" s="82" t="s">
        <v>641</v>
      </c>
      <c r="B1480" s="149">
        <v>793</v>
      </c>
      <c r="C1480" s="84" t="s">
        <v>19</v>
      </c>
      <c r="D1480" s="84" t="s">
        <v>23</v>
      </c>
      <c r="E1480" s="84" t="s">
        <v>642</v>
      </c>
      <c r="F1480" s="84"/>
      <c r="G1480" s="87">
        <f t="shared" ref="G1480:I1481" si="404">G1481</f>
        <v>0</v>
      </c>
      <c r="H1480" s="87">
        <f t="shared" si="404"/>
        <v>0</v>
      </c>
      <c r="I1480" s="87">
        <f t="shared" si="404"/>
        <v>0</v>
      </c>
      <c r="J1480" s="123"/>
      <c r="P1480" s="123"/>
      <c r="Q1480" s="123"/>
      <c r="R1480" s="123"/>
      <c r="S1480" s="123"/>
      <c r="T1480" s="123"/>
    </row>
    <row r="1481" spans="1:20" s="124" customFormat="1" ht="26.25" hidden="1" customHeight="1">
      <c r="A1481" s="82" t="s">
        <v>324</v>
      </c>
      <c r="B1481" s="149">
        <v>793</v>
      </c>
      <c r="C1481" s="84" t="s">
        <v>19</v>
      </c>
      <c r="D1481" s="84" t="s">
        <v>23</v>
      </c>
      <c r="E1481" s="84" t="s">
        <v>642</v>
      </c>
      <c r="F1481" s="84" t="s">
        <v>37</v>
      </c>
      <c r="G1481" s="87">
        <f t="shared" si="404"/>
        <v>0</v>
      </c>
      <c r="H1481" s="87">
        <f t="shared" si="404"/>
        <v>0</v>
      </c>
      <c r="I1481" s="87">
        <f t="shared" si="404"/>
        <v>0</v>
      </c>
      <c r="J1481" s="123"/>
      <c r="P1481" s="123"/>
      <c r="Q1481" s="123"/>
      <c r="R1481" s="123"/>
      <c r="S1481" s="123"/>
      <c r="T1481" s="123"/>
    </row>
    <row r="1482" spans="1:20" s="124" customFormat="1" ht="26.25" hidden="1" customHeight="1">
      <c r="A1482" s="82" t="s">
        <v>38</v>
      </c>
      <c r="B1482" s="149">
        <v>793</v>
      </c>
      <c r="C1482" s="84" t="s">
        <v>19</v>
      </c>
      <c r="D1482" s="84" t="s">
        <v>23</v>
      </c>
      <c r="E1482" s="84" t="s">
        <v>642</v>
      </c>
      <c r="F1482" s="84" t="s">
        <v>39</v>
      </c>
      <c r="G1482" s="87">
        <f>'прил 5,'!G1252</f>
        <v>0</v>
      </c>
      <c r="H1482" s="87"/>
      <c r="I1482" s="87"/>
      <c r="J1482" s="123"/>
      <c r="P1482" s="123"/>
      <c r="Q1482" s="123"/>
      <c r="R1482" s="123"/>
      <c r="S1482" s="123"/>
      <c r="T1482" s="123"/>
    </row>
    <row r="1483" spans="1:20" s="90" customFormat="1" ht="20.25" customHeight="1">
      <c r="A1483" s="82" t="s">
        <v>334</v>
      </c>
      <c r="B1483" s="149">
        <v>793</v>
      </c>
      <c r="C1483" s="84" t="s">
        <v>19</v>
      </c>
      <c r="D1483" s="84" t="s">
        <v>23</v>
      </c>
      <c r="E1483" s="84" t="s">
        <v>211</v>
      </c>
      <c r="F1483" s="84"/>
      <c r="G1483" s="87">
        <f>G1484+G1486</f>
        <v>3635684.0700000003</v>
      </c>
      <c r="H1483" s="87">
        <f t="shared" ref="H1483:I1483" si="405">H1486+H1494</f>
        <v>2375924.7599999998</v>
      </c>
      <c r="I1483" s="87">
        <f t="shared" si="405"/>
        <v>3000000</v>
      </c>
      <c r="J1483" s="126"/>
      <c r="P1483" s="126"/>
      <c r="Q1483" s="126"/>
      <c r="R1483" s="126"/>
      <c r="S1483" s="126"/>
      <c r="T1483" s="126"/>
    </row>
    <row r="1484" spans="1:20" s="90" customFormat="1" ht="29.25" customHeight="1">
      <c r="A1484" s="16" t="s">
        <v>324</v>
      </c>
      <c r="B1484" s="84" t="s">
        <v>94</v>
      </c>
      <c r="C1484" s="84" t="s">
        <v>26</v>
      </c>
      <c r="D1484" s="84" t="s">
        <v>28</v>
      </c>
      <c r="E1484" s="84" t="s">
        <v>211</v>
      </c>
      <c r="F1484" s="84" t="s">
        <v>37</v>
      </c>
      <c r="G1484" s="87">
        <f>G1485</f>
        <v>132860.60999999999</v>
      </c>
      <c r="H1484" s="87"/>
      <c r="I1484" s="87"/>
      <c r="J1484" s="126"/>
      <c r="P1484" s="126"/>
      <c r="Q1484" s="126"/>
      <c r="R1484" s="126"/>
      <c r="S1484" s="126"/>
      <c r="T1484" s="126"/>
    </row>
    <row r="1485" spans="1:20" s="90" customFormat="1" ht="36.75" customHeight="1">
      <c r="A1485" s="16" t="s">
        <v>38</v>
      </c>
      <c r="B1485" s="84" t="s">
        <v>94</v>
      </c>
      <c r="C1485" s="84" t="s">
        <v>26</v>
      </c>
      <c r="D1485" s="84" t="s">
        <v>28</v>
      </c>
      <c r="E1485" s="84" t="s">
        <v>211</v>
      </c>
      <c r="F1485" s="84" t="s">
        <v>39</v>
      </c>
      <c r="G1485" s="87">
        <f>'прил 5,'!G2193</f>
        <v>132860.60999999999</v>
      </c>
      <c r="H1485" s="87"/>
      <c r="I1485" s="87"/>
      <c r="J1485" s="126"/>
      <c r="P1485" s="126"/>
      <c r="Q1485" s="126"/>
      <c r="R1485" s="126"/>
      <c r="S1485" s="126"/>
      <c r="T1485" s="126"/>
    </row>
    <row r="1486" spans="1:20" s="90" customFormat="1">
      <c r="A1486" s="82" t="s">
        <v>63</v>
      </c>
      <c r="B1486" s="149">
        <v>792</v>
      </c>
      <c r="C1486" s="84" t="s">
        <v>19</v>
      </c>
      <c r="D1486" s="84" t="s">
        <v>23</v>
      </c>
      <c r="E1486" s="84" t="s">
        <v>211</v>
      </c>
      <c r="F1486" s="84" t="s">
        <v>64</v>
      </c>
      <c r="G1486" s="87">
        <f t="shared" ref="G1486:I1486" si="406">G1487</f>
        <v>3502823.4600000004</v>
      </c>
      <c r="H1486" s="87">
        <f t="shared" si="406"/>
        <v>2375924.7599999998</v>
      </c>
      <c r="I1486" s="87">
        <f t="shared" si="406"/>
        <v>3000000</v>
      </c>
      <c r="J1486" s="126"/>
      <c r="P1486" s="126"/>
      <c r="Q1486" s="126"/>
      <c r="R1486" s="126"/>
      <c r="S1486" s="126"/>
      <c r="T1486" s="126"/>
    </row>
    <row r="1487" spans="1:20" s="90" customFormat="1" ht="18.75" customHeight="1">
      <c r="A1487" s="82" t="s">
        <v>329</v>
      </c>
      <c r="B1487" s="149"/>
      <c r="C1487" s="84"/>
      <c r="D1487" s="84"/>
      <c r="E1487" s="84" t="s">
        <v>211</v>
      </c>
      <c r="F1487" s="84" t="s">
        <v>328</v>
      </c>
      <c r="G1487" s="87">
        <f>'прил 5,'!G1070</f>
        <v>3502823.4600000004</v>
      </c>
      <c r="H1487" s="87">
        <f>'прил 5,'!H1070</f>
        <v>2375924.7599999998</v>
      </c>
      <c r="I1487" s="87">
        <f>'прил 5,'!I1070</f>
        <v>3000000</v>
      </c>
      <c r="J1487" s="126"/>
      <c r="P1487" s="126"/>
      <c r="Q1487" s="126"/>
      <c r="R1487" s="126"/>
      <c r="S1487" s="126"/>
      <c r="T1487" s="126"/>
    </row>
    <row r="1488" spans="1:20" s="90" customFormat="1" ht="30.75" customHeight="1">
      <c r="A1488" s="82" t="s">
        <v>406</v>
      </c>
      <c r="B1488" s="149">
        <v>793</v>
      </c>
      <c r="C1488" s="84" t="s">
        <v>19</v>
      </c>
      <c r="D1488" s="84" t="s">
        <v>23</v>
      </c>
      <c r="E1488" s="84" t="s">
        <v>405</v>
      </c>
      <c r="F1488" s="84"/>
      <c r="G1488" s="87">
        <f t="shared" ref="G1488:I1488" si="407">G1489</f>
        <v>4080</v>
      </c>
      <c r="H1488" s="87">
        <f t="shared" si="407"/>
        <v>0</v>
      </c>
      <c r="I1488" s="87">
        <f t="shared" si="407"/>
        <v>0</v>
      </c>
      <c r="P1488" s="126"/>
      <c r="Q1488" s="126"/>
      <c r="R1488" s="126"/>
      <c r="S1488" s="126"/>
      <c r="T1488" s="126"/>
    </row>
    <row r="1489" spans="1:20" s="90" customFormat="1" ht="19.5" customHeight="1">
      <c r="A1489" s="82" t="s">
        <v>63</v>
      </c>
      <c r="B1489" s="149">
        <v>793</v>
      </c>
      <c r="C1489" s="84" t="s">
        <v>19</v>
      </c>
      <c r="D1489" s="84" t="s">
        <v>23</v>
      </c>
      <c r="E1489" s="84" t="s">
        <v>405</v>
      </c>
      <c r="F1489" s="84" t="s">
        <v>64</v>
      </c>
      <c r="G1489" s="87">
        <f>G1490</f>
        <v>4080</v>
      </c>
      <c r="H1489" s="87">
        <f>H1490+H1491</f>
        <v>0</v>
      </c>
      <c r="I1489" s="87">
        <f>I1490+I1491</f>
        <v>0</v>
      </c>
      <c r="P1489" s="126"/>
      <c r="Q1489" s="126"/>
      <c r="R1489" s="126"/>
      <c r="S1489" s="126"/>
      <c r="T1489" s="126"/>
    </row>
    <row r="1490" spans="1:20" s="90" customFormat="1" ht="18.75" customHeight="1">
      <c r="A1490" s="82" t="s">
        <v>329</v>
      </c>
      <c r="B1490" s="149">
        <v>793</v>
      </c>
      <c r="C1490" s="84" t="s">
        <v>19</v>
      </c>
      <c r="D1490" s="84" t="s">
        <v>23</v>
      </c>
      <c r="E1490" s="84" t="s">
        <v>405</v>
      </c>
      <c r="F1490" s="84" t="s">
        <v>328</v>
      </c>
      <c r="G1490" s="87">
        <f>'прил 5,'!G1249+'прил 5,'!G1804+'прил 5,'!G2113</f>
        <v>4080</v>
      </c>
      <c r="H1490" s="87">
        <v>0</v>
      </c>
      <c r="I1490" s="87">
        <v>0</v>
      </c>
      <c r="P1490" s="126"/>
      <c r="Q1490" s="126"/>
      <c r="R1490" s="126"/>
      <c r="S1490" s="126"/>
      <c r="T1490" s="126"/>
    </row>
    <row r="1491" spans="1:20" s="90" customFormat="1" ht="40.5" hidden="1" customHeight="1">
      <c r="A1491" s="82" t="s">
        <v>432</v>
      </c>
      <c r="B1491" s="149">
        <v>774</v>
      </c>
      <c r="C1491" s="84" t="s">
        <v>19</v>
      </c>
      <c r="D1491" s="84" t="s">
        <v>23</v>
      </c>
      <c r="E1491" s="84" t="s">
        <v>431</v>
      </c>
      <c r="F1491" s="84"/>
      <c r="G1491" s="87">
        <f>G1492</f>
        <v>0</v>
      </c>
      <c r="H1491" s="87">
        <v>0</v>
      </c>
      <c r="I1491" s="87">
        <v>0</v>
      </c>
      <c r="J1491" s="126"/>
      <c r="P1491" s="126"/>
      <c r="Q1491" s="126"/>
      <c r="R1491" s="126"/>
      <c r="S1491" s="126"/>
      <c r="T1491" s="126"/>
    </row>
    <row r="1492" spans="1:20" s="90" customFormat="1" hidden="1">
      <c r="A1492" s="82" t="s">
        <v>63</v>
      </c>
      <c r="B1492" s="149">
        <v>774</v>
      </c>
      <c r="C1492" s="84" t="s">
        <v>19</v>
      </c>
      <c r="D1492" s="84" t="s">
        <v>23</v>
      </c>
      <c r="E1492" s="84" t="s">
        <v>431</v>
      </c>
      <c r="F1492" s="84" t="s">
        <v>64</v>
      </c>
      <c r="G1492" s="87">
        <f>G1493</f>
        <v>0</v>
      </c>
      <c r="H1492" s="87">
        <v>0</v>
      </c>
      <c r="I1492" s="87">
        <v>0</v>
      </c>
      <c r="J1492" s="126"/>
      <c r="P1492" s="126"/>
      <c r="Q1492" s="126"/>
      <c r="R1492" s="126"/>
      <c r="S1492" s="126"/>
      <c r="T1492" s="126"/>
    </row>
    <row r="1493" spans="1:20" s="90" customFormat="1" ht="15" hidden="1" customHeight="1">
      <c r="A1493" s="82" t="s">
        <v>329</v>
      </c>
      <c r="B1493" s="149">
        <v>774</v>
      </c>
      <c r="C1493" s="84" t="s">
        <v>19</v>
      </c>
      <c r="D1493" s="84" t="s">
        <v>23</v>
      </c>
      <c r="E1493" s="84" t="s">
        <v>431</v>
      </c>
      <c r="F1493" s="84" t="s">
        <v>328</v>
      </c>
      <c r="G1493" s="87"/>
      <c r="H1493" s="87">
        <v>0</v>
      </c>
      <c r="I1493" s="87">
        <v>0</v>
      </c>
      <c r="J1493" s="126"/>
      <c r="P1493" s="126"/>
      <c r="Q1493" s="126"/>
      <c r="R1493" s="126"/>
      <c r="S1493" s="126"/>
      <c r="T1493" s="126"/>
    </row>
    <row r="1494" spans="1:20" ht="18.75" hidden="1" customHeight="1">
      <c r="A1494" s="82" t="s">
        <v>63</v>
      </c>
      <c r="B1494" s="14">
        <v>793</v>
      </c>
      <c r="C1494" s="15" t="s">
        <v>19</v>
      </c>
      <c r="D1494" s="15" t="s">
        <v>23</v>
      </c>
      <c r="E1494" s="15" t="s">
        <v>211</v>
      </c>
      <c r="F1494" s="15" t="s">
        <v>64</v>
      </c>
      <c r="G1494" s="70">
        <f>G1495</f>
        <v>0</v>
      </c>
      <c r="H1494" s="70">
        <f>H1495</f>
        <v>0</v>
      </c>
      <c r="I1494" s="70">
        <f>I1495</f>
        <v>0</v>
      </c>
      <c r="J1494" s="1"/>
    </row>
    <row r="1495" spans="1:20" ht="18.75" hidden="1" customHeight="1">
      <c r="A1495" s="82" t="s">
        <v>144</v>
      </c>
      <c r="B1495" s="14">
        <v>793</v>
      </c>
      <c r="C1495" s="15" t="s">
        <v>19</v>
      </c>
      <c r="D1495" s="15" t="s">
        <v>23</v>
      </c>
      <c r="E1495" s="15" t="s">
        <v>211</v>
      </c>
      <c r="F1495" s="15" t="s">
        <v>67</v>
      </c>
      <c r="G1495" s="70"/>
      <c r="H1495" s="70"/>
      <c r="I1495" s="70"/>
      <c r="J1495" s="1"/>
    </row>
    <row r="1496" spans="1:20" ht="33" hidden="1" customHeight="1">
      <c r="A1496" s="82" t="s">
        <v>432</v>
      </c>
      <c r="B1496" s="14">
        <v>793</v>
      </c>
      <c r="C1496" s="15" t="s">
        <v>19</v>
      </c>
      <c r="D1496" s="15" t="s">
        <v>23</v>
      </c>
      <c r="E1496" s="15" t="s">
        <v>431</v>
      </c>
      <c r="F1496" s="15"/>
      <c r="G1496" s="70">
        <f>G1497</f>
        <v>0</v>
      </c>
      <c r="H1496" s="70">
        <f t="shared" ref="H1496:I1496" si="408">H1497</f>
        <v>0</v>
      </c>
      <c r="I1496" s="70">
        <f t="shared" si="408"/>
        <v>0</v>
      </c>
      <c r="J1496" s="1"/>
    </row>
    <row r="1497" spans="1:20" ht="18.75" hidden="1" customHeight="1">
      <c r="A1497" s="82" t="s">
        <v>63</v>
      </c>
      <c r="B1497" s="14">
        <v>793</v>
      </c>
      <c r="C1497" s="15" t="s">
        <v>19</v>
      </c>
      <c r="D1497" s="15" t="s">
        <v>23</v>
      </c>
      <c r="E1497" s="15" t="s">
        <v>431</v>
      </c>
      <c r="F1497" s="15" t="s">
        <v>64</v>
      </c>
      <c r="G1497" s="70">
        <f>G1498</f>
        <v>0</v>
      </c>
      <c r="H1497" s="70">
        <f>H1498</f>
        <v>0</v>
      </c>
      <c r="I1497" s="70">
        <f>I1498</f>
        <v>0</v>
      </c>
      <c r="J1497" s="1"/>
    </row>
    <row r="1498" spans="1:20" ht="18.75" hidden="1" customHeight="1">
      <c r="A1498" s="82" t="s">
        <v>144</v>
      </c>
      <c r="B1498" s="14">
        <v>793</v>
      </c>
      <c r="C1498" s="15" t="s">
        <v>19</v>
      </c>
      <c r="D1498" s="15" t="s">
        <v>23</v>
      </c>
      <c r="E1498" s="15" t="s">
        <v>431</v>
      </c>
      <c r="F1498" s="15" t="s">
        <v>67</v>
      </c>
      <c r="G1498" s="70">
        <f>'прил 5,'!G1255</f>
        <v>0</v>
      </c>
      <c r="H1498" s="70">
        <v>0</v>
      </c>
      <c r="I1498" s="70">
        <v>0</v>
      </c>
      <c r="J1498" s="1"/>
    </row>
    <row r="1499" spans="1:20" ht="31.5" customHeight="1">
      <c r="A1499" s="82" t="s">
        <v>838</v>
      </c>
      <c r="B1499" s="14">
        <v>793</v>
      </c>
      <c r="C1499" s="15" t="s">
        <v>19</v>
      </c>
      <c r="D1499" s="15" t="s">
        <v>23</v>
      </c>
      <c r="E1499" s="15" t="s">
        <v>837</v>
      </c>
      <c r="F1499" s="15"/>
      <c r="G1499" s="70">
        <f>G1500</f>
        <v>120000</v>
      </c>
      <c r="H1499" s="70">
        <f t="shared" ref="H1499:I1499" si="409">H1500</f>
        <v>0</v>
      </c>
      <c r="I1499" s="70">
        <f t="shared" si="409"/>
        <v>0</v>
      </c>
      <c r="J1499" s="1"/>
    </row>
    <row r="1500" spans="1:20" ht="18.75" customHeight="1">
      <c r="A1500" s="82" t="s">
        <v>63</v>
      </c>
      <c r="B1500" s="14">
        <v>793</v>
      </c>
      <c r="C1500" s="15" t="s">
        <v>19</v>
      </c>
      <c r="D1500" s="15" t="s">
        <v>23</v>
      </c>
      <c r="E1500" s="15" t="s">
        <v>837</v>
      </c>
      <c r="F1500" s="15" t="s">
        <v>64</v>
      </c>
      <c r="G1500" s="70">
        <f>G1501</f>
        <v>120000</v>
      </c>
      <c r="H1500" s="70">
        <f>H1501</f>
        <v>0</v>
      </c>
      <c r="I1500" s="70">
        <f>I1501</f>
        <v>0</v>
      </c>
      <c r="J1500" s="1"/>
    </row>
    <row r="1501" spans="1:20" ht="18.75" customHeight="1">
      <c r="A1501" s="82" t="s">
        <v>144</v>
      </c>
      <c r="B1501" s="14">
        <v>793</v>
      </c>
      <c r="C1501" s="15" t="s">
        <v>19</v>
      </c>
      <c r="D1501" s="15" t="s">
        <v>23</v>
      </c>
      <c r="E1501" s="15" t="s">
        <v>837</v>
      </c>
      <c r="F1501" s="15" t="s">
        <v>67</v>
      </c>
      <c r="G1501" s="70">
        <f>'прил 5,'!G1258</f>
        <v>120000</v>
      </c>
      <c r="H1501" s="70">
        <v>0</v>
      </c>
      <c r="I1501" s="70">
        <v>0</v>
      </c>
      <c r="J1501" s="1"/>
    </row>
    <row r="1502" spans="1:20" ht="19.5" customHeight="1">
      <c r="A1502" s="82" t="s">
        <v>833</v>
      </c>
      <c r="B1502" s="14">
        <v>792</v>
      </c>
      <c r="C1502" s="15" t="s">
        <v>26</v>
      </c>
      <c r="D1502" s="15" t="s">
        <v>28</v>
      </c>
      <c r="E1502" s="15" t="s">
        <v>834</v>
      </c>
      <c r="F1502" s="15"/>
      <c r="G1502" s="70">
        <f>G1503</f>
        <v>90000</v>
      </c>
      <c r="H1502" s="70">
        <f t="shared" ref="H1502:I1502" si="410">H1503</f>
        <v>0</v>
      </c>
      <c r="I1502" s="70">
        <f t="shared" si="410"/>
        <v>0</v>
      </c>
      <c r="J1502" s="1"/>
    </row>
    <row r="1503" spans="1:20" ht="30" customHeight="1">
      <c r="A1503" s="16" t="s">
        <v>30</v>
      </c>
      <c r="B1503" s="14">
        <v>792</v>
      </c>
      <c r="C1503" s="15" t="s">
        <v>26</v>
      </c>
      <c r="D1503" s="15" t="s">
        <v>28</v>
      </c>
      <c r="E1503" s="15" t="s">
        <v>834</v>
      </c>
      <c r="F1503" s="15" t="s">
        <v>31</v>
      </c>
      <c r="G1503" s="70">
        <f>G1504</f>
        <v>90000</v>
      </c>
      <c r="H1503" s="70">
        <f>H1504</f>
        <v>0</v>
      </c>
      <c r="I1503" s="70">
        <f>I1504</f>
        <v>0</v>
      </c>
      <c r="J1503" s="1"/>
    </row>
    <row r="1504" spans="1:20" ht="18.75" customHeight="1">
      <c r="A1504" s="16" t="s">
        <v>32</v>
      </c>
      <c r="B1504" s="14">
        <v>792</v>
      </c>
      <c r="C1504" s="15" t="s">
        <v>26</v>
      </c>
      <c r="D1504" s="15" t="s">
        <v>28</v>
      </c>
      <c r="E1504" s="15" t="s">
        <v>834</v>
      </c>
      <c r="F1504" s="15" t="s">
        <v>33</v>
      </c>
      <c r="G1504" s="70">
        <f>'прил 5,'!G782</f>
        <v>90000</v>
      </c>
      <c r="H1504" s="70">
        <v>0</v>
      </c>
      <c r="I1504" s="70">
        <v>0</v>
      </c>
      <c r="J1504" s="1"/>
    </row>
    <row r="1505" spans="1:20" s="90" customFormat="1" ht="25.5" hidden="1" customHeight="1">
      <c r="A1505" s="82" t="s">
        <v>164</v>
      </c>
      <c r="B1505" s="149">
        <v>793</v>
      </c>
      <c r="C1505" s="84" t="s">
        <v>19</v>
      </c>
      <c r="D1505" s="84" t="s">
        <v>23</v>
      </c>
      <c r="E1505" s="84" t="s">
        <v>210</v>
      </c>
      <c r="F1505" s="84"/>
      <c r="G1505" s="87">
        <f>G1506</f>
        <v>0</v>
      </c>
      <c r="H1505" s="87">
        <f t="shared" ref="H1505:I1505" si="411">H1506</f>
        <v>0</v>
      </c>
      <c r="I1505" s="87">
        <f t="shared" si="411"/>
        <v>0</v>
      </c>
      <c r="P1505" s="126"/>
      <c r="Q1505" s="126"/>
      <c r="R1505" s="126"/>
      <c r="S1505" s="126"/>
      <c r="T1505" s="126"/>
    </row>
    <row r="1506" spans="1:20" s="90" customFormat="1" ht="30.75" hidden="1" customHeight="1">
      <c r="A1506" s="82" t="s">
        <v>699</v>
      </c>
      <c r="B1506" s="149">
        <v>793</v>
      </c>
      <c r="C1506" s="84" t="s">
        <v>19</v>
      </c>
      <c r="D1506" s="84" t="s">
        <v>23</v>
      </c>
      <c r="E1506" s="84" t="s">
        <v>698</v>
      </c>
      <c r="F1506" s="84"/>
      <c r="G1506" s="87">
        <f t="shared" ref="G1506:I1507" si="412">G1507</f>
        <v>0</v>
      </c>
      <c r="H1506" s="87">
        <f t="shared" si="412"/>
        <v>0</v>
      </c>
      <c r="I1506" s="87">
        <f t="shared" si="412"/>
        <v>0</v>
      </c>
      <c r="P1506" s="126"/>
      <c r="Q1506" s="126"/>
      <c r="R1506" s="126"/>
      <c r="S1506" s="126"/>
      <c r="T1506" s="126"/>
    </row>
    <row r="1507" spans="1:20" s="90" customFormat="1" ht="19.5" hidden="1" customHeight="1">
      <c r="A1507" s="82" t="s">
        <v>63</v>
      </c>
      <c r="B1507" s="149">
        <v>793</v>
      </c>
      <c r="C1507" s="84" t="s">
        <v>19</v>
      </c>
      <c r="D1507" s="84" t="s">
        <v>23</v>
      </c>
      <c r="E1507" s="84" t="s">
        <v>698</v>
      </c>
      <c r="F1507" s="84" t="s">
        <v>64</v>
      </c>
      <c r="G1507" s="87">
        <f>G1508</f>
        <v>0</v>
      </c>
      <c r="H1507" s="87">
        <f t="shared" si="412"/>
        <v>0</v>
      </c>
      <c r="I1507" s="87">
        <f t="shared" si="412"/>
        <v>0</v>
      </c>
      <c r="P1507" s="126"/>
      <c r="Q1507" s="126"/>
      <c r="R1507" s="126"/>
      <c r="S1507" s="126"/>
      <c r="T1507" s="126"/>
    </row>
    <row r="1508" spans="1:20" s="90" customFormat="1" ht="18.75" hidden="1" customHeight="1">
      <c r="A1508" s="82" t="s">
        <v>180</v>
      </c>
      <c r="B1508" s="149">
        <v>793</v>
      </c>
      <c r="C1508" s="84" t="s">
        <v>19</v>
      </c>
      <c r="D1508" s="84" t="s">
        <v>23</v>
      </c>
      <c r="E1508" s="84" t="s">
        <v>698</v>
      </c>
      <c r="F1508" s="84" t="s">
        <v>181</v>
      </c>
      <c r="G1508" s="87"/>
      <c r="H1508" s="87"/>
      <c r="I1508" s="87"/>
      <c r="P1508" s="126"/>
      <c r="Q1508" s="126"/>
      <c r="R1508" s="126"/>
      <c r="S1508" s="126"/>
      <c r="T1508" s="126"/>
    </row>
    <row r="1509" spans="1:20" s="46" customFormat="1" ht="48" hidden="1" customHeight="1">
      <c r="A1509" s="16" t="s">
        <v>811</v>
      </c>
      <c r="B1509" s="14">
        <v>793</v>
      </c>
      <c r="C1509" s="15" t="s">
        <v>19</v>
      </c>
      <c r="D1509" s="15" t="s">
        <v>26</v>
      </c>
      <c r="E1509" s="15" t="s">
        <v>809</v>
      </c>
      <c r="F1509" s="15"/>
      <c r="G1509" s="70">
        <f t="shared" ref="G1509:I1510" si="413">G1510</f>
        <v>0</v>
      </c>
      <c r="H1509" s="70">
        <f t="shared" si="413"/>
        <v>0</v>
      </c>
      <c r="I1509" s="70">
        <f t="shared" si="413"/>
        <v>0</v>
      </c>
      <c r="P1509" s="110"/>
      <c r="Q1509" s="110"/>
      <c r="R1509" s="110"/>
      <c r="S1509" s="110"/>
      <c r="T1509" s="110"/>
    </row>
    <row r="1510" spans="1:20" s="46" customFormat="1" ht="29.25" hidden="1" customHeight="1">
      <c r="A1510" s="16" t="s">
        <v>63</v>
      </c>
      <c r="B1510" s="14">
        <v>793</v>
      </c>
      <c r="C1510" s="15" t="s">
        <v>19</v>
      </c>
      <c r="D1510" s="15" t="s">
        <v>26</v>
      </c>
      <c r="E1510" s="15" t="s">
        <v>809</v>
      </c>
      <c r="F1510" s="15" t="s">
        <v>64</v>
      </c>
      <c r="G1510" s="70">
        <f t="shared" si="413"/>
        <v>0</v>
      </c>
      <c r="H1510" s="70">
        <f t="shared" si="413"/>
        <v>0</v>
      </c>
      <c r="I1510" s="70">
        <f t="shared" si="413"/>
        <v>0</v>
      </c>
      <c r="P1510" s="110"/>
      <c r="Q1510" s="110"/>
      <c r="R1510" s="110"/>
      <c r="S1510" s="110"/>
      <c r="T1510" s="110"/>
    </row>
    <row r="1511" spans="1:20" s="46" customFormat="1" hidden="1">
      <c r="A1511" s="16" t="s">
        <v>810</v>
      </c>
      <c r="B1511" s="14">
        <v>793</v>
      </c>
      <c r="C1511" s="15" t="s">
        <v>19</v>
      </c>
      <c r="D1511" s="15" t="s">
        <v>26</v>
      </c>
      <c r="E1511" s="15" t="s">
        <v>809</v>
      </c>
      <c r="F1511" s="15" t="s">
        <v>808</v>
      </c>
      <c r="G1511" s="70"/>
      <c r="H1511" s="70"/>
      <c r="I1511" s="70"/>
      <c r="P1511" s="110"/>
      <c r="Q1511" s="110"/>
      <c r="R1511" s="110"/>
      <c r="S1511" s="110"/>
      <c r="T1511" s="110"/>
    </row>
    <row r="1512" spans="1:20" ht="19.5" customHeight="1">
      <c r="A1512" s="82" t="s">
        <v>1051</v>
      </c>
      <c r="B1512" s="14">
        <v>774</v>
      </c>
      <c r="C1512" s="15" t="s">
        <v>26</v>
      </c>
      <c r="D1512" s="15" t="s">
        <v>28</v>
      </c>
      <c r="E1512" s="15" t="s">
        <v>1052</v>
      </c>
      <c r="F1512" s="15"/>
      <c r="G1512" s="70">
        <f>G1513</f>
        <v>200000</v>
      </c>
      <c r="H1512" s="70">
        <f t="shared" ref="H1512:I1512" si="414">H1513</f>
        <v>0</v>
      </c>
      <c r="I1512" s="70">
        <f t="shared" si="414"/>
        <v>0</v>
      </c>
      <c r="J1512" s="177"/>
      <c r="K1512" s="186"/>
      <c r="L1512" s="186"/>
      <c r="M1512" s="186"/>
      <c r="N1512" s="186"/>
      <c r="O1512" s="186"/>
      <c r="P1512" s="186"/>
      <c r="Q1512" s="186"/>
      <c r="R1512" s="186"/>
      <c r="S1512" s="1"/>
      <c r="T1512" s="1"/>
    </row>
    <row r="1513" spans="1:20" ht="30.75" customHeight="1">
      <c r="A1513" s="16" t="s">
        <v>30</v>
      </c>
      <c r="B1513" s="14">
        <v>774</v>
      </c>
      <c r="C1513" s="15" t="s">
        <v>26</v>
      </c>
      <c r="D1513" s="15" t="s">
        <v>28</v>
      </c>
      <c r="E1513" s="15" t="s">
        <v>1052</v>
      </c>
      <c r="F1513" s="15" t="s">
        <v>31</v>
      </c>
      <c r="G1513" s="70">
        <f>G1514</f>
        <v>200000</v>
      </c>
      <c r="H1513" s="70">
        <f>H1514</f>
        <v>0</v>
      </c>
      <c r="I1513" s="70">
        <f>I1514</f>
        <v>0</v>
      </c>
      <c r="J1513" s="177"/>
      <c r="K1513" s="186"/>
      <c r="L1513" s="186"/>
      <c r="M1513" s="186"/>
      <c r="N1513" s="186"/>
      <c r="O1513" s="186"/>
      <c r="P1513" s="186"/>
      <c r="Q1513" s="186"/>
      <c r="R1513" s="186"/>
      <c r="S1513" s="1"/>
      <c r="T1513" s="1"/>
    </row>
    <row r="1514" spans="1:20" ht="18.75" customHeight="1">
      <c r="A1514" s="16" t="s">
        <v>32</v>
      </c>
      <c r="B1514" s="14">
        <v>774</v>
      </c>
      <c r="C1514" s="15" t="s">
        <v>26</v>
      </c>
      <c r="D1514" s="15" t="s">
        <v>28</v>
      </c>
      <c r="E1514" s="15" t="s">
        <v>1052</v>
      </c>
      <c r="F1514" s="15" t="s">
        <v>33</v>
      </c>
      <c r="G1514" s="70">
        <f>'прил 5,'!G785</f>
        <v>200000</v>
      </c>
      <c r="H1514" s="70">
        <v>0</v>
      </c>
      <c r="I1514" s="70">
        <v>0</v>
      </c>
      <c r="J1514" s="177"/>
      <c r="K1514" s="186"/>
      <c r="L1514" s="186"/>
      <c r="M1514" s="186"/>
      <c r="N1514" s="186"/>
      <c r="O1514" s="186"/>
      <c r="P1514" s="186"/>
      <c r="Q1514" s="186"/>
      <c r="R1514" s="186"/>
      <c r="S1514" s="1"/>
      <c r="T1514" s="1"/>
    </row>
    <row r="1515" spans="1:20" s="124" customFormat="1">
      <c r="A1515" s="154" t="s">
        <v>278</v>
      </c>
      <c r="B1515" s="155">
        <v>793</v>
      </c>
      <c r="C1515" s="156" t="s">
        <v>19</v>
      </c>
      <c r="D1515" s="156" t="s">
        <v>173</v>
      </c>
      <c r="E1515" s="156" t="s">
        <v>279</v>
      </c>
      <c r="F1515" s="156"/>
      <c r="G1515" s="157">
        <f>G1518+G1519</f>
        <v>124287.62999999999</v>
      </c>
      <c r="H1515" s="157">
        <f>H1518</f>
        <v>4134.4299999999994</v>
      </c>
      <c r="I1515" s="157">
        <f>I1518</f>
        <v>3685.6099999999997</v>
      </c>
      <c r="J1515" s="123"/>
      <c r="P1515" s="123"/>
      <c r="Q1515" s="123"/>
      <c r="R1515" s="123"/>
      <c r="S1515" s="123"/>
      <c r="T1515" s="123"/>
    </row>
    <row r="1516" spans="1:20" s="150" customFormat="1" ht="39.75" customHeight="1">
      <c r="A1516" s="82" t="s">
        <v>281</v>
      </c>
      <c r="B1516" s="149">
        <v>793</v>
      </c>
      <c r="C1516" s="84" t="s">
        <v>19</v>
      </c>
      <c r="D1516" s="84" t="s">
        <v>173</v>
      </c>
      <c r="E1516" s="84" t="s">
        <v>375</v>
      </c>
      <c r="F1516" s="84"/>
      <c r="G1516" s="87">
        <f t="shared" ref="G1516:I1517" si="415">G1517</f>
        <v>124287.62999999999</v>
      </c>
      <c r="H1516" s="87">
        <f t="shared" si="415"/>
        <v>4134.4299999999994</v>
      </c>
      <c r="I1516" s="87">
        <f t="shared" si="415"/>
        <v>3685.6099999999997</v>
      </c>
      <c r="J1516" s="152">
        <v>11200</v>
      </c>
      <c r="P1516" s="152"/>
      <c r="Q1516" s="152"/>
      <c r="R1516" s="152"/>
      <c r="S1516" s="152"/>
      <c r="T1516" s="152"/>
    </row>
    <row r="1517" spans="1:20" s="150" customFormat="1">
      <c r="A1517" s="82" t="s">
        <v>324</v>
      </c>
      <c r="B1517" s="149">
        <v>793</v>
      </c>
      <c r="C1517" s="84" t="s">
        <v>19</v>
      </c>
      <c r="D1517" s="84" t="s">
        <v>173</v>
      </c>
      <c r="E1517" s="84" t="s">
        <v>375</v>
      </c>
      <c r="F1517" s="84" t="s">
        <v>37</v>
      </c>
      <c r="G1517" s="87">
        <f t="shared" si="415"/>
        <v>124287.62999999999</v>
      </c>
      <c r="H1517" s="87">
        <f t="shared" si="415"/>
        <v>4134.4299999999994</v>
      </c>
      <c r="I1517" s="87">
        <f t="shared" si="415"/>
        <v>3685.6099999999997</v>
      </c>
      <c r="J1517" s="152"/>
      <c r="P1517" s="152"/>
      <c r="Q1517" s="152"/>
      <c r="R1517" s="152"/>
      <c r="S1517" s="152"/>
      <c r="T1517" s="152"/>
    </row>
    <row r="1518" spans="1:20" s="46" customFormat="1" ht="25.5">
      <c r="A1518" s="16" t="s">
        <v>38</v>
      </c>
      <c r="B1518" s="14">
        <v>793</v>
      </c>
      <c r="C1518" s="15" t="s">
        <v>19</v>
      </c>
      <c r="D1518" s="15" t="s">
        <v>173</v>
      </c>
      <c r="E1518" s="15" t="s">
        <v>375</v>
      </c>
      <c r="F1518" s="15" t="s">
        <v>39</v>
      </c>
      <c r="G1518" s="87">
        <f>'прил 5,'!G1169</f>
        <v>124287.62999999999</v>
      </c>
      <c r="H1518" s="87">
        <f>'прил 5,'!H1169</f>
        <v>4134.4299999999994</v>
      </c>
      <c r="I1518" s="87">
        <f>'прил 5,'!I1169</f>
        <v>3685.6099999999997</v>
      </c>
      <c r="J1518" s="110"/>
      <c r="P1518" s="110"/>
      <c r="Q1518" s="110"/>
      <c r="R1518" s="110"/>
      <c r="S1518" s="110"/>
      <c r="T1518" s="110"/>
    </row>
    <row r="1519" spans="1:20" s="46" customFormat="1" hidden="1">
      <c r="A1519" s="16" t="s">
        <v>278</v>
      </c>
      <c r="B1519" s="14">
        <v>793</v>
      </c>
      <c r="C1519" s="15" t="s">
        <v>19</v>
      </c>
      <c r="D1519" s="15" t="s">
        <v>26</v>
      </c>
      <c r="E1519" s="15" t="s">
        <v>279</v>
      </c>
      <c r="F1519" s="15"/>
      <c r="G1519" s="70">
        <f t="shared" ref="G1519:I1519" si="416">G1520</f>
        <v>0</v>
      </c>
      <c r="H1519" s="70">
        <f t="shared" si="416"/>
        <v>0</v>
      </c>
      <c r="I1519" s="70">
        <f t="shared" si="416"/>
        <v>0</v>
      </c>
      <c r="P1519" s="110"/>
      <c r="Q1519" s="2"/>
      <c r="R1519" s="110"/>
      <c r="S1519" s="110"/>
      <c r="T1519" s="110"/>
    </row>
    <row r="1520" spans="1:20" s="46" customFormat="1" ht="48" hidden="1" customHeight="1">
      <c r="A1520" s="16"/>
      <c r="B1520" s="14"/>
      <c r="C1520" s="15"/>
      <c r="D1520" s="15"/>
      <c r="E1520" s="15"/>
      <c r="F1520" s="15"/>
      <c r="G1520" s="70"/>
      <c r="H1520" s="70"/>
      <c r="I1520" s="70"/>
      <c r="P1520" s="110"/>
      <c r="Q1520" s="110"/>
      <c r="R1520" s="110"/>
      <c r="S1520" s="110"/>
      <c r="T1520" s="110"/>
    </row>
    <row r="1521" spans="1:20" s="46" customFormat="1" ht="29.25" hidden="1" customHeight="1">
      <c r="A1521" s="16"/>
      <c r="B1521" s="14"/>
      <c r="C1521" s="15"/>
      <c r="D1521" s="15"/>
      <c r="E1521" s="15"/>
      <c r="F1521" s="15"/>
      <c r="G1521" s="70"/>
      <c r="H1521" s="70"/>
      <c r="I1521" s="70"/>
      <c r="P1521" s="110"/>
      <c r="Q1521" s="110"/>
      <c r="R1521" s="110"/>
      <c r="S1521" s="110"/>
      <c r="T1521" s="110"/>
    </row>
    <row r="1522" spans="1:20" s="46" customFormat="1" hidden="1">
      <c r="A1522" s="16"/>
      <c r="B1522" s="14"/>
      <c r="C1522" s="15"/>
      <c r="D1522" s="15"/>
      <c r="E1522" s="15"/>
      <c r="F1522" s="15"/>
      <c r="G1522" s="70"/>
      <c r="H1522" s="70"/>
      <c r="I1522" s="70"/>
      <c r="P1522" s="110"/>
      <c r="Q1522" s="110"/>
      <c r="R1522" s="110"/>
      <c r="S1522" s="110"/>
      <c r="T1522" s="110"/>
    </row>
    <row r="1523" spans="1:20" s="22" customFormat="1" ht="26.25" customHeight="1">
      <c r="A1523" s="34" t="s">
        <v>369</v>
      </c>
      <c r="B1523" s="36"/>
      <c r="C1523" s="36"/>
      <c r="D1523" s="36"/>
      <c r="E1523" s="36"/>
      <c r="F1523" s="36"/>
      <c r="G1523" s="71">
        <f>G18+G1357</f>
        <v>1772855683.0099995</v>
      </c>
      <c r="H1523" s="71">
        <f>H18+H1357</f>
        <v>1435817073.3499997</v>
      </c>
      <c r="I1523" s="71">
        <f>I18+I1357</f>
        <v>1646941446.9099996</v>
      </c>
      <c r="J1523" s="21"/>
      <c r="L1523" s="21">
        <f>G1450+H1450+I1450+G1441+H1441+I1441+G1434+H1434+I1434+G1426+H1426+I1426+G1394+H1394+I1394+G1390+H1390+I1390+G1146+H1146+I1146+G906+H906+I906+G659+H659+I659+G57+H57+I57</f>
        <v>292034183.26999998</v>
      </c>
      <c r="P1523" s="21"/>
      <c r="Q1523" s="21"/>
      <c r="R1523" s="21"/>
      <c r="S1523" s="21"/>
      <c r="T1523" s="21"/>
    </row>
    <row r="1524" spans="1:20" s="18" customFormat="1" hidden="1">
      <c r="A1524" s="16"/>
      <c r="B1524" s="14"/>
      <c r="C1524" s="15"/>
      <c r="D1524" s="15"/>
      <c r="E1524" s="15"/>
      <c r="F1524" s="15"/>
      <c r="G1524" s="87"/>
      <c r="H1524" s="87"/>
      <c r="I1524" s="87"/>
      <c r="J1524" s="17"/>
      <c r="P1524" s="17"/>
      <c r="Q1524" s="17"/>
      <c r="R1524" s="17"/>
      <c r="S1524" s="17"/>
      <c r="T1524" s="17"/>
    </row>
    <row r="1525" spans="1:20" s="18" customFormat="1" hidden="1">
      <c r="A1525" s="16"/>
      <c r="B1525" s="14"/>
      <c r="C1525" s="15"/>
      <c r="D1525" s="15"/>
      <c r="E1525" s="15"/>
      <c r="F1525" s="15"/>
      <c r="G1525" s="87"/>
      <c r="H1525" s="87"/>
      <c r="I1525" s="87"/>
      <c r="J1525" s="17"/>
      <c r="P1525" s="17"/>
      <c r="Q1525" s="17"/>
      <c r="R1525" s="17"/>
      <c r="S1525" s="17"/>
      <c r="T1525" s="17"/>
    </row>
    <row r="1526" spans="1:20" hidden="1"/>
    <row r="1527" spans="1:20" hidden="1">
      <c r="G1527" s="89">
        <v>1303746913.27</v>
      </c>
      <c r="H1527" s="89">
        <v>1303746913.27</v>
      </c>
      <c r="I1527" s="89">
        <v>1303746913.27</v>
      </c>
    </row>
    <row r="1528" spans="1:20" ht="21.75" hidden="1" customHeight="1">
      <c r="G1528" s="89">
        <f>G1523-G1527</f>
        <v>469108769.73999953</v>
      </c>
      <c r="H1528" s="89">
        <f>H1523-H1527</f>
        <v>132070160.07999969</v>
      </c>
      <c r="I1528" s="89">
        <f>I1523-I1527</f>
        <v>343194533.63999963</v>
      </c>
    </row>
    <row r="1529" spans="1:20" hidden="1"/>
    <row r="1530" spans="1:20" hidden="1">
      <c r="G1530" s="89" t="e">
        <f>#REF!+#REF!+#REF!+G359+#REF!+#REF!+#REF!+#REF!+G1107+G1477+#REF!</f>
        <v>#REF!</v>
      </c>
      <c r="H1530" s="89" t="e">
        <f>#REF!+#REF!+#REF!+H359+#REF!+#REF!+#REF!+#REF!+H1107+H1477+#REF!</f>
        <v>#REF!</v>
      </c>
      <c r="I1530" s="89" t="e">
        <f>#REF!+#REF!+#REF!+I359+#REF!+#REF!+#REF!+#REF!+I1107+I1477+#REF!</f>
        <v>#REF!</v>
      </c>
    </row>
    <row r="1531" spans="1:20" hidden="1">
      <c r="B1531" s="1"/>
      <c r="C1531" s="1"/>
      <c r="D1531" s="1"/>
      <c r="E1531" s="1"/>
      <c r="F1531" s="1"/>
    </row>
    <row r="1532" spans="1:20" hidden="1">
      <c r="B1532" s="1"/>
      <c r="C1532" s="1"/>
      <c r="D1532" s="1"/>
      <c r="E1532" s="1"/>
      <c r="F1532" s="1"/>
      <c r="G1532" s="89">
        <f>'прил 5,'!G2222-'прил 6.'!G1523</f>
        <v>0</v>
      </c>
      <c r="H1532" s="89">
        <f>H1523-'прил 5,'!H2222</f>
        <v>0</v>
      </c>
      <c r="I1532" s="89">
        <f>I1523-'прил 5,'!I2222</f>
        <v>0</v>
      </c>
    </row>
    <row r="1533" spans="1:20" hidden="1">
      <c r="B1533" s="1"/>
      <c r="C1533" s="1"/>
      <c r="D1533" s="1"/>
      <c r="E1533" s="1"/>
      <c r="F1533" s="1"/>
      <c r="G1533" s="89" t="e">
        <f>G1530-G1477</f>
        <v>#REF!</v>
      </c>
      <c r="H1533" s="89" t="e">
        <f>H1530-H1477</f>
        <v>#REF!</v>
      </c>
      <c r="I1533" s="89" t="e">
        <f>I1530-I1477</f>
        <v>#REF!</v>
      </c>
    </row>
    <row r="1534" spans="1:20" hidden="1">
      <c r="B1534" s="1"/>
      <c r="C1534" s="1"/>
      <c r="D1534" s="1"/>
      <c r="E1534" s="1"/>
      <c r="F1534" s="1"/>
    </row>
    <row r="1539" spans="7:15" hidden="1"/>
    <row r="1540" spans="7:15" hidden="1"/>
    <row r="1541" spans="7:15" hidden="1"/>
    <row r="1542" spans="7:15" hidden="1"/>
    <row r="1543" spans="7:15" hidden="1">
      <c r="J1543" s="89">
        <f t="shared" ref="J1543:O1543" si="417">J1523-J1541</f>
        <v>0</v>
      </c>
      <c r="K1543" s="89">
        <f t="shared" si="417"/>
        <v>0</v>
      </c>
      <c r="L1543" s="89">
        <f t="shared" si="417"/>
        <v>292034183.26999998</v>
      </c>
      <c r="M1543" s="89">
        <f t="shared" si="417"/>
        <v>0</v>
      </c>
      <c r="N1543" s="89">
        <f t="shared" si="417"/>
        <v>0</v>
      </c>
      <c r="O1543" s="89">
        <f t="shared" si="417"/>
        <v>0</v>
      </c>
    </row>
    <row r="1544" spans="7:15" hidden="1"/>
    <row r="1545" spans="7:15" hidden="1"/>
    <row r="1546" spans="7:15" hidden="1"/>
    <row r="1547" spans="7:15" hidden="1"/>
    <row r="1548" spans="7:15" hidden="1"/>
    <row r="1549" spans="7:15" hidden="1"/>
    <row r="1550" spans="7:15" hidden="1"/>
    <row r="1551" spans="7:15">
      <c r="G1551" s="89">
        <f>G1523-'прил 5,'!G2222</f>
        <v>0</v>
      </c>
      <c r="H1551" s="89">
        <f>H1523-'прил 5,'!H2222</f>
        <v>0</v>
      </c>
      <c r="I1551" s="89">
        <f>I1523-'прил 5,'!I2222</f>
        <v>0</v>
      </c>
    </row>
  </sheetData>
  <mergeCells count="26">
    <mergeCell ref="E9:G9"/>
    <mergeCell ref="B10:C10"/>
    <mergeCell ref="D10:G10"/>
    <mergeCell ref="B11:D11"/>
    <mergeCell ref="E11:G11"/>
    <mergeCell ref="B8:C8"/>
    <mergeCell ref="D8:G8"/>
    <mergeCell ref="A14:A16"/>
    <mergeCell ref="A13:I13"/>
    <mergeCell ref="G15:G16"/>
    <mergeCell ref="D15:D16"/>
    <mergeCell ref="B15:B16"/>
    <mergeCell ref="C15:C16"/>
    <mergeCell ref="F14:F16"/>
    <mergeCell ref="E14:E16"/>
    <mergeCell ref="H15:H16"/>
    <mergeCell ref="I15:I16"/>
    <mergeCell ref="B12:C12"/>
    <mergeCell ref="D12:G12"/>
    <mergeCell ref="G14:I14"/>
    <mergeCell ref="B9:D9"/>
    <mergeCell ref="E2:G2"/>
    <mergeCell ref="E4:G4"/>
    <mergeCell ref="E6:G6"/>
    <mergeCell ref="B7:D7"/>
    <mergeCell ref="E7:G7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437" max="16383" man="1"/>
    <brk id="152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5,</vt:lpstr>
      <vt:lpstr>прил 6.</vt:lpstr>
      <vt:lpstr>'прил 4 '!Область_печати</vt:lpstr>
      <vt:lpstr>'прил 5,'!Область_печати</vt:lpstr>
      <vt:lpstr>'прил 6.'!Область_печати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2022-09-23T10:50:57Z</cp:lastPrinted>
  <dcterms:created xsi:type="dcterms:W3CDTF">2014-11-17T05:43:53Z</dcterms:created>
  <dcterms:modified xsi:type="dcterms:W3CDTF">2022-09-23T11:51:39Z</dcterms:modified>
</cp:coreProperties>
</file>